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Meilleures perf" sheetId="18" r:id="rId15"/>
    <sheet name="Structures EDS" sheetId="17" r:id="rId16"/>
    <sheet name="S0 remplacer avec S44" sheetId="6" r:id="rId17"/>
    <sheet name="ETP Challenge" sheetId="13" r:id="rId18"/>
  </sheets>
  <externalReferences>
    <externalReference r:id="rId19"/>
  </externalReferences>
  <definedNames>
    <definedName name="_xlnm._FilterDatabase" localSheetId="17" hidden="1">'ETP Challenge'!$A$1:$F$291</definedName>
    <definedName name="_xlnm._FilterDatabase" localSheetId="14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1" l="1"/>
  <c r="Y3" i="1" l="1"/>
  <c r="N19" i="1" s="1"/>
  <c r="I56" i="1" l="1"/>
  <c r="H56" i="1"/>
  <c r="G56" i="1"/>
  <c r="F56" i="1"/>
  <c r="E56" i="1"/>
  <c r="D56" i="1"/>
  <c r="I38" i="1"/>
  <c r="H38" i="1"/>
  <c r="G38" i="1"/>
  <c r="F38" i="1"/>
  <c r="E38" i="1"/>
  <c r="D38" i="1"/>
  <c r="I20" i="1"/>
  <c r="H20" i="1"/>
  <c r="G20" i="1"/>
  <c r="F20" i="1"/>
  <c r="E20" i="1"/>
  <c r="D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Z2" i="1"/>
  <c r="Y18" i="1"/>
  <c r="Y15" i="1"/>
  <c r="Y12" i="1"/>
  <c r="K19" i="1" l="1"/>
  <c r="L19" i="1" l="1"/>
  <c r="P19" i="1"/>
  <c r="Q19" i="1" s="1"/>
  <c r="G47" i="1"/>
  <c r="G11" i="1"/>
  <c r="G29" i="1"/>
  <c r="Y4" i="1" l="1"/>
  <c r="M45" i="1" s="1"/>
  <c r="N297" i="16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M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N106" i="16"/>
  <c r="M106" i="16"/>
  <c r="N105" i="16"/>
  <c r="M105" i="16"/>
  <c r="N104" i="16"/>
  <c r="M104" i="16"/>
  <c r="N103" i="16"/>
  <c r="M103" i="16"/>
  <c r="N102" i="16"/>
  <c r="M102" i="16"/>
  <c r="N101" i="16"/>
  <c r="M101" i="16"/>
  <c r="N100" i="16"/>
  <c r="M100" i="16"/>
  <c r="N99" i="16"/>
  <c r="M99" i="16"/>
  <c r="N98" i="16"/>
  <c r="M98" i="16"/>
  <c r="N97" i="16"/>
  <c r="M97" i="16"/>
  <c r="N96" i="16"/>
  <c r="M96" i="16"/>
  <c r="N95" i="16"/>
  <c r="M95" i="16"/>
  <c r="N94" i="16"/>
  <c r="M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N63" i="16"/>
  <c r="M63" i="16"/>
  <c r="N62" i="16"/>
  <c r="M62" i="16"/>
  <c r="N61" i="16"/>
  <c r="M61" i="16"/>
  <c r="N60" i="16"/>
  <c r="M60" i="16"/>
  <c r="N59" i="16"/>
  <c r="M59" i="16"/>
  <c r="N58" i="16"/>
  <c r="M58" i="16"/>
  <c r="N57" i="16"/>
  <c r="M57" i="16"/>
  <c r="N56" i="16"/>
  <c r="M56" i="16"/>
  <c r="N55" i="16"/>
  <c r="M55" i="16"/>
  <c r="N54" i="16"/>
  <c r="M54" i="16"/>
  <c r="N53" i="16"/>
  <c r="M53" i="16"/>
  <c r="N52" i="16"/>
  <c r="M52" i="16"/>
  <c r="N51" i="16"/>
  <c r="M51" i="16"/>
  <c r="N50" i="16"/>
  <c r="M50" i="16"/>
  <c r="N49" i="16"/>
  <c r="M49" i="16"/>
  <c r="N48" i="16"/>
  <c r="M48" i="16"/>
  <c r="N47" i="16"/>
  <c r="M47" i="16"/>
  <c r="N46" i="16"/>
  <c r="M46" i="16"/>
  <c r="N45" i="16"/>
  <c r="M45" i="16"/>
  <c r="N44" i="16"/>
  <c r="M44" i="16"/>
  <c r="N43" i="16"/>
  <c r="M43" i="16"/>
  <c r="N42" i="16"/>
  <c r="M42" i="16"/>
  <c r="N41" i="16"/>
  <c r="M41" i="16"/>
  <c r="N40" i="16"/>
  <c r="M40" i="16"/>
  <c r="N39" i="16"/>
  <c r="M39" i="16"/>
  <c r="N38" i="16"/>
  <c r="M38" i="16"/>
  <c r="N37" i="16"/>
  <c r="M37" i="16"/>
  <c r="N36" i="16"/>
  <c r="M36" i="16"/>
  <c r="N35" i="16"/>
  <c r="M35" i="16"/>
  <c r="N34" i="16"/>
  <c r="M34" i="16"/>
  <c r="N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M13" i="16"/>
  <c r="N12" i="16"/>
  <c r="M12" i="16"/>
  <c r="N11" i="16"/>
  <c r="M11" i="16"/>
  <c r="N10" i="16"/>
  <c r="M10" i="16"/>
  <c r="N9" i="16"/>
  <c r="M9" i="16"/>
  <c r="N8" i="16"/>
  <c r="M8" i="16"/>
  <c r="N7" i="16"/>
  <c r="M7" i="16"/>
  <c r="N6" i="16"/>
  <c r="M6" i="16"/>
  <c r="T5" i="16"/>
  <c r="S5" i="16"/>
  <c r="R5" i="16"/>
  <c r="Q5" i="16"/>
  <c r="P5" i="16"/>
  <c r="O5" i="16"/>
  <c r="N5" i="16"/>
  <c r="M5" i="16"/>
  <c r="T3" i="16"/>
  <c r="N3" i="16"/>
  <c r="O3" i="16" s="1"/>
  <c r="M3" i="16"/>
  <c r="T2" i="16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M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M105" i="15"/>
  <c r="N104" i="15"/>
  <c r="M104" i="15"/>
  <c r="N103" i="15"/>
  <c r="M103" i="15"/>
  <c r="N102" i="15"/>
  <c r="M102" i="15"/>
  <c r="N101" i="15"/>
  <c r="M101" i="15"/>
  <c r="N100" i="15"/>
  <c r="M100" i="15"/>
  <c r="N99" i="15"/>
  <c r="M99" i="15"/>
  <c r="N98" i="15"/>
  <c r="M98" i="15"/>
  <c r="N97" i="15"/>
  <c r="M97" i="15"/>
  <c r="N96" i="15"/>
  <c r="M96" i="15"/>
  <c r="N95" i="15"/>
  <c r="M95" i="15"/>
  <c r="N94" i="15"/>
  <c r="M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M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N57" i="15"/>
  <c r="M57" i="15"/>
  <c r="N56" i="15"/>
  <c r="M56" i="15"/>
  <c r="N55" i="15"/>
  <c r="M55" i="15"/>
  <c r="N54" i="15"/>
  <c r="M54" i="15"/>
  <c r="N53" i="15"/>
  <c r="M53" i="15"/>
  <c r="N52" i="15"/>
  <c r="M52" i="15"/>
  <c r="N51" i="15"/>
  <c r="M51" i="15"/>
  <c r="N50" i="15"/>
  <c r="M50" i="15"/>
  <c r="N49" i="15"/>
  <c r="N48" i="15"/>
  <c r="M48" i="15"/>
  <c r="N47" i="15"/>
  <c r="M47" i="15"/>
  <c r="N46" i="15"/>
  <c r="M46" i="15"/>
  <c r="N45" i="15"/>
  <c r="M45" i="15"/>
  <c r="N44" i="15"/>
  <c r="M44" i="15"/>
  <c r="N43" i="15"/>
  <c r="M43" i="15"/>
  <c r="N42" i="15"/>
  <c r="M42" i="15"/>
  <c r="N41" i="15"/>
  <c r="M41" i="15"/>
  <c r="N40" i="15"/>
  <c r="M40" i="15"/>
  <c r="N39" i="15"/>
  <c r="M39" i="15"/>
  <c r="N38" i="15"/>
  <c r="M38" i="15"/>
  <c r="N37" i="15"/>
  <c r="M37" i="15"/>
  <c r="N36" i="15"/>
  <c r="M36" i="15"/>
  <c r="N35" i="15"/>
  <c r="M35" i="15"/>
  <c r="N34" i="15"/>
  <c r="M34" i="15"/>
  <c r="N33" i="15"/>
  <c r="M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5" i="15"/>
  <c r="M25" i="15"/>
  <c r="N24" i="15"/>
  <c r="M24" i="15"/>
  <c r="N23" i="15"/>
  <c r="M23" i="15"/>
  <c r="N22" i="15"/>
  <c r="M22" i="15"/>
  <c r="N21" i="15"/>
  <c r="M21" i="15"/>
  <c r="N20" i="15"/>
  <c r="M20" i="15"/>
  <c r="N19" i="15"/>
  <c r="M19" i="15"/>
  <c r="N18" i="15"/>
  <c r="M18" i="15"/>
  <c r="N17" i="15"/>
  <c r="M17" i="15"/>
  <c r="N16" i="15"/>
  <c r="M16" i="15"/>
  <c r="N15" i="15"/>
  <c r="M15" i="15"/>
  <c r="N14" i="15"/>
  <c r="M14" i="15"/>
  <c r="N13" i="15"/>
  <c r="M13" i="15"/>
  <c r="N12" i="15"/>
  <c r="M12" i="15"/>
  <c r="N11" i="15"/>
  <c r="M11" i="15"/>
  <c r="N10" i="15"/>
  <c r="M10" i="15"/>
  <c r="N9" i="15"/>
  <c r="M9" i="15"/>
  <c r="N8" i="15"/>
  <c r="M8" i="15"/>
  <c r="N7" i="15"/>
  <c r="M7" i="15"/>
  <c r="N6" i="15"/>
  <c r="M6" i="15"/>
  <c r="T5" i="15"/>
  <c r="S5" i="15"/>
  <c r="R5" i="15"/>
  <c r="Q5" i="15"/>
  <c r="P5" i="15"/>
  <c r="O5" i="15"/>
  <c r="N5" i="15"/>
  <c r="M5" i="15"/>
  <c r="T3" i="15"/>
  <c r="N3" i="15"/>
  <c r="M3" i="15"/>
  <c r="O3" i="15" s="1"/>
  <c r="T2" i="15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V170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M149" i="14"/>
  <c r="M148" i="14"/>
  <c r="M147" i="14"/>
  <c r="M146" i="14"/>
  <c r="M145" i="14"/>
  <c r="M144" i="14"/>
  <c r="M143" i="14"/>
  <c r="M142" i="14"/>
  <c r="M141" i="14"/>
  <c r="M140" i="14"/>
  <c r="M139" i="14"/>
  <c r="M138" i="14"/>
  <c r="M137" i="14"/>
  <c r="M136" i="14"/>
  <c r="M135" i="14"/>
  <c r="M134" i="14"/>
  <c r="M133" i="14"/>
  <c r="M132" i="14"/>
  <c r="M131" i="14"/>
  <c r="M130" i="14"/>
  <c r="M129" i="14"/>
  <c r="M128" i="14"/>
  <c r="M127" i="14"/>
  <c r="M126" i="14"/>
  <c r="M125" i="14"/>
  <c r="M124" i="14"/>
  <c r="M123" i="14"/>
  <c r="M122" i="14"/>
  <c r="M121" i="14"/>
  <c r="M120" i="14"/>
  <c r="M119" i="14"/>
  <c r="M118" i="14"/>
  <c r="M117" i="14"/>
  <c r="M116" i="14"/>
  <c r="M115" i="14"/>
  <c r="V114" i="14"/>
  <c r="M114" i="14"/>
  <c r="M113" i="14"/>
  <c r="M112" i="14"/>
  <c r="M111" i="14"/>
  <c r="M110" i="14"/>
  <c r="M109" i="14"/>
  <c r="M108" i="14"/>
  <c r="M107" i="14"/>
  <c r="V106" i="14"/>
  <c r="M106" i="14"/>
  <c r="M105" i="14"/>
  <c r="M104" i="14"/>
  <c r="M103" i="14"/>
  <c r="M102" i="14"/>
  <c r="M101" i="14"/>
  <c r="M100" i="14"/>
  <c r="M99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M86" i="14"/>
  <c r="M85" i="14"/>
  <c r="M84" i="14"/>
  <c r="M83" i="14"/>
  <c r="M82" i="14"/>
  <c r="M81" i="14"/>
  <c r="M80" i="14"/>
  <c r="M79" i="14"/>
  <c r="M78" i="14"/>
  <c r="M77" i="14"/>
  <c r="M76" i="14"/>
  <c r="M75" i="14"/>
  <c r="M74" i="14"/>
  <c r="M73" i="14"/>
  <c r="V72" i="14"/>
  <c r="M72" i="14"/>
  <c r="M71" i="14"/>
  <c r="M70" i="14"/>
  <c r="M69" i="14"/>
  <c r="Z68" i="14"/>
  <c r="M68" i="14"/>
  <c r="M67" i="14"/>
  <c r="M66" i="14"/>
  <c r="M65" i="14"/>
  <c r="Z64" i="14"/>
  <c r="M64" i="14"/>
  <c r="M63" i="14"/>
  <c r="M62" i="14"/>
  <c r="M61" i="14"/>
  <c r="Z60" i="14"/>
  <c r="M60" i="14"/>
  <c r="M59" i="14"/>
  <c r="M58" i="14"/>
  <c r="M57" i="14"/>
  <c r="M56" i="14"/>
  <c r="M55" i="14"/>
  <c r="M54" i="14"/>
  <c r="M53" i="14"/>
  <c r="M52" i="14"/>
  <c r="M51" i="14"/>
  <c r="M50" i="14"/>
  <c r="M49" i="14"/>
  <c r="M48" i="14"/>
  <c r="M47" i="14"/>
  <c r="M46" i="14"/>
  <c r="M45" i="14"/>
  <c r="V44" i="14"/>
  <c r="M44" i="14"/>
  <c r="M43" i="14"/>
  <c r="M42" i="14"/>
  <c r="M41" i="14"/>
  <c r="V40" i="14"/>
  <c r="M40" i="14"/>
  <c r="M39" i="14"/>
  <c r="M38" i="14"/>
  <c r="M37" i="14"/>
  <c r="M36" i="14"/>
  <c r="M35" i="14"/>
  <c r="M34" i="14"/>
  <c r="M33" i="14"/>
  <c r="Z32" i="14"/>
  <c r="V32" i="14"/>
  <c r="M32" i="14"/>
  <c r="M31" i="14"/>
  <c r="M30" i="14"/>
  <c r="M29" i="14"/>
  <c r="M28" i="14"/>
  <c r="M27" i="14"/>
  <c r="M26" i="14"/>
  <c r="M25" i="14"/>
  <c r="Z24" i="14"/>
  <c r="M24" i="14"/>
  <c r="M23" i="14"/>
  <c r="M22" i="14"/>
  <c r="M21" i="14"/>
  <c r="M20" i="14"/>
  <c r="M19" i="14"/>
  <c r="M18" i="14"/>
  <c r="M17" i="14"/>
  <c r="M16" i="14"/>
  <c r="M15" i="14"/>
  <c r="M14" i="14"/>
  <c r="M13" i="14"/>
  <c r="M12" i="14"/>
  <c r="M11" i="14"/>
  <c r="M10" i="14"/>
  <c r="M9" i="14"/>
  <c r="M8" i="14"/>
  <c r="M7" i="14"/>
  <c r="M6" i="14"/>
  <c r="S5" i="14"/>
  <c r="Z52" i="14" s="1"/>
  <c r="R5" i="14"/>
  <c r="Y101" i="14" s="1"/>
  <c r="Q5" i="14"/>
  <c r="X76" i="14" s="1"/>
  <c r="P5" i="14"/>
  <c r="W167" i="14" s="1"/>
  <c r="O5" i="14"/>
  <c r="V162" i="14" s="1"/>
  <c r="N5" i="14"/>
  <c r="U71" i="14" s="1"/>
  <c r="M5" i="14"/>
  <c r="O3" i="14"/>
  <c r="X36" i="16" l="1"/>
  <c r="X30" i="1"/>
  <c r="X29" i="1"/>
  <c r="X31" i="1"/>
  <c r="Y182" i="15"/>
  <c r="AA19" i="16"/>
  <c r="AA5" i="16"/>
  <c r="Y34" i="16"/>
  <c r="Z31" i="16"/>
  <c r="V37" i="16"/>
  <c r="X43" i="16"/>
  <c r="V11" i="15"/>
  <c r="V15" i="15"/>
  <c r="Z21" i="15"/>
  <c r="V27" i="15"/>
  <c r="V31" i="15"/>
  <c r="V35" i="15"/>
  <c r="Z41" i="15"/>
  <c r="Z45" i="15"/>
  <c r="Z5" i="15"/>
  <c r="X98" i="15"/>
  <c r="Z50" i="15"/>
  <c r="V52" i="15"/>
  <c r="W6" i="16"/>
  <c r="W7" i="16"/>
  <c r="W8" i="16"/>
  <c r="W9" i="16"/>
  <c r="W10" i="16"/>
  <c r="W11" i="16"/>
  <c r="W12" i="16"/>
  <c r="W13" i="16"/>
  <c r="W14" i="16"/>
  <c r="W15" i="16"/>
  <c r="W16" i="16"/>
  <c r="W17" i="16"/>
  <c r="W18" i="16"/>
  <c r="W19" i="16"/>
  <c r="W20" i="16"/>
  <c r="W21" i="16"/>
  <c r="W22" i="16"/>
  <c r="W23" i="16"/>
  <c r="W24" i="16"/>
  <c r="W25" i="16"/>
  <c r="W26" i="16"/>
  <c r="W27" i="16"/>
  <c r="X28" i="16"/>
  <c r="Z35" i="16"/>
  <c r="X47" i="16"/>
  <c r="V7" i="15"/>
  <c r="V19" i="15"/>
  <c r="Z37" i="15"/>
  <c r="Y6" i="15"/>
  <c r="Y10" i="15"/>
  <c r="Y14" i="15"/>
  <c r="Y18" i="15"/>
  <c r="Y22" i="15"/>
  <c r="Y26" i="15"/>
  <c r="Y30" i="15"/>
  <c r="Y34" i="15"/>
  <c r="Y38" i="15"/>
  <c r="Y42" i="15"/>
  <c r="Y46" i="15"/>
  <c r="AA6" i="16"/>
  <c r="AA7" i="16"/>
  <c r="AA8" i="16"/>
  <c r="AA9" i="16"/>
  <c r="AA10" i="16"/>
  <c r="AA11" i="16"/>
  <c r="AA12" i="16"/>
  <c r="AA13" i="16"/>
  <c r="AA14" i="16"/>
  <c r="AA15" i="16"/>
  <c r="AA16" i="16"/>
  <c r="AA17" i="16"/>
  <c r="AA18" i="16"/>
  <c r="AA20" i="16"/>
  <c r="AA21" i="16"/>
  <c r="AA22" i="16"/>
  <c r="AA23" i="16"/>
  <c r="AA24" i="16"/>
  <c r="AA25" i="16"/>
  <c r="AA26" i="16"/>
  <c r="AA27" i="16"/>
  <c r="X30" i="16"/>
  <c r="Z39" i="16"/>
  <c r="Z9" i="15"/>
  <c r="Z13" i="15"/>
  <c r="Z17" i="15"/>
  <c r="V23" i="15"/>
  <c r="Z25" i="15"/>
  <c r="Z29" i="15"/>
  <c r="Z33" i="15"/>
  <c r="V39" i="15"/>
  <c r="V43" i="15"/>
  <c r="V47" i="15"/>
  <c r="Y51" i="15"/>
  <c r="X45" i="16"/>
  <c r="X6" i="16"/>
  <c r="X7" i="16"/>
  <c r="Z29" i="16"/>
  <c r="X32" i="16"/>
  <c r="X34" i="16"/>
  <c r="N27" i="1"/>
  <c r="R45" i="1"/>
  <c r="M46" i="1"/>
  <c r="R27" i="1"/>
  <c r="R46" i="1"/>
  <c r="V12" i="14"/>
  <c r="V36" i="14"/>
  <c r="V64" i="14"/>
  <c r="V138" i="14"/>
  <c r="W45" i="14"/>
  <c r="W200" i="14"/>
  <c r="W9" i="14"/>
  <c r="W17" i="14"/>
  <c r="W77" i="14"/>
  <c r="W216" i="14"/>
  <c r="U15" i="14"/>
  <c r="W21" i="14"/>
  <c r="W41" i="14"/>
  <c r="W49" i="14"/>
  <c r="V8" i="14"/>
  <c r="W13" i="14"/>
  <c r="Z28" i="14"/>
  <c r="Z36" i="14"/>
  <c r="U47" i="14"/>
  <c r="W53" i="14"/>
  <c r="Z56" i="14"/>
  <c r="V68" i="14"/>
  <c r="W73" i="14"/>
  <c r="V76" i="14"/>
  <c r="W82" i="14"/>
  <c r="V146" i="14"/>
  <c r="W184" i="14"/>
  <c r="X26" i="14"/>
  <c r="X58" i="14"/>
  <c r="U23" i="14"/>
  <c r="U55" i="14"/>
  <c r="X66" i="14"/>
  <c r="X181" i="14"/>
  <c r="Z8" i="14"/>
  <c r="X10" i="14"/>
  <c r="Z12" i="14"/>
  <c r="X14" i="14"/>
  <c r="V16" i="14"/>
  <c r="V20" i="14"/>
  <c r="W25" i="14"/>
  <c r="W29" i="14"/>
  <c r="U31" i="14"/>
  <c r="Z40" i="14"/>
  <c r="X42" i="14"/>
  <c r="Z44" i="14"/>
  <c r="X46" i="14"/>
  <c r="V48" i="14"/>
  <c r="V52" i="14"/>
  <c r="W57" i="14"/>
  <c r="W61" i="14"/>
  <c r="U63" i="14"/>
  <c r="Z72" i="14"/>
  <c r="X74" i="14"/>
  <c r="Z76" i="14"/>
  <c r="X78" i="14"/>
  <c r="V90" i="14"/>
  <c r="V122" i="14"/>
  <c r="V154" i="14"/>
  <c r="X30" i="14"/>
  <c r="X62" i="14"/>
  <c r="X79" i="14"/>
  <c r="X6" i="14"/>
  <c r="X34" i="14"/>
  <c r="X38" i="14"/>
  <c r="X70" i="14"/>
  <c r="X197" i="14"/>
  <c r="X213" i="14"/>
  <c r="W5" i="14"/>
  <c r="U7" i="14"/>
  <c r="Z16" i="14"/>
  <c r="X18" i="14"/>
  <c r="Z20" i="14"/>
  <c r="X22" i="14"/>
  <c r="V24" i="14"/>
  <c r="V28" i="14"/>
  <c r="W33" i="14"/>
  <c r="W37" i="14"/>
  <c r="U39" i="14"/>
  <c r="Z48" i="14"/>
  <c r="X50" i="14"/>
  <c r="X54" i="14"/>
  <c r="V56" i="14"/>
  <c r="V60" i="14"/>
  <c r="W65" i="14"/>
  <c r="W69" i="14"/>
  <c r="Y81" i="14"/>
  <c r="V98" i="14"/>
  <c r="V130" i="14"/>
  <c r="W176" i="14"/>
  <c r="X189" i="14"/>
  <c r="W192" i="14"/>
  <c r="X205" i="14"/>
  <c r="W208" i="14"/>
  <c r="M86" i="16"/>
  <c r="M33" i="16"/>
  <c r="Z33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36" i="16"/>
  <c r="V235" i="16"/>
  <c r="V234" i="16"/>
  <c r="V233" i="16"/>
  <c r="V232" i="16"/>
  <c r="V231" i="16"/>
  <c r="V230" i="16"/>
  <c r="V229" i="16"/>
  <c r="V228" i="16"/>
  <c r="V227" i="16"/>
  <c r="V226" i="16"/>
  <c r="V225" i="16"/>
  <c r="V224" i="16"/>
  <c r="V223" i="16"/>
  <c r="V222" i="16"/>
  <c r="V221" i="16"/>
  <c r="V220" i="16"/>
  <c r="V219" i="16"/>
  <c r="V218" i="16"/>
  <c r="V217" i="16"/>
  <c r="V216" i="16"/>
  <c r="V215" i="16"/>
  <c r="V214" i="16"/>
  <c r="V213" i="16"/>
  <c r="V212" i="16"/>
  <c r="V211" i="16"/>
  <c r="V210" i="16"/>
  <c r="V209" i="16"/>
  <c r="V208" i="16"/>
  <c r="V207" i="16"/>
  <c r="V206" i="16"/>
  <c r="V205" i="16"/>
  <c r="V296" i="16"/>
  <c r="V294" i="16"/>
  <c r="V292" i="16"/>
  <c r="V290" i="16"/>
  <c r="V288" i="16"/>
  <c r="V286" i="16"/>
  <c r="V284" i="16"/>
  <c r="V282" i="16"/>
  <c r="V280" i="16"/>
  <c r="V278" i="16"/>
  <c r="V276" i="16"/>
  <c r="V274" i="16"/>
  <c r="V272" i="16"/>
  <c r="V270" i="16"/>
  <c r="V268" i="16"/>
  <c r="V266" i="16"/>
  <c r="V264" i="16"/>
  <c r="V262" i="16"/>
  <c r="V260" i="16"/>
  <c r="V258" i="16"/>
  <c r="V256" i="16"/>
  <c r="V297" i="16"/>
  <c r="V295" i="16"/>
  <c r="V293" i="16"/>
  <c r="V291" i="16"/>
  <c r="V289" i="16"/>
  <c r="V287" i="16"/>
  <c r="V285" i="16"/>
  <c r="V283" i="16"/>
  <c r="V281" i="16"/>
  <c r="V279" i="16"/>
  <c r="V277" i="16"/>
  <c r="V275" i="16"/>
  <c r="V273" i="16"/>
  <c r="V271" i="16"/>
  <c r="V269" i="16"/>
  <c r="V267" i="16"/>
  <c r="V265" i="16"/>
  <c r="V263" i="16"/>
  <c r="V261" i="16"/>
  <c r="V259" i="16"/>
  <c r="V257" i="16"/>
  <c r="V204" i="16"/>
  <c r="V203" i="16"/>
  <c r="V202" i="16"/>
  <c r="V201" i="16"/>
  <c r="V200" i="16"/>
  <c r="V199" i="16"/>
  <c r="V198" i="16"/>
  <c r="V197" i="16"/>
  <c r="V196" i="16"/>
  <c r="V195" i="16"/>
  <c r="V194" i="16"/>
  <c r="V193" i="16"/>
  <c r="V192" i="16"/>
  <c r="V191" i="16"/>
  <c r="V190" i="16"/>
  <c r="V189" i="16"/>
  <c r="V188" i="16"/>
  <c r="V187" i="16"/>
  <c r="V186" i="16"/>
  <c r="V185" i="16"/>
  <c r="V184" i="16"/>
  <c r="V183" i="16"/>
  <c r="V182" i="16"/>
  <c r="V181" i="16"/>
  <c r="V180" i="16"/>
  <c r="V179" i="16"/>
  <c r="V178" i="16"/>
  <c r="V177" i="16"/>
  <c r="V176" i="16"/>
  <c r="V175" i="16"/>
  <c r="V174" i="16"/>
  <c r="V173" i="16"/>
  <c r="V172" i="16"/>
  <c r="V171" i="16"/>
  <c r="V170" i="16"/>
  <c r="V169" i="16"/>
  <c r="V168" i="16"/>
  <c r="V167" i="16"/>
  <c r="V166" i="16"/>
  <c r="V165" i="16"/>
  <c r="V164" i="16"/>
  <c r="V163" i="16"/>
  <c r="V162" i="16"/>
  <c r="V161" i="16"/>
  <c r="V160" i="16"/>
  <c r="V159" i="16"/>
  <c r="V158" i="16"/>
  <c r="V157" i="16"/>
  <c r="V156" i="16"/>
  <c r="V155" i="16"/>
  <c r="V154" i="16"/>
  <c r="V153" i="16"/>
  <c r="V152" i="16"/>
  <c r="V151" i="16"/>
  <c r="V150" i="16"/>
  <c r="V149" i="16"/>
  <c r="V148" i="16"/>
  <c r="V147" i="16"/>
  <c r="V146" i="16"/>
  <c r="V145" i="16"/>
  <c r="V144" i="16"/>
  <c r="V143" i="16"/>
  <c r="V142" i="16"/>
  <c r="V141" i="16"/>
  <c r="V140" i="16"/>
  <c r="V139" i="16"/>
  <c r="V138" i="16"/>
  <c r="V137" i="16"/>
  <c r="V136" i="16"/>
  <c r="V135" i="16"/>
  <c r="V134" i="16"/>
  <c r="V133" i="16"/>
  <c r="V132" i="16"/>
  <c r="V131" i="16"/>
  <c r="V130" i="16"/>
  <c r="V129" i="16"/>
  <c r="V128" i="16"/>
  <c r="V127" i="16"/>
  <c r="V126" i="16"/>
  <c r="V125" i="16"/>
  <c r="V124" i="16"/>
  <c r="V123" i="16"/>
  <c r="V122" i="16"/>
  <c r="V121" i="16"/>
  <c r="V120" i="16"/>
  <c r="V119" i="16"/>
  <c r="V118" i="16"/>
  <c r="V117" i="16"/>
  <c r="V116" i="16"/>
  <c r="V115" i="16"/>
  <c r="V114" i="16"/>
  <c r="V113" i="16"/>
  <c r="V112" i="16"/>
  <c r="V111" i="16"/>
  <c r="V110" i="16"/>
  <c r="V109" i="16"/>
  <c r="V108" i="16"/>
  <c r="V107" i="16"/>
  <c r="V106" i="16"/>
  <c r="V105" i="16"/>
  <c r="V104" i="16"/>
  <c r="V103" i="16"/>
  <c r="V102" i="16"/>
  <c r="V101" i="16"/>
  <c r="V100" i="16"/>
  <c r="V99" i="16"/>
  <c r="V98" i="16"/>
  <c r="V97" i="16"/>
  <c r="V96" i="16"/>
  <c r="V95" i="16"/>
  <c r="V94" i="16"/>
  <c r="V93" i="16"/>
  <c r="V92" i="16"/>
  <c r="V91" i="16"/>
  <c r="V90" i="16"/>
  <c r="V89" i="16"/>
  <c r="V88" i="16"/>
  <c r="V87" i="16"/>
  <c r="V86" i="16"/>
  <c r="V85" i="16"/>
  <c r="V84" i="16"/>
  <c r="V83" i="16"/>
  <c r="V82" i="16"/>
  <c r="V81" i="16"/>
  <c r="V80" i="16"/>
  <c r="V79" i="16"/>
  <c r="V78" i="16"/>
  <c r="V77" i="16"/>
  <c r="V76" i="16"/>
  <c r="V75" i="16"/>
  <c r="V74" i="16"/>
  <c r="V73" i="16"/>
  <c r="V72" i="16"/>
  <c r="V70" i="16"/>
  <c r="V68" i="16"/>
  <c r="V71" i="16"/>
  <c r="V69" i="16"/>
  <c r="V67" i="16"/>
  <c r="V66" i="16"/>
  <c r="V65" i="16"/>
  <c r="V64" i="16"/>
  <c r="V63" i="16"/>
  <c r="V62" i="16"/>
  <c r="V61" i="16"/>
  <c r="V60" i="16"/>
  <c r="V59" i="16"/>
  <c r="V58" i="16"/>
  <c r="V57" i="16"/>
  <c r="V56" i="16"/>
  <c r="V55" i="16"/>
  <c r="V54" i="16"/>
  <c r="V53" i="16"/>
  <c r="V52" i="16"/>
  <c r="V51" i="16"/>
  <c r="V50" i="16"/>
  <c r="V49" i="16"/>
  <c r="V48" i="16"/>
  <c r="V47" i="16"/>
  <c r="V46" i="16"/>
  <c r="V45" i="16"/>
  <c r="V44" i="16"/>
  <c r="V43" i="16"/>
  <c r="V42" i="16"/>
  <c r="V41" i="16"/>
  <c r="V40" i="16"/>
  <c r="Z297" i="16"/>
  <c r="Z295" i="16"/>
  <c r="Z293" i="16"/>
  <c r="Z291" i="16"/>
  <c r="Z289" i="16"/>
  <c r="Z287" i="16"/>
  <c r="Z285" i="16"/>
  <c r="Z283" i="16"/>
  <c r="Z281" i="16"/>
  <c r="Z279" i="16"/>
  <c r="Z277" i="16"/>
  <c r="Z275" i="16"/>
  <c r="Z273" i="16"/>
  <c r="Z271" i="16"/>
  <c r="Z269" i="16"/>
  <c r="Z267" i="16"/>
  <c r="Z265" i="16"/>
  <c r="Z263" i="16"/>
  <c r="Z261" i="16"/>
  <c r="Z259" i="16"/>
  <c r="Z257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8" i="16"/>
  <c r="Z227" i="16"/>
  <c r="Z226" i="16"/>
  <c r="Z225" i="16"/>
  <c r="Z224" i="16"/>
  <c r="Z223" i="16"/>
  <c r="Z222" i="16"/>
  <c r="Z221" i="16"/>
  <c r="Z220" i="16"/>
  <c r="Z219" i="16"/>
  <c r="Z218" i="16"/>
  <c r="Z217" i="16"/>
  <c r="Z216" i="16"/>
  <c r="Z215" i="16"/>
  <c r="Z214" i="16"/>
  <c r="Z213" i="16"/>
  <c r="Z212" i="16"/>
  <c r="Z211" i="16"/>
  <c r="Z210" i="16"/>
  <c r="Z209" i="16"/>
  <c r="Z208" i="16"/>
  <c r="Z207" i="16"/>
  <c r="Z206" i="16"/>
  <c r="Z205" i="16"/>
  <c r="Z296" i="16"/>
  <c r="Z294" i="16"/>
  <c r="Z292" i="16"/>
  <c r="Z290" i="16"/>
  <c r="Z288" i="16"/>
  <c r="Z286" i="16"/>
  <c r="Z284" i="16"/>
  <c r="Z282" i="16"/>
  <c r="Z280" i="16"/>
  <c r="Z278" i="16"/>
  <c r="Z276" i="16"/>
  <c r="Z274" i="16"/>
  <c r="Z272" i="16"/>
  <c r="Z270" i="16"/>
  <c r="Z268" i="16"/>
  <c r="Z266" i="16"/>
  <c r="Z264" i="16"/>
  <c r="Z262" i="16"/>
  <c r="Z260" i="16"/>
  <c r="Z258" i="16"/>
  <c r="Z256" i="16"/>
  <c r="Z204" i="16"/>
  <c r="Z203" i="16"/>
  <c r="Z202" i="16"/>
  <c r="Z201" i="16"/>
  <c r="Z200" i="16"/>
  <c r="Z199" i="16"/>
  <c r="Z198" i="16"/>
  <c r="Z197" i="16"/>
  <c r="Z196" i="16"/>
  <c r="Z195" i="16"/>
  <c r="Z194" i="16"/>
  <c r="Z193" i="16"/>
  <c r="Z192" i="16"/>
  <c r="Z191" i="16"/>
  <c r="Z190" i="16"/>
  <c r="Z189" i="16"/>
  <c r="Z188" i="16"/>
  <c r="Z187" i="16"/>
  <c r="Z186" i="16"/>
  <c r="Z185" i="16"/>
  <c r="Z184" i="16"/>
  <c r="Z183" i="16"/>
  <c r="Z182" i="16"/>
  <c r="Z181" i="16"/>
  <c r="Z180" i="16"/>
  <c r="Z179" i="16"/>
  <c r="Z178" i="16"/>
  <c r="Z177" i="16"/>
  <c r="Z176" i="16"/>
  <c r="Z175" i="16"/>
  <c r="Z174" i="16"/>
  <c r="Z173" i="16"/>
  <c r="Z172" i="16"/>
  <c r="Z171" i="16"/>
  <c r="Z170" i="16"/>
  <c r="Z169" i="16"/>
  <c r="Z168" i="16"/>
  <c r="Z167" i="16"/>
  <c r="Z166" i="16"/>
  <c r="Z165" i="16"/>
  <c r="Z164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46" i="16"/>
  <c r="Z145" i="16"/>
  <c r="Z144" i="16"/>
  <c r="Z143" i="16"/>
  <c r="Z142" i="16"/>
  <c r="Z141" i="16"/>
  <c r="Z140" i="16"/>
  <c r="Z139" i="16"/>
  <c r="Z138" i="16"/>
  <c r="Z137" i="16"/>
  <c r="Z136" i="16"/>
  <c r="Z135" i="16"/>
  <c r="Z134" i="16"/>
  <c r="Z133" i="16"/>
  <c r="Z132" i="16"/>
  <c r="Z131" i="16"/>
  <c r="Z130" i="16"/>
  <c r="Z129" i="16"/>
  <c r="Z128" i="16"/>
  <c r="Z127" i="16"/>
  <c r="Z126" i="16"/>
  <c r="Z125" i="16"/>
  <c r="Z124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8" i="16"/>
  <c r="Z69" i="16"/>
  <c r="Z67" i="16"/>
  <c r="Z66" i="16"/>
  <c r="Z65" i="16"/>
  <c r="Z64" i="16"/>
  <c r="Z63" i="16"/>
  <c r="Z62" i="16"/>
  <c r="Z61" i="16"/>
  <c r="Z60" i="16"/>
  <c r="Z59" i="16"/>
  <c r="Z58" i="16"/>
  <c r="Z57" i="16"/>
  <c r="Z56" i="16"/>
  <c r="Z55" i="16"/>
  <c r="Z54" i="16"/>
  <c r="Z53" i="16"/>
  <c r="Z52" i="16"/>
  <c r="Z51" i="16"/>
  <c r="Z50" i="16"/>
  <c r="Z49" i="16"/>
  <c r="Z48" i="16"/>
  <c r="Z47" i="16"/>
  <c r="Z46" i="16"/>
  <c r="Z45" i="16"/>
  <c r="Z44" i="16"/>
  <c r="Z43" i="16"/>
  <c r="Z42" i="16"/>
  <c r="Z41" i="16"/>
  <c r="Z40" i="16"/>
  <c r="X5" i="16"/>
  <c r="X8" i="16"/>
  <c r="X9" i="16"/>
  <c r="X10" i="16"/>
  <c r="X11" i="16"/>
  <c r="X12" i="16"/>
  <c r="X13" i="16"/>
  <c r="X14" i="16"/>
  <c r="X15" i="16"/>
  <c r="X16" i="16"/>
  <c r="X17" i="16"/>
  <c r="X18" i="16"/>
  <c r="X19" i="16"/>
  <c r="X20" i="16"/>
  <c r="X21" i="16"/>
  <c r="X22" i="16"/>
  <c r="X23" i="16"/>
  <c r="X24" i="16"/>
  <c r="X25" i="16"/>
  <c r="X26" i="16"/>
  <c r="X27" i="16"/>
  <c r="Y28" i="16"/>
  <c r="V29" i="16"/>
  <c r="Y30" i="16"/>
  <c r="V31" i="16"/>
  <c r="Y32" i="16"/>
  <c r="V33" i="16"/>
  <c r="V35" i="16"/>
  <c r="Z36" i="16"/>
  <c r="X37" i="16"/>
  <c r="V38" i="16"/>
  <c r="X42" i="16"/>
  <c r="X46" i="16"/>
  <c r="Y297" i="16"/>
  <c r="Y295" i="16"/>
  <c r="Y293" i="16"/>
  <c r="Y291" i="16"/>
  <c r="Y289" i="16"/>
  <c r="Y287" i="16"/>
  <c r="Y285" i="16"/>
  <c r="Y283" i="16"/>
  <c r="Y281" i="16"/>
  <c r="Y279" i="16"/>
  <c r="Y277" i="16"/>
  <c r="Y275" i="16"/>
  <c r="Y273" i="16"/>
  <c r="Y271" i="16"/>
  <c r="Y269" i="16"/>
  <c r="Y267" i="16"/>
  <c r="Y265" i="16"/>
  <c r="Y263" i="16"/>
  <c r="Y261" i="16"/>
  <c r="Y259" i="16"/>
  <c r="Y257" i="16"/>
  <c r="Y255" i="16"/>
  <c r="Y254" i="16"/>
  <c r="Y253" i="16"/>
  <c r="Y252" i="16"/>
  <c r="Y251" i="16"/>
  <c r="Y250" i="16"/>
  <c r="Y249" i="16"/>
  <c r="Y248" i="16"/>
  <c r="Y247" i="16"/>
  <c r="Y246" i="16"/>
  <c r="Y245" i="16"/>
  <c r="Y244" i="16"/>
  <c r="Y243" i="16"/>
  <c r="Y242" i="16"/>
  <c r="Y241" i="16"/>
  <c r="Y240" i="16"/>
  <c r="Y239" i="16"/>
  <c r="Y238" i="16"/>
  <c r="Y237" i="16"/>
  <c r="Y296" i="16"/>
  <c r="Y294" i="16"/>
  <c r="Y292" i="16"/>
  <c r="Y290" i="16"/>
  <c r="Y288" i="16"/>
  <c r="Y286" i="16"/>
  <c r="Y284" i="16"/>
  <c r="Y282" i="16"/>
  <c r="Y280" i="16"/>
  <c r="Y278" i="16"/>
  <c r="Y276" i="16"/>
  <c r="Y274" i="16"/>
  <c r="Y272" i="16"/>
  <c r="Y270" i="16"/>
  <c r="Y268" i="16"/>
  <c r="Y266" i="16"/>
  <c r="Y264" i="16"/>
  <c r="Y262" i="16"/>
  <c r="Y260" i="16"/>
  <c r="Y258" i="16"/>
  <c r="Y256" i="16"/>
  <c r="Y232" i="16"/>
  <c r="Y230" i="16"/>
  <c r="Y228" i="16"/>
  <c r="Y226" i="16"/>
  <c r="Y224" i="16"/>
  <c r="Y222" i="16"/>
  <c r="Y220" i="16"/>
  <c r="Y218" i="16"/>
  <c r="Y216" i="16"/>
  <c r="Y214" i="16"/>
  <c r="Y212" i="16"/>
  <c r="Y210" i="16"/>
  <c r="Y208" i="16"/>
  <c r="Y206" i="16"/>
  <c r="Y236" i="16"/>
  <c r="Y235" i="16"/>
  <c r="Y234" i="16"/>
  <c r="Y204" i="16"/>
  <c r="Y203" i="16"/>
  <c r="Y202" i="16"/>
  <c r="Y201" i="16"/>
  <c r="Y200" i="16"/>
  <c r="Y199" i="16"/>
  <c r="Y198" i="16"/>
  <c r="Y197" i="16"/>
  <c r="Y196" i="16"/>
  <c r="Y195" i="16"/>
  <c r="Y194" i="16"/>
  <c r="Y193" i="16"/>
  <c r="Y192" i="16"/>
  <c r="Y191" i="16"/>
  <c r="Y190" i="16"/>
  <c r="Y189" i="16"/>
  <c r="Y188" i="16"/>
  <c r="Y187" i="16"/>
  <c r="Y186" i="16"/>
  <c r="Y185" i="16"/>
  <c r="Y184" i="16"/>
  <c r="Y183" i="16"/>
  <c r="Y182" i="16"/>
  <c r="Y181" i="16"/>
  <c r="Y180" i="16"/>
  <c r="Y179" i="16"/>
  <c r="Y178" i="16"/>
  <c r="Y177" i="16"/>
  <c r="Y176" i="16"/>
  <c r="Y175" i="16"/>
  <c r="Y174" i="16"/>
  <c r="Y173" i="16"/>
  <c r="Y172" i="16"/>
  <c r="Y171" i="16"/>
  <c r="Y170" i="16"/>
  <c r="Y169" i="16"/>
  <c r="Y168" i="16"/>
  <c r="Y167" i="16"/>
  <c r="Y166" i="16"/>
  <c r="Y165" i="16"/>
  <c r="Y164" i="16"/>
  <c r="Y163" i="16"/>
  <c r="Y162" i="16"/>
  <c r="Y161" i="16"/>
  <c r="Y160" i="16"/>
  <c r="Y159" i="16"/>
  <c r="Y158" i="16"/>
  <c r="Y157" i="16"/>
  <c r="Y156" i="16"/>
  <c r="Y155" i="16"/>
  <c r="Y154" i="16"/>
  <c r="Y153" i="16"/>
  <c r="Y233" i="16"/>
  <c r="Y231" i="16"/>
  <c r="Y229" i="16"/>
  <c r="Y227" i="16"/>
  <c r="Y225" i="16"/>
  <c r="Y223" i="16"/>
  <c r="Y221" i="16"/>
  <c r="Y219" i="16"/>
  <c r="Y217" i="16"/>
  <c r="Y215" i="16"/>
  <c r="Y213" i="16"/>
  <c r="Y211" i="16"/>
  <c r="Y209" i="16"/>
  <c r="Y207" i="16"/>
  <c r="Y205" i="16"/>
  <c r="Y150" i="16"/>
  <c r="Y148" i="16"/>
  <c r="Y146" i="16"/>
  <c r="Y149" i="16"/>
  <c r="Y147" i="16"/>
  <c r="Y145" i="16"/>
  <c r="Y144" i="16"/>
  <c r="Y143" i="16"/>
  <c r="Y142" i="16"/>
  <c r="Y141" i="16"/>
  <c r="Y140" i="16"/>
  <c r="Y139" i="16"/>
  <c r="Y138" i="16"/>
  <c r="Y137" i="16"/>
  <c r="Y136" i="16"/>
  <c r="Y135" i="16"/>
  <c r="Y134" i="16"/>
  <c r="Y133" i="16"/>
  <c r="Y132" i="16"/>
  <c r="Y131" i="16"/>
  <c r="Y130" i="16"/>
  <c r="Y129" i="16"/>
  <c r="Y128" i="16"/>
  <c r="Y127" i="16"/>
  <c r="Y126" i="16"/>
  <c r="Y125" i="16"/>
  <c r="Y124" i="16"/>
  <c r="Y123" i="16"/>
  <c r="Y122" i="16"/>
  <c r="Y121" i="16"/>
  <c r="Y120" i="16"/>
  <c r="Y119" i="16"/>
  <c r="Y118" i="16"/>
  <c r="Y117" i="16"/>
  <c r="Y116" i="16"/>
  <c r="Y115" i="16"/>
  <c r="Y114" i="16"/>
  <c r="Y113" i="16"/>
  <c r="Y112" i="16"/>
  <c r="Y111" i="16"/>
  <c r="Y110" i="16"/>
  <c r="Y109" i="16"/>
  <c r="Y108" i="16"/>
  <c r="Y107" i="16"/>
  <c r="Y106" i="16"/>
  <c r="Y105" i="16"/>
  <c r="Y104" i="16"/>
  <c r="Y103" i="16"/>
  <c r="Y102" i="16"/>
  <c r="Y101" i="16"/>
  <c r="Y100" i="16"/>
  <c r="Y99" i="16"/>
  <c r="Y152" i="16"/>
  <c r="Y151" i="16"/>
  <c r="Y98" i="16"/>
  <c r="Y97" i="16"/>
  <c r="Y96" i="16"/>
  <c r="Y95" i="16"/>
  <c r="Y94" i="16"/>
  <c r="Y93" i="16"/>
  <c r="Y92" i="16"/>
  <c r="Y91" i="16"/>
  <c r="Y90" i="16"/>
  <c r="Y89" i="16"/>
  <c r="Y88" i="16"/>
  <c r="Y87" i="16"/>
  <c r="Y86" i="16"/>
  <c r="Y85" i="16"/>
  <c r="Y84" i="16"/>
  <c r="Y83" i="16"/>
  <c r="Y82" i="16"/>
  <c r="Y81" i="16"/>
  <c r="Y80" i="16"/>
  <c r="Y79" i="16"/>
  <c r="Y78" i="16"/>
  <c r="Y77" i="16"/>
  <c r="Y76" i="16"/>
  <c r="Y75" i="16"/>
  <c r="Y74" i="16"/>
  <c r="Y73" i="16"/>
  <c r="Y72" i="16"/>
  <c r="Y71" i="16"/>
  <c r="Y69" i="16"/>
  <c r="Y67" i="16"/>
  <c r="Y66" i="16"/>
  <c r="Y65" i="16"/>
  <c r="Y64" i="16"/>
  <c r="Y63" i="16"/>
  <c r="Y62" i="16"/>
  <c r="Y61" i="16"/>
  <c r="Y60" i="16"/>
  <c r="Y59" i="16"/>
  <c r="Y58" i="16"/>
  <c r="Y57" i="16"/>
  <c r="Y56" i="16"/>
  <c r="Y55" i="16"/>
  <c r="Y54" i="16"/>
  <c r="Y53" i="16"/>
  <c r="Y52" i="16"/>
  <c r="Y51" i="16"/>
  <c r="Y50" i="16"/>
  <c r="Y49" i="16"/>
  <c r="Y48" i="16"/>
  <c r="Y47" i="16"/>
  <c r="Y46" i="16"/>
  <c r="Y45" i="16"/>
  <c r="Y44" i="16"/>
  <c r="Y43" i="16"/>
  <c r="Y42" i="16"/>
  <c r="Y41" i="16"/>
  <c r="Y40" i="16"/>
  <c r="Y39" i="16"/>
  <c r="Y38" i="16"/>
  <c r="Y37" i="16"/>
  <c r="Y36" i="16"/>
  <c r="Y70" i="16"/>
  <c r="Y68" i="16"/>
  <c r="W5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1" i="16"/>
  <c r="W229" i="16"/>
  <c r="W227" i="16"/>
  <c r="W225" i="16"/>
  <c r="W223" i="16"/>
  <c r="W221" i="16"/>
  <c r="W219" i="16"/>
  <c r="W217" i="16"/>
  <c r="W215" i="16"/>
  <c r="W213" i="16"/>
  <c r="W211" i="16"/>
  <c r="W209" i="16"/>
  <c r="W207" i="16"/>
  <c r="W205" i="16"/>
  <c r="W232" i="16"/>
  <c r="W230" i="16"/>
  <c r="W228" i="16"/>
  <c r="W226" i="16"/>
  <c r="W224" i="16"/>
  <c r="W222" i="16"/>
  <c r="W220" i="16"/>
  <c r="W218" i="16"/>
  <c r="W216" i="16"/>
  <c r="W214" i="16"/>
  <c r="W212" i="16"/>
  <c r="W210" i="16"/>
  <c r="W208" i="16"/>
  <c r="W206" i="16"/>
  <c r="W204" i="16"/>
  <c r="W203" i="16"/>
  <c r="W202" i="16"/>
  <c r="W201" i="16"/>
  <c r="W200" i="16"/>
  <c r="W199" i="16"/>
  <c r="W198" i="16"/>
  <c r="W197" i="16"/>
  <c r="W196" i="16"/>
  <c r="W195" i="16"/>
  <c r="W194" i="16"/>
  <c r="W193" i="16"/>
  <c r="W192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W173" i="16"/>
  <c r="W172" i="16"/>
  <c r="W171" i="16"/>
  <c r="W170" i="16"/>
  <c r="W169" i="16"/>
  <c r="W168" i="16"/>
  <c r="W167" i="16"/>
  <c r="W166" i="16"/>
  <c r="W165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49" i="16"/>
  <c r="W147" i="16"/>
  <c r="W145" i="16"/>
  <c r="W144" i="16"/>
  <c r="W143" i="16"/>
  <c r="W142" i="16"/>
  <c r="W141" i="16"/>
  <c r="W140" i="16"/>
  <c r="W139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150" i="16"/>
  <c r="W148" i="16"/>
  <c r="W146" i="16"/>
  <c r="W67" i="16"/>
  <c r="W66" i="16"/>
  <c r="W65" i="16"/>
  <c r="W64" i="16"/>
  <c r="W63" i="16"/>
  <c r="W62" i="16"/>
  <c r="W61" i="16"/>
  <c r="W60" i="16"/>
  <c r="W59" i="16"/>
  <c r="W58" i="16"/>
  <c r="W57" i="16"/>
  <c r="W56" i="16"/>
  <c r="W55" i="16"/>
  <c r="W54" i="16"/>
  <c r="W53" i="16"/>
  <c r="W52" i="16"/>
  <c r="W51" i="16"/>
  <c r="W50" i="16"/>
  <c r="W49" i="16"/>
  <c r="W48" i="16"/>
  <c r="W47" i="16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W29" i="16"/>
  <c r="W28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3" i="16"/>
  <c r="AA231" i="16"/>
  <c r="AA229" i="16"/>
  <c r="AA227" i="16"/>
  <c r="AA225" i="16"/>
  <c r="AA223" i="16"/>
  <c r="AA221" i="16"/>
  <c r="AA219" i="16"/>
  <c r="AA217" i="16"/>
  <c r="AA215" i="16"/>
  <c r="AA213" i="16"/>
  <c r="AA211" i="16"/>
  <c r="AA209" i="16"/>
  <c r="AA207" i="16"/>
  <c r="AA205" i="16"/>
  <c r="AA232" i="16"/>
  <c r="AA230" i="16"/>
  <c r="AA228" i="16"/>
  <c r="AA226" i="16"/>
  <c r="AA224" i="16"/>
  <c r="AA222" i="16"/>
  <c r="AA220" i="16"/>
  <c r="AA218" i="16"/>
  <c r="AA216" i="16"/>
  <c r="AA214" i="16"/>
  <c r="AA212" i="16"/>
  <c r="AA210" i="16"/>
  <c r="AA208" i="16"/>
  <c r="AA206" i="16"/>
  <c r="AA204" i="16"/>
  <c r="AA203" i="16"/>
  <c r="AA202" i="16"/>
  <c r="AA201" i="16"/>
  <c r="AA200" i="16"/>
  <c r="AA199" i="16"/>
  <c r="AA198" i="16"/>
  <c r="AA197" i="16"/>
  <c r="AA196" i="16"/>
  <c r="AA195" i="16"/>
  <c r="AA194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44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AA109" i="16"/>
  <c r="AA108" i="16"/>
  <c r="AA107" i="16"/>
  <c r="AA106" i="16"/>
  <c r="AA105" i="16"/>
  <c r="AA104" i="16"/>
  <c r="AA103" i="16"/>
  <c r="AA102" i="16"/>
  <c r="AA101" i="16"/>
  <c r="AA100" i="16"/>
  <c r="AA99" i="16"/>
  <c r="AA98" i="16"/>
  <c r="AA97" i="16"/>
  <c r="AA96" i="16"/>
  <c r="AA95" i="16"/>
  <c r="AA94" i="16"/>
  <c r="AA93" i="16"/>
  <c r="AA92" i="16"/>
  <c r="AA91" i="16"/>
  <c r="AA90" i="16"/>
  <c r="AA89" i="16"/>
  <c r="AA88" i="16"/>
  <c r="AA87" i="16"/>
  <c r="AA86" i="16"/>
  <c r="AA85" i="16"/>
  <c r="AA84" i="16"/>
  <c r="AA83" i="16"/>
  <c r="AA82" i="16"/>
  <c r="AA81" i="16"/>
  <c r="AA80" i="16"/>
  <c r="AA79" i="16"/>
  <c r="AA78" i="16"/>
  <c r="AA77" i="16"/>
  <c r="AA76" i="16"/>
  <c r="AA75" i="16"/>
  <c r="AA74" i="16"/>
  <c r="AA73" i="16"/>
  <c r="AA72" i="16"/>
  <c r="AA71" i="16"/>
  <c r="AA70" i="16"/>
  <c r="AA69" i="16"/>
  <c r="AA68" i="16"/>
  <c r="AA67" i="16"/>
  <c r="AA149" i="16"/>
  <c r="AA147" i="16"/>
  <c r="AA145" i="16"/>
  <c r="AA150" i="16"/>
  <c r="AA148" i="16"/>
  <c r="AA146" i="16"/>
  <c r="AA66" i="16"/>
  <c r="AA65" i="16"/>
  <c r="AA64" i="16"/>
  <c r="AA63" i="16"/>
  <c r="AA62" i="16"/>
  <c r="AA61" i="16"/>
  <c r="AA60" i="16"/>
  <c r="AA59" i="16"/>
  <c r="AA58" i="16"/>
  <c r="AA57" i="16"/>
  <c r="AA56" i="16"/>
  <c r="AA55" i="16"/>
  <c r="AA54" i="16"/>
  <c r="AA53" i="16"/>
  <c r="AA52" i="16"/>
  <c r="AA51" i="16"/>
  <c r="AA50" i="16"/>
  <c r="AA49" i="16"/>
  <c r="AA48" i="16"/>
  <c r="AA47" i="16"/>
  <c r="AA46" i="16"/>
  <c r="AA45" i="16"/>
  <c r="AA44" i="16"/>
  <c r="AA43" i="16"/>
  <c r="AA42" i="16"/>
  <c r="AA41" i="16"/>
  <c r="AA40" i="16"/>
  <c r="AA39" i="16"/>
  <c r="AA38" i="16"/>
  <c r="AA37" i="16"/>
  <c r="AA36" i="16"/>
  <c r="AA35" i="16"/>
  <c r="AA34" i="16"/>
  <c r="AA33" i="16"/>
  <c r="AA32" i="16"/>
  <c r="AA31" i="16"/>
  <c r="AA30" i="16"/>
  <c r="AA29" i="16"/>
  <c r="AA28" i="16"/>
  <c r="Y5" i="16"/>
  <c r="Y6" i="16"/>
  <c r="Y7" i="16"/>
  <c r="Y8" i="16"/>
  <c r="Y9" i="16"/>
  <c r="Y10" i="16"/>
  <c r="Y11" i="16"/>
  <c r="Y12" i="16"/>
  <c r="Y13" i="16"/>
  <c r="Y14" i="16"/>
  <c r="Y15" i="16"/>
  <c r="Y16" i="16"/>
  <c r="Y17" i="16"/>
  <c r="Y18" i="16"/>
  <c r="Y19" i="16"/>
  <c r="Y20" i="16"/>
  <c r="Y21" i="16"/>
  <c r="Y22" i="16"/>
  <c r="Y23" i="16"/>
  <c r="Y24" i="16"/>
  <c r="Y25" i="16"/>
  <c r="Y26" i="16"/>
  <c r="Y27" i="16"/>
  <c r="Z28" i="16"/>
  <c r="X29" i="16"/>
  <c r="Z30" i="16"/>
  <c r="X31" i="16"/>
  <c r="Z32" i="16"/>
  <c r="X33" i="16"/>
  <c r="Z34" i="16"/>
  <c r="X35" i="16"/>
  <c r="Z37" i="16"/>
  <c r="X38" i="16"/>
  <c r="V39" i="16"/>
  <c r="X41" i="16"/>
  <c r="X296" i="16"/>
  <c r="X294" i="16"/>
  <c r="X292" i="16"/>
  <c r="X290" i="16"/>
  <c r="X288" i="16"/>
  <c r="X286" i="16"/>
  <c r="X284" i="16"/>
  <c r="X282" i="16"/>
  <c r="X280" i="16"/>
  <c r="X278" i="16"/>
  <c r="X276" i="16"/>
  <c r="X274" i="16"/>
  <c r="X272" i="16"/>
  <c r="X270" i="16"/>
  <c r="X268" i="16"/>
  <c r="X266" i="16"/>
  <c r="X264" i="16"/>
  <c r="X262" i="16"/>
  <c r="X260" i="16"/>
  <c r="X258" i="16"/>
  <c r="X256" i="16"/>
  <c r="X297" i="16"/>
  <c r="X295" i="16"/>
  <c r="X293" i="16"/>
  <c r="X291" i="16"/>
  <c r="X289" i="16"/>
  <c r="X287" i="16"/>
  <c r="X285" i="16"/>
  <c r="X283" i="16"/>
  <c r="X281" i="16"/>
  <c r="X279" i="16"/>
  <c r="X277" i="16"/>
  <c r="X275" i="16"/>
  <c r="X273" i="16"/>
  <c r="X271" i="16"/>
  <c r="X269" i="16"/>
  <c r="X267" i="16"/>
  <c r="X265" i="16"/>
  <c r="X263" i="16"/>
  <c r="X261" i="16"/>
  <c r="X259" i="16"/>
  <c r="X257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39" i="16"/>
  <c r="X240" i="16"/>
  <c r="X232" i="16"/>
  <c r="X230" i="16"/>
  <c r="X228" i="16"/>
  <c r="X226" i="16"/>
  <c r="X224" i="16"/>
  <c r="X222" i="16"/>
  <c r="X220" i="16"/>
  <c r="X218" i="16"/>
  <c r="X216" i="16"/>
  <c r="X214" i="16"/>
  <c r="X212" i="16"/>
  <c r="X210" i="16"/>
  <c r="X208" i="16"/>
  <c r="X206" i="16"/>
  <c r="X241" i="16"/>
  <c r="X237" i="16"/>
  <c r="X236" i="16"/>
  <c r="X235" i="16"/>
  <c r="X234" i="16"/>
  <c r="X204" i="16"/>
  <c r="X203" i="16"/>
  <c r="X202" i="16"/>
  <c r="X201" i="16"/>
  <c r="X200" i="16"/>
  <c r="X199" i="16"/>
  <c r="X198" i="16"/>
  <c r="X197" i="16"/>
  <c r="X196" i="16"/>
  <c r="X195" i="16"/>
  <c r="X194" i="16"/>
  <c r="X193" i="16"/>
  <c r="X192" i="16"/>
  <c r="X191" i="16"/>
  <c r="X190" i="16"/>
  <c r="X189" i="16"/>
  <c r="X188" i="16"/>
  <c r="X187" i="16"/>
  <c r="X186" i="16"/>
  <c r="X185" i="16"/>
  <c r="X184" i="16"/>
  <c r="X183" i="16"/>
  <c r="X182" i="16"/>
  <c r="X181" i="16"/>
  <c r="X180" i="16"/>
  <c r="X179" i="16"/>
  <c r="X178" i="16"/>
  <c r="X242" i="16"/>
  <c r="X238" i="16"/>
  <c r="X233" i="16"/>
  <c r="X231" i="16"/>
  <c r="X229" i="16"/>
  <c r="X227" i="16"/>
  <c r="X225" i="16"/>
  <c r="X223" i="16"/>
  <c r="X221" i="16"/>
  <c r="X219" i="16"/>
  <c r="X217" i="16"/>
  <c r="X215" i="16"/>
  <c r="X213" i="16"/>
  <c r="X211" i="16"/>
  <c r="X209" i="16"/>
  <c r="X207" i="16"/>
  <c r="X205" i="16"/>
  <c r="X177" i="16"/>
  <c r="X173" i="16"/>
  <c r="X169" i="16"/>
  <c r="X165" i="16"/>
  <c r="X161" i="16"/>
  <c r="X157" i="16"/>
  <c r="X153" i="16"/>
  <c r="X152" i="16"/>
  <c r="X151" i="16"/>
  <c r="X174" i="16"/>
  <c r="X170" i="16"/>
  <c r="X166" i="16"/>
  <c r="X162" i="16"/>
  <c r="X158" i="16"/>
  <c r="X154" i="16"/>
  <c r="X150" i="16"/>
  <c r="X148" i="16"/>
  <c r="X146" i="16"/>
  <c r="X175" i="16"/>
  <c r="X171" i="16"/>
  <c r="X167" i="16"/>
  <c r="X163" i="16"/>
  <c r="X159" i="16"/>
  <c r="X155" i="16"/>
  <c r="X176" i="16"/>
  <c r="X172" i="16"/>
  <c r="X168" i="16"/>
  <c r="X164" i="16"/>
  <c r="X160" i="16"/>
  <c r="X156" i="16"/>
  <c r="X149" i="16"/>
  <c r="X147" i="16"/>
  <c r="X145" i="16"/>
  <c r="X144" i="16"/>
  <c r="X143" i="16"/>
  <c r="X142" i="16"/>
  <c r="X141" i="16"/>
  <c r="X140" i="16"/>
  <c r="X139" i="16"/>
  <c r="X138" i="16"/>
  <c r="X137" i="16"/>
  <c r="X136" i="16"/>
  <c r="X135" i="16"/>
  <c r="X134" i="16"/>
  <c r="X133" i="16"/>
  <c r="X132" i="16"/>
  <c r="X131" i="16"/>
  <c r="X130" i="16"/>
  <c r="X129" i="16"/>
  <c r="X128" i="16"/>
  <c r="X127" i="16"/>
  <c r="X126" i="16"/>
  <c r="X125" i="16"/>
  <c r="X124" i="16"/>
  <c r="X123" i="16"/>
  <c r="X122" i="16"/>
  <c r="X121" i="16"/>
  <c r="X120" i="16"/>
  <c r="X119" i="16"/>
  <c r="X118" i="16"/>
  <c r="X117" i="16"/>
  <c r="X116" i="16"/>
  <c r="X115" i="16"/>
  <c r="X114" i="16"/>
  <c r="X113" i="16"/>
  <c r="X112" i="16"/>
  <c r="X111" i="16"/>
  <c r="X110" i="16"/>
  <c r="X109" i="16"/>
  <c r="X108" i="16"/>
  <c r="X107" i="16"/>
  <c r="X106" i="16"/>
  <c r="X105" i="16"/>
  <c r="X102" i="16"/>
  <c r="X103" i="16"/>
  <c r="X99" i="16"/>
  <c r="X98" i="16"/>
  <c r="X97" i="16"/>
  <c r="X96" i="16"/>
  <c r="X95" i="16"/>
  <c r="X94" i="16"/>
  <c r="X93" i="16"/>
  <c r="X92" i="16"/>
  <c r="X91" i="16"/>
  <c r="X90" i="16"/>
  <c r="X89" i="16"/>
  <c r="X88" i="16"/>
  <c r="X87" i="16"/>
  <c r="X86" i="16"/>
  <c r="X85" i="16"/>
  <c r="X84" i="16"/>
  <c r="X83" i="16"/>
  <c r="X82" i="16"/>
  <c r="X81" i="16"/>
  <c r="X80" i="16"/>
  <c r="X79" i="16"/>
  <c r="X78" i="16"/>
  <c r="X77" i="16"/>
  <c r="X76" i="16"/>
  <c r="X75" i="16"/>
  <c r="X74" i="16"/>
  <c r="X73" i="16"/>
  <c r="X72" i="16"/>
  <c r="X71" i="16"/>
  <c r="X69" i="16"/>
  <c r="X67" i="16"/>
  <c r="X66" i="16"/>
  <c r="X65" i="16"/>
  <c r="X64" i="16"/>
  <c r="X63" i="16"/>
  <c r="X62" i="16"/>
  <c r="X61" i="16"/>
  <c r="X60" i="16"/>
  <c r="X59" i="16"/>
  <c r="X58" i="16"/>
  <c r="X57" i="16"/>
  <c r="X56" i="16"/>
  <c r="X55" i="16"/>
  <c r="X54" i="16"/>
  <c r="X53" i="16"/>
  <c r="X52" i="16"/>
  <c r="X51" i="16"/>
  <c r="X50" i="16"/>
  <c r="X49" i="16"/>
  <c r="X48" i="16"/>
  <c r="X104" i="16"/>
  <c r="X100" i="16"/>
  <c r="X101" i="16"/>
  <c r="X70" i="16"/>
  <c r="X68" i="16"/>
  <c r="V5" i="16"/>
  <c r="Z5" i="16"/>
  <c r="V6" i="16"/>
  <c r="Z6" i="16"/>
  <c r="V7" i="16"/>
  <c r="Z7" i="16"/>
  <c r="V8" i="16"/>
  <c r="Z8" i="16"/>
  <c r="V9" i="16"/>
  <c r="Z9" i="16"/>
  <c r="V10" i="16"/>
  <c r="Z10" i="16"/>
  <c r="V11" i="16"/>
  <c r="Z11" i="16"/>
  <c r="V12" i="16"/>
  <c r="Z12" i="16"/>
  <c r="V13" i="16"/>
  <c r="Z13" i="16"/>
  <c r="V14" i="16"/>
  <c r="Z14" i="16"/>
  <c r="V15" i="16"/>
  <c r="Z15" i="16"/>
  <c r="V16" i="16"/>
  <c r="Z16" i="16"/>
  <c r="V17" i="16"/>
  <c r="Z17" i="16"/>
  <c r="V18" i="16"/>
  <c r="Z18" i="16"/>
  <c r="V19" i="16"/>
  <c r="Z19" i="16"/>
  <c r="V20" i="16"/>
  <c r="Z20" i="16"/>
  <c r="V21" i="16"/>
  <c r="Z21" i="16"/>
  <c r="V22" i="16"/>
  <c r="Z22" i="16"/>
  <c r="V23" i="16"/>
  <c r="Z23" i="16"/>
  <c r="V24" i="16"/>
  <c r="Z24" i="16"/>
  <c r="V25" i="16"/>
  <c r="Z25" i="16"/>
  <c r="V26" i="16"/>
  <c r="Z26" i="16"/>
  <c r="V27" i="16"/>
  <c r="Z27" i="16"/>
  <c r="V28" i="16"/>
  <c r="Y29" i="16"/>
  <c r="V30" i="16"/>
  <c r="Y31" i="16"/>
  <c r="V32" i="16"/>
  <c r="Y33" i="16"/>
  <c r="V34" i="16"/>
  <c r="Y35" i="16"/>
  <c r="V36" i="16"/>
  <c r="Z38" i="16"/>
  <c r="X39" i="16"/>
  <c r="X40" i="16"/>
  <c r="X44" i="16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6" i="15"/>
  <c r="AA215" i="15"/>
  <c r="AA214" i="15"/>
  <c r="AA213" i="15"/>
  <c r="AA212" i="15"/>
  <c r="AA211" i="15"/>
  <c r="AA210" i="15"/>
  <c r="AA209" i="15"/>
  <c r="AA208" i="15"/>
  <c r="AA207" i="15"/>
  <c r="AA206" i="15"/>
  <c r="AA205" i="15"/>
  <c r="AA204" i="15"/>
  <c r="AA203" i="15"/>
  <c r="AA202" i="15"/>
  <c r="AA201" i="15"/>
  <c r="AA200" i="15"/>
  <c r="AA199" i="15"/>
  <c r="AA198" i="15"/>
  <c r="AA197" i="15"/>
  <c r="AA196" i="15"/>
  <c r="AA195" i="15"/>
  <c r="AA194" i="15"/>
  <c r="AA193" i="15"/>
  <c r="AA192" i="15"/>
  <c r="AA191" i="15"/>
  <c r="AA190" i="15"/>
  <c r="AA189" i="15"/>
  <c r="AA188" i="15"/>
  <c r="AA187" i="15"/>
  <c r="AA186" i="15"/>
  <c r="AA185" i="15"/>
  <c r="AA184" i="15"/>
  <c r="AA183" i="15"/>
  <c r="AA182" i="15"/>
  <c r="AA181" i="15"/>
  <c r="AA180" i="15"/>
  <c r="AA179" i="15"/>
  <c r="AA178" i="15"/>
  <c r="AA177" i="15"/>
  <c r="AA176" i="15"/>
  <c r="AA175" i="15"/>
  <c r="AA174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7" i="15"/>
  <c r="AA126" i="15"/>
  <c r="AA125" i="15"/>
  <c r="AA124" i="15"/>
  <c r="AA123" i="15"/>
  <c r="AA122" i="15"/>
  <c r="AA121" i="15"/>
  <c r="AA120" i="15"/>
  <c r="AA119" i="15"/>
  <c r="AA118" i="15"/>
  <c r="AA117" i="15"/>
  <c r="AA116" i="15"/>
  <c r="AA115" i="15"/>
  <c r="AA114" i="15"/>
  <c r="AA113" i="15"/>
  <c r="AA112" i="15"/>
  <c r="AA111" i="15"/>
  <c r="AA110" i="15"/>
  <c r="AA109" i="15"/>
  <c r="AA108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AA92" i="15"/>
  <c r="AA91" i="15"/>
  <c r="AA90" i="15"/>
  <c r="AA89" i="15"/>
  <c r="AA88" i="15"/>
  <c r="AA87" i="15"/>
  <c r="AA86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70" i="15"/>
  <c r="AA69" i="15"/>
  <c r="AA68" i="15"/>
  <c r="AA67" i="15"/>
  <c r="AA66" i="15"/>
  <c r="AA65" i="15"/>
  <c r="AA64" i="15"/>
  <c r="AA63" i="15"/>
  <c r="AA62" i="15"/>
  <c r="AA61" i="15"/>
  <c r="AA60" i="15"/>
  <c r="AA59" i="15"/>
  <c r="AA58" i="15"/>
  <c r="AA57" i="15"/>
  <c r="AA56" i="15"/>
  <c r="AA55" i="15"/>
  <c r="AA54" i="15"/>
  <c r="AA52" i="15"/>
  <c r="AA51" i="15"/>
  <c r="AA50" i="15"/>
  <c r="AA49" i="15"/>
  <c r="AA48" i="15"/>
  <c r="AA47" i="15"/>
  <c r="AA46" i="15"/>
  <c r="AA45" i="15"/>
  <c r="AA44" i="15"/>
  <c r="AA43" i="15"/>
  <c r="AA42" i="15"/>
  <c r="AA41" i="15"/>
  <c r="AA40" i="15"/>
  <c r="AA39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7" i="15"/>
  <c r="AA16" i="15"/>
  <c r="AA15" i="15"/>
  <c r="AA14" i="15"/>
  <c r="AA13" i="15"/>
  <c r="AA12" i="15"/>
  <c r="AA11" i="15"/>
  <c r="AA10" i="15"/>
  <c r="AA9" i="15"/>
  <c r="AA8" i="15"/>
  <c r="AA7" i="15"/>
  <c r="AA6" i="15"/>
  <c r="AA5" i="15"/>
  <c r="V8" i="15"/>
  <c r="Y11" i="15"/>
  <c r="Z14" i="15"/>
  <c r="Z18" i="15"/>
  <c r="Z22" i="15"/>
  <c r="Z26" i="15"/>
  <c r="Z30" i="15"/>
  <c r="Z34" i="15"/>
  <c r="Y39" i="15"/>
  <c r="V44" i="15"/>
  <c r="V48" i="15"/>
  <c r="Z51" i="15"/>
  <c r="X65" i="15"/>
  <c r="X81" i="15"/>
  <c r="X96" i="15"/>
  <c r="V131" i="15"/>
  <c r="Y254" i="15"/>
  <c r="Y207" i="15"/>
  <c r="Y186" i="15"/>
  <c r="V139" i="15"/>
  <c r="V132" i="15"/>
  <c r="V124" i="15"/>
  <c r="V123" i="15"/>
  <c r="V115" i="15"/>
  <c r="Z107" i="15"/>
  <c r="Z105" i="15"/>
  <c r="Z103" i="15"/>
  <c r="Z101" i="15"/>
  <c r="Y100" i="15"/>
  <c r="Y99" i="15"/>
  <c r="Y98" i="15"/>
  <c r="Y97" i="15"/>
  <c r="Y96" i="15"/>
  <c r="Y95" i="15"/>
  <c r="Y94" i="15"/>
  <c r="Y93" i="15"/>
  <c r="Y92" i="15"/>
  <c r="Y91" i="15"/>
  <c r="Y90" i="15"/>
  <c r="Y89" i="15"/>
  <c r="Y88" i="15"/>
  <c r="Y87" i="15"/>
  <c r="Y85" i="15"/>
  <c r="Y84" i="15"/>
  <c r="Y83" i="15"/>
  <c r="Y82" i="15"/>
  <c r="Y81" i="15"/>
  <c r="Y80" i="15"/>
  <c r="Y79" i="15"/>
  <c r="Y78" i="15"/>
  <c r="Y77" i="15"/>
  <c r="Y76" i="15"/>
  <c r="Y75" i="15"/>
  <c r="Y74" i="15"/>
  <c r="Y73" i="15"/>
  <c r="Y72" i="15"/>
  <c r="Y71" i="15"/>
  <c r="Y70" i="15"/>
  <c r="Y69" i="15"/>
  <c r="Y68" i="15"/>
  <c r="Y67" i="15"/>
  <c r="Y66" i="15"/>
  <c r="Y65" i="15"/>
  <c r="Y64" i="15"/>
  <c r="Y63" i="15"/>
  <c r="Y62" i="15"/>
  <c r="Y61" i="15"/>
  <c r="Y60" i="15"/>
  <c r="V5" i="15"/>
  <c r="Y8" i="15"/>
  <c r="V9" i="15"/>
  <c r="Z11" i="15"/>
  <c r="Y12" i="15"/>
  <c r="Z15" i="15"/>
  <c r="Y16" i="15"/>
  <c r="V17" i="15"/>
  <c r="Z19" i="15"/>
  <c r="Y20" i="15"/>
  <c r="V21" i="15"/>
  <c r="Z23" i="15"/>
  <c r="Y24" i="15"/>
  <c r="V25" i="15"/>
  <c r="Z27" i="15"/>
  <c r="Y28" i="15"/>
  <c r="V29" i="15"/>
  <c r="Z31" i="15"/>
  <c r="Y32" i="15"/>
  <c r="V33" i="15"/>
  <c r="Z35" i="15"/>
  <c r="Y36" i="15"/>
  <c r="V37" i="15"/>
  <c r="Z39" i="15"/>
  <c r="Y40" i="15"/>
  <c r="V41" i="15"/>
  <c r="Z43" i="15"/>
  <c r="Y44" i="15"/>
  <c r="V45" i="15"/>
  <c r="Z47" i="15"/>
  <c r="Y48" i="15"/>
  <c r="V50" i="15"/>
  <c r="Z52" i="15"/>
  <c r="Y53" i="15"/>
  <c r="X54" i="15"/>
  <c r="X55" i="15"/>
  <c r="X56" i="15"/>
  <c r="X57" i="15"/>
  <c r="X58" i="15"/>
  <c r="X59" i="15"/>
  <c r="X60" i="15"/>
  <c r="X64" i="15"/>
  <c r="X68" i="15"/>
  <c r="X72" i="15"/>
  <c r="X76" i="15"/>
  <c r="X80" i="15"/>
  <c r="X84" i="15"/>
  <c r="X87" i="15"/>
  <c r="X91" i="15"/>
  <c r="X95" i="15"/>
  <c r="X99" i="15"/>
  <c r="Y103" i="15"/>
  <c r="Y107" i="15"/>
  <c r="X111" i="15"/>
  <c r="X119" i="15"/>
  <c r="Z126" i="15"/>
  <c r="Z133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41" i="15"/>
  <c r="W240" i="15"/>
  <c r="W239" i="15"/>
  <c r="W238" i="15"/>
  <c r="W237" i="15"/>
  <c r="W236" i="15"/>
  <c r="W235" i="15"/>
  <c r="W234" i="15"/>
  <c r="W233" i="15"/>
  <c r="W232" i="15"/>
  <c r="W231" i="15"/>
  <c r="W230" i="15"/>
  <c r="W229" i="15"/>
  <c r="W228" i="15"/>
  <c r="W227" i="15"/>
  <c r="W226" i="15"/>
  <c r="W225" i="15"/>
  <c r="W224" i="15"/>
  <c r="W223" i="15"/>
  <c r="W222" i="15"/>
  <c r="W221" i="15"/>
  <c r="W220" i="15"/>
  <c r="W219" i="15"/>
  <c r="W218" i="15"/>
  <c r="W217" i="15"/>
  <c r="W216" i="15"/>
  <c r="W215" i="15"/>
  <c r="W214" i="15"/>
  <c r="W213" i="15"/>
  <c r="W212" i="15"/>
  <c r="W211" i="15"/>
  <c r="W210" i="15"/>
  <c r="W209" i="15"/>
  <c r="W208" i="15"/>
  <c r="W207" i="15"/>
  <c r="W206" i="15"/>
  <c r="W205" i="15"/>
  <c r="W204" i="15"/>
  <c r="W203" i="15"/>
  <c r="W202" i="15"/>
  <c r="W201" i="15"/>
  <c r="W200" i="15"/>
  <c r="W199" i="15"/>
  <c r="W198" i="15"/>
  <c r="W197" i="15"/>
  <c r="W196" i="15"/>
  <c r="W195" i="15"/>
  <c r="W194" i="15"/>
  <c r="W193" i="15"/>
  <c r="W192" i="15"/>
  <c r="W191" i="15"/>
  <c r="W190" i="15"/>
  <c r="W189" i="15"/>
  <c r="W188" i="15"/>
  <c r="W187" i="15"/>
  <c r="W186" i="15"/>
  <c r="W185" i="15"/>
  <c r="W184" i="15"/>
  <c r="W183" i="15"/>
  <c r="W182" i="15"/>
  <c r="W181" i="15"/>
  <c r="W180" i="15"/>
  <c r="W179" i="15"/>
  <c r="W178" i="15"/>
  <c r="W177" i="15"/>
  <c r="W176" i="15"/>
  <c r="W175" i="15"/>
  <c r="W174" i="15"/>
  <c r="W173" i="15"/>
  <c r="W172" i="15"/>
  <c r="W171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38" i="15"/>
  <c r="W137" i="15"/>
  <c r="W136" i="15"/>
  <c r="W135" i="15"/>
  <c r="W134" i="15"/>
  <c r="W133" i="15"/>
  <c r="W132" i="15"/>
  <c r="W131" i="15"/>
  <c r="W130" i="15"/>
  <c r="W129" i="15"/>
  <c r="W128" i="15"/>
  <c r="W127" i="15"/>
  <c r="W126" i="15"/>
  <c r="W125" i="15"/>
  <c r="W124" i="15"/>
  <c r="W123" i="15"/>
  <c r="W122" i="15"/>
  <c r="W121" i="15"/>
  <c r="W120" i="15"/>
  <c r="W119" i="15"/>
  <c r="W118" i="15"/>
  <c r="W117" i="15"/>
  <c r="W116" i="15"/>
  <c r="W115" i="15"/>
  <c r="W114" i="15"/>
  <c r="W113" i="15"/>
  <c r="W112" i="15"/>
  <c r="W111" i="15"/>
  <c r="W110" i="15"/>
  <c r="W109" i="15"/>
  <c r="W108" i="15"/>
  <c r="W107" i="15"/>
  <c r="W106" i="15"/>
  <c r="W105" i="15"/>
  <c r="W104" i="15"/>
  <c r="W103" i="15"/>
  <c r="W102" i="15"/>
  <c r="W101" i="15"/>
  <c r="W100" i="15"/>
  <c r="W99" i="15"/>
  <c r="W98" i="15"/>
  <c r="W97" i="15"/>
  <c r="W96" i="15"/>
  <c r="W95" i="15"/>
  <c r="W94" i="15"/>
  <c r="W93" i="15"/>
  <c r="W92" i="15"/>
  <c r="W91" i="15"/>
  <c r="W90" i="15"/>
  <c r="W89" i="15"/>
  <c r="W88" i="15"/>
  <c r="W87" i="15"/>
  <c r="W86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70" i="15"/>
  <c r="W69" i="15"/>
  <c r="W68" i="15"/>
  <c r="W67" i="15"/>
  <c r="W66" i="15"/>
  <c r="W65" i="15"/>
  <c r="W64" i="15"/>
  <c r="W63" i="15"/>
  <c r="W62" i="15"/>
  <c r="W61" i="15"/>
  <c r="W60" i="15"/>
  <c r="W59" i="15"/>
  <c r="W58" i="15"/>
  <c r="W57" i="15"/>
  <c r="W56" i="15"/>
  <c r="W55" i="15"/>
  <c r="W54" i="15"/>
  <c r="W53" i="15"/>
  <c r="W52" i="15"/>
  <c r="W51" i="15"/>
  <c r="W50" i="15"/>
  <c r="W48" i="15"/>
  <c r="W47" i="15"/>
  <c r="W46" i="15"/>
  <c r="W45" i="15"/>
  <c r="W44" i="15"/>
  <c r="W43" i="15"/>
  <c r="W42" i="15"/>
  <c r="W41" i="15"/>
  <c r="W40" i="15"/>
  <c r="W39" i="15"/>
  <c r="W38" i="15"/>
  <c r="W37" i="15"/>
  <c r="W36" i="15"/>
  <c r="W35" i="15"/>
  <c r="W34" i="15"/>
  <c r="W33" i="15"/>
  <c r="W32" i="15"/>
  <c r="W31" i="15"/>
  <c r="W30" i="15"/>
  <c r="W29" i="15"/>
  <c r="W28" i="15"/>
  <c r="W27" i="15"/>
  <c r="W26" i="15"/>
  <c r="W25" i="15"/>
  <c r="W24" i="15"/>
  <c r="W23" i="15"/>
  <c r="W22" i="15"/>
  <c r="W21" i="15"/>
  <c r="W20" i="15"/>
  <c r="W19" i="15"/>
  <c r="W18" i="15"/>
  <c r="W17" i="15"/>
  <c r="W16" i="15"/>
  <c r="W15" i="15"/>
  <c r="W14" i="15"/>
  <c r="W13" i="15"/>
  <c r="W12" i="15"/>
  <c r="W11" i="15"/>
  <c r="W10" i="15"/>
  <c r="W9" i="15"/>
  <c r="W8" i="15"/>
  <c r="W7" i="15"/>
  <c r="W6" i="15"/>
  <c r="W5" i="15"/>
  <c r="Z6" i="15"/>
  <c r="V12" i="15"/>
  <c r="V16" i="15"/>
  <c r="Y19" i="15"/>
  <c r="V24" i="15"/>
  <c r="Y27" i="15"/>
  <c r="V32" i="15"/>
  <c r="Y35" i="15"/>
  <c r="Z38" i="15"/>
  <c r="Y43" i="15"/>
  <c r="Z46" i="15"/>
  <c r="Y52" i="15"/>
  <c r="X61" i="15"/>
  <c r="X73" i="15"/>
  <c r="X85" i="15"/>
  <c r="X92" i="15"/>
  <c r="V104" i="15"/>
  <c r="X127" i="15"/>
  <c r="M49" i="15"/>
  <c r="W49" i="15" s="1"/>
  <c r="M86" i="15"/>
  <c r="Y86" i="15" s="1"/>
  <c r="Y5" i="15"/>
  <c r="Z8" i="15"/>
  <c r="Y9" i="15"/>
  <c r="V10" i="15"/>
  <c r="Z12" i="15"/>
  <c r="Y13" i="15"/>
  <c r="V14" i="15"/>
  <c r="Z16" i="15"/>
  <c r="Y17" i="15"/>
  <c r="V18" i="15"/>
  <c r="Z20" i="15"/>
  <c r="Y21" i="15"/>
  <c r="V22" i="15"/>
  <c r="Z24" i="15"/>
  <c r="Y25" i="15"/>
  <c r="V26" i="15"/>
  <c r="Z28" i="15"/>
  <c r="Y29" i="15"/>
  <c r="V30" i="15"/>
  <c r="Z32" i="15"/>
  <c r="Y33" i="15"/>
  <c r="V34" i="15"/>
  <c r="Z36" i="15"/>
  <c r="Y37" i="15"/>
  <c r="V38" i="15"/>
  <c r="Z40" i="15"/>
  <c r="Y41" i="15"/>
  <c r="V42" i="15"/>
  <c r="Z44" i="15"/>
  <c r="Y45" i="15"/>
  <c r="V46" i="15"/>
  <c r="Z48" i="15"/>
  <c r="Y50" i="15"/>
  <c r="V51" i="15"/>
  <c r="AA53" i="15"/>
  <c r="Y54" i="15"/>
  <c r="Y55" i="15"/>
  <c r="Y56" i="15"/>
  <c r="Y57" i="15"/>
  <c r="Y58" i="15"/>
  <c r="Y59" i="15"/>
  <c r="X63" i="15"/>
  <c r="X67" i="15"/>
  <c r="X71" i="15"/>
  <c r="X75" i="15"/>
  <c r="X79" i="15"/>
  <c r="X83" i="15"/>
  <c r="X86" i="15"/>
  <c r="X90" i="15"/>
  <c r="X94" i="15"/>
  <c r="V102" i="15"/>
  <c r="V106" i="15"/>
  <c r="Z110" i="15"/>
  <c r="Z118" i="15"/>
  <c r="Z125" i="15"/>
  <c r="Y7" i="15"/>
  <c r="Z10" i="15"/>
  <c r="Y15" i="15"/>
  <c r="V20" i="15"/>
  <c r="Y23" i="15"/>
  <c r="V28" i="15"/>
  <c r="Y31" i="15"/>
  <c r="V36" i="15"/>
  <c r="V40" i="15"/>
  <c r="Z42" i="15"/>
  <c r="Y47" i="15"/>
  <c r="V53" i="15"/>
  <c r="X69" i="15"/>
  <c r="X77" i="15"/>
  <c r="X88" i="15"/>
  <c r="X100" i="15"/>
  <c r="V108" i="15"/>
  <c r="V116" i="15"/>
  <c r="X297" i="15"/>
  <c r="X293" i="15"/>
  <c r="X289" i="15"/>
  <c r="X285" i="15"/>
  <c r="X281" i="15"/>
  <c r="X277" i="15"/>
  <c r="X273" i="15"/>
  <c r="X269" i="15"/>
  <c r="X268" i="15"/>
  <c r="X267" i="15"/>
  <c r="X266" i="15"/>
  <c r="X265" i="15"/>
  <c r="X264" i="15"/>
  <c r="X263" i="15"/>
  <c r="X262" i="15"/>
  <c r="X261" i="15"/>
  <c r="X260" i="15"/>
  <c r="X259" i="15"/>
  <c r="X258" i="15"/>
  <c r="X257" i="15"/>
  <c r="X256" i="15"/>
  <c r="X255" i="15"/>
  <c r="X254" i="15"/>
  <c r="X253" i="15"/>
  <c r="X252" i="15"/>
  <c r="X251" i="15"/>
  <c r="X250" i="15"/>
  <c r="X249" i="15"/>
  <c r="X248" i="15"/>
  <c r="X247" i="15"/>
  <c r="X246" i="15"/>
  <c r="X245" i="15"/>
  <c r="X244" i="15"/>
  <c r="X243" i="15"/>
  <c r="X242" i="15"/>
  <c r="X241" i="15"/>
  <c r="X240" i="15"/>
  <c r="X239" i="15"/>
  <c r="X238" i="15"/>
  <c r="X237" i="15"/>
  <c r="X236" i="15"/>
  <c r="X235" i="15"/>
  <c r="X234" i="15"/>
  <c r="X233" i="15"/>
  <c r="X232" i="15"/>
  <c r="X231" i="15"/>
  <c r="X230" i="15"/>
  <c r="X229" i="15"/>
  <c r="X228" i="15"/>
  <c r="X227" i="15"/>
  <c r="X294" i="15"/>
  <c r="X290" i="15"/>
  <c r="X286" i="15"/>
  <c r="X282" i="15"/>
  <c r="X278" i="15"/>
  <c r="X274" i="15"/>
  <c r="X270" i="15"/>
  <c r="X295" i="15"/>
  <c r="X291" i="15"/>
  <c r="X287" i="15"/>
  <c r="X283" i="15"/>
  <c r="X279" i="15"/>
  <c r="X275" i="15"/>
  <c r="X271" i="15"/>
  <c r="X288" i="15"/>
  <c r="X272" i="15"/>
  <c r="X226" i="15"/>
  <c r="X225" i="15"/>
  <c r="X224" i="15"/>
  <c r="X223" i="15"/>
  <c r="X222" i="15"/>
  <c r="X221" i="15"/>
  <c r="X220" i="15"/>
  <c r="X219" i="15"/>
  <c r="X218" i="15"/>
  <c r="X217" i="15"/>
  <c r="X216" i="15"/>
  <c r="X215" i="15"/>
  <c r="X214" i="15"/>
  <c r="X213" i="15"/>
  <c r="X212" i="15"/>
  <c r="X211" i="15"/>
  <c r="X210" i="15"/>
  <c r="X209" i="15"/>
  <c r="X208" i="15"/>
  <c r="X207" i="15"/>
  <c r="X206" i="15"/>
  <c r="X205" i="15"/>
  <c r="X204" i="15"/>
  <c r="X203" i="15"/>
  <c r="X202" i="15"/>
  <c r="X201" i="15"/>
  <c r="X200" i="15"/>
  <c r="X199" i="15"/>
  <c r="X198" i="15"/>
  <c r="X197" i="15"/>
  <c r="X196" i="15"/>
  <c r="X195" i="15"/>
  <c r="X194" i="15"/>
  <c r="X193" i="15"/>
  <c r="X192" i="15"/>
  <c r="X191" i="15"/>
  <c r="X190" i="15"/>
  <c r="X189" i="15"/>
  <c r="X188" i="15"/>
  <c r="X284" i="15"/>
  <c r="X296" i="15"/>
  <c r="X280" i="15"/>
  <c r="X187" i="15"/>
  <c r="X186" i="15"/>
  <c r="X185" i="15"/>
  <c r="X184" i="15"/>
  <c r="X183" i="15"/>
  <c r="X182" i="15"/>
  <c r="X181" i="15"/>
  <c r="X180" i="15"/>
  <c r="X179" i="15"/>
  <c r="X178" i="15"/>
  <c r="X177" i="15"/>
  <c r="X176" i="15"/>
  <c r="X175" i="15"/>
  <c r="X174" i="15"/>
  <c r="X173" i="15"/>
  <c r="X172" i="15"/>
  <c r="X171" i="15"/>
  <c r="X170" i="15"/>
  <c r="X169" i="15"/>
  <c r="X168" i="15"/>
  <c r="X167" i="15"/>
  <c r="X166" i="15"/>
  <c r="X165" i="15"/>
  <c r="X164" i="15"/>
  <c r="X163" i="15"/>
  <c r="X162" i="15"/>
  <c r="X161" i="15"/>
  <c r="X160" i="15"/>
  <c r="X159" i="15"/>
  <c r="X158" i="15"/>
  <c r="X157" i="15"/>
  <c r="X156" i="15"/>
  <c r="X155" i="15"/>
  <c r="X154" i="15"/>
  <c r="X153" i="15"/>
  <c r="X152" i="15"/>
  <c r="X151" i="15"/>
  <c r="X150" i="15"/>
  <c r="X149" i="15"/>
  <c r="X148" i="15"/>
  <c r="X147" i="15"/>
  <c r="X146" i="15"/>
  <c r="X145" i="15"/>
  <c r="X144" i="15"/>
  <c r="X143" i="15"/>
  <c r="X142" i="15"/>
  <c r="X141" i="15"/>
  <c r="X292" i="15"/>
  <c r="X137" i="15"/>
  <c r="X133" i="15"/>
  <c r="X129" i="15"/>
  <c r="X125" i="15"/>
  <c r="X121" i="15"/>
  <c r="X117" i="15"/>
  <c r="X113" i="15"/>
  <c r="X109" i="15"/>
  <c r="X107" i="15"/>
  <c r="X105" i="15"/>
  <c r="X103" i="15"/>
  <c r="X101" i="15"/>
  <c r="X140" i="15"/>
  <c r="X136" i="15"/>
  <c r="X132" i="15"/>
  <c r="X128" i="15"/>
  <c r="X124" i="15"/>
  <c r="X120" i="15"/>
  <c r="X116" i="15"/>
  <c r="X112" i="15"/>
  <c r="X276" i="15"/>
  <c r="X139" i="15"/>
  <c r="X135" i="15"/>
  <c r="X134" i="15"/>
  <c r="X126" i="15"/>
  <c r="X118" i="15"/>
  <c r="X110" i="15"/>
  <c r="X53" i="15"/>
  <c r="X52" i="15"/>
  <c r="X51" i="15"/>
  <c r="X50" i="15"/>
  <c r="X48" i="15"/>
  <c r="X47" i="15"/>
  <c r="X46" i="15"/>
  <c r="X45" i="15"/>
  <c r="X44" i="15"/>
  <c r="X43" i="15"/>
  <c r="X42" i="15"/>
  <c r="X41" i="15"/>
  <c r="X40" i="15"/>
  <c r="X39" i="15"/>
  <c r="X38" i="15"/>
  <c r="X37" i="15"/>
  <c r="X36" i="15"/>
  <c r="X35" i="15"/>
  <c r="X34" i="15"/>
  <c r="X33" i="15"/>
  <c r="X32" i="15"/>
  <c r="X31" i="15"/>
  <c r="X30" i="15"/>
  <c r="X29" i="15"/>
  <c r="X28" i="15"/>
  <c r="X27" i="15"/>
  <c r="X26" i="15"/>
  <c r="X25" i="15"/>
  <c r="X24" i="15"/>
  <c r="X23" i="15"/>
  <c r="X22" i="15"/>
  <c r="X21" i="15"/>
  <c r="X20" i="15"/>
  <c r="X19" i="15"/>
  <c r="X18" i="15"/>
  <c r="X17" i="15"/>
  <c r="X16" i="15"/>
  <c r="X15" i="15"/>
  <c r="X14" i="15"/>
  <c r="X13" i="15"/>
  <c r="X12" i="15"/>
  <c r="X11" i="15"/>
  <c r="X10" i="15"/>
  <c r="X9" i="15"/>
  <c r="X8" i="15"/>
  <c r="X7" i="15"/>
  <c r="X6" i="15"/>
  <c r="X5" i="15"/>
  <c r="X138" i="15"/>
  <c r="X131" i="15"/>
  <c r="X123" i="15"/>
  <c r="X115" i="15"/>
  <c r="X130" i="15"/>
  <c r="X122" i="15"/>
  <c r="X114" i="15"/>
  <c r="X108" i="15"/>
  <c r="X106" i="15"/>
  <c r="X104" i="15"/>
  <c r="X102" i="15"/>
  <c r="Z7" i="15"/>
  <c r="V13" i="15"/>
  <c r="V6" i="15"/>
  <c r="V135" i="15"/>
  <c r="Z130" i="15"/>
  <c r="X62" i="15"/>
  <c r="X66" i="15"/>
  <c r="X70" i="15"/>
  <c r="X74" i="15"/>
  <c r="X78" i="15"/>
  <c r="X82" i="15"/>
  <c r="X89" i="15"/>
  <c r="X93" i="15"/>
  <c r="X97" i="15"/>
  <c r="Y101" i="15"/>
  <c r="Y105" i="15"/>
  <c r="Z109" i="15"/>
  <c r="Z117" i="15"/>
  <c r="Y191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7" i="15"/>
  <c r="Y263" i="15"/>
  <c r="Y259" i="15"/>
  <c r="Y255" i="15"/>
  <c r="Y251" i="15"/>
  <c r="Y247" i="15"/>
  <c r="Y243" i="15"/>
  <c r="Y239" i="15"/>
  <c r="Y235" i="15"/>
  <c r="Y231" i="15"/>
  <c r="Y227" i="15"/>
  <c r="Y268" i="15"/>
  <c r="Y264" i="15"/>
  <c r="Y260" i="15"/>
  <c r="Y256" i="15"/>
  <c r="Y252" i="15"/>
  <c r="Y248" i="15"/>
  <c r="Y244" i="15"/>
  <c r="Y240" i="15"/>
  <c r="Y236" i="15"/>
  <c r="Y232" i="15"/>
  <c r="Y228" i="15"/>
  <c r="Y265" i="15"/>
  <c r="Y261" i="15"/>
  <c r="Y257" i="15"/>
  <c r="Y253" i="15"/>
  <c r="Y249" i="15"/>
  <c r="Y245" i="15"/>
  <c r="Y241" i="15"/>
  <c r="Y237" i="15"/>
  <c r="Y233" i="15"/>
  <c r="Y229" i="15"/>
  <c r="Y266" i="15"/>
  <c r="Y250" i="15"/>
  <c r="Y234" i="15"/>
  <c r="Y224" i="15"/>
  <c r="Y220" i="15"/>
  <c r="Y216" i="15"/>
  <c r="Y212" i="15"/>
  <c r="Y208" i="15"/>
  <c r="Y204" i="15"/>
  <c r="Y200" i="15"/>
  <c r="Y196" i="15"/>
  <c r="Y192" i="15"/>
  <c r="Y188" i="15"/>
  <c r="Y179" i="15"/>
  <c r="Y178" i="15"/>
  <c r="Y177" i="15"/>
  <c r="Y176" i="15"/>
  <c r="Y175" i="15"/>
  <c r="Y174" i="15"/>
  <c r="Y173" i="15"/>
  <c r="Y172" i="15"/>
  <c r="Y171" i="15"/>
  <c r="Y170" i="15"/>
  <c r="Y169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148" i="15"/>
  <c r="Y147" i="15"/>
  <c r="Y146" i="15"/>
  <c r="Y145" i="15"/>
  <c r="Y144" i="15"/>
  <c r="Y143" i="15"/>
  <c r="Y142" i="15"/>
  <c r="Y141" i="15"/>
  <c r="Y140" i="15"/>
  <c r="Y139" i="15"/>
  <c r="Y138" i="15"/>
  <c r="Y137" i="15"/>
  <c r="Y136" i="15"/>
  <c r="Y135" i="15"/>
  <c r="Y134" i="15"/>
  <c r="Y133" i="15"/>
  <c r="Y132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262" i="15"/>
  <c r="Y246" i="15"/>
  <c r="Y230" i="15"/>
  <c r="Y225" i="15"/>
  <c r="Y221" i="15"/>
  <c r="Y217" i="15"/>
  <c r="Y213" i="15"/>
  <c r="Y209" i="15"/>
  <c r="Y205" i="15"/>
  <c r="Y201" i="15"/>
  <c r="Y197" i="15"/>
  <c r="Y193" i="15"/>
  <c r="Y189" i="15"/>
  <c r="Y258" i="15"/>
  <c r="Y242" i="15"/>
  <c r="Y226" i="15"/>
  <c r="Y222" i="15"/>
  <c r="Y218" i="15"/>
  <c r="Y214" i="15"/>
  <c r="Y210" i="15"/>
  <c r="Y206" i="15"/>
  <c r="Y202" i="15"/>
  <c r="Y198" i="15"/>
  <c r="Y194" i="15"/>
  <c r="Y190" i="15"/>
  <c r="Y238" i="15"/>
  <c r="Y219" i="15"/>
  <c r="Y203" i="15"/>
  <c r="Y187" i="15"/>
  <c r="Y183" i="15"/>
  <c r="Y215" i="15"/>
  <c r="Y199" i="15"/>
  <c r="Y184" i="15"/>
  <c r="Y180" i="15"/>
  <c r="Y108" i="15"/>
  <c r="Y106" i="15"/>
  <c r="Y104" i="15"/>
  <c r="Y102" i="15"/>
  <c r="Y211" i="15"/>
  <c r="Y195" i="15"/>
  <c r="Y185" i="15"/>
  <c r="Y181" i="15"/>
  <c r="Z113" i="15"/>
  <c r="Z114" i="15"/>
  <c r="Z121" i="15"/>
  <c r="Z122" i="15"/>
  <c r="Z129" i="15"/>
  <c r="Y223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9" i="15"/>
  <c r="V258" i="15"/>
  <c r="V257" i="15"/>
  <c r="V256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42" i="15"/>
  <c r="V241" i="15"/>
  <c r="V240" i="15"/>
  <c r="V239" i="15"/>
  <c r="V238" i="15"/>
  <c r="V237" i="15"/>
  <c r="V236" i="15"/>
  <c r="V235" i="15"/>
  <c r="V234" i="15"/>
  <c r="V233" i="15"/>
  <c r="V232" i="15"/>
  <c r="V231" i="15"/>
  <c r="V230" i="15"/>
  <c r="V229" i="15"/>
  <c r="V228" i="15"/>
  <c r="V227" i="15"/>
  <c r="V226" i="15"/>
  <c r="V225" i="15"/>
  <c r="V224" i="15"/>
  <c r="V223" i="15"/>
  <c r="V222" i="15"/>
  <c r="V221" i="15"/>
  <c r="V220" i="15"/>
  <c r="V219" i="15"/>
  <c r="V218" i="15"/>
  <c r="V217" i="15"/>
  <c r="V216" i="15"/>
  <c r="V215" i="15"/>
  <c r="V214" i="15"/>
  <c r="V213" i="15"/>
  <c r="V212" i="15"/>
  <c r="V211" i="15"/>
  <c r="V210" i="15"/>
  <c r="V209" i="15"/>
  <c r="V208" i="15"/>
  <c r="V207" i="15"/>
  <c r="V206" i="15"/>
  <c r="V205" i="15"/>
  <c r="V204" i="15"/>
  <c r="V203" i="15"/>
  <c r="V202" i="15"/>
  <c r="V201" i="15"/>
  <c r="V200" i="15"/>
  <c r="V199" i="15"/>
  <c r="V198" i="15"/>
  <c r="V197" i="15"/>
  <c r="V196" i="15"/>
  <c r="V195" i="15"/>
  <c r="V194" i="15"/>
  <c r="V193" i="15"/>
  <c r="V192" i="15"/>
  <c r="V191" i="15"/>
  <c r="V190" i="15"/>
  <c r="V189" i="15"/>
  <c r="V188" i="15"/>
  <c r="V187" i="15"/>
  <c r="V186" i="15"/>
  <c r="V185" i="15"/>
  <c r="V184" i="15"/>
  <c r="V183" i="15"/>
  <c r="V182" i="15"/>
  <c r="V181" i="15"/>
  <c r="V180" i="15"/>
  <c r="V138" i="15"/>
  <c r="V134" i="15"/>
  <c r="V130" i="15"/>
  <c r="V126" i="15"/>
  <c r="V122" i="15"/>
  <c r="V118" i="15"/>
  <c r="V114" i="15"/>
  <c r="V110" i="15"/>
  <c r="V179" i="15"/>
  <c r="V178" i="15"/>
  <c r="V177" i="15"/>
  <c r="V176" i="15"/>
  <c r="V175" i="15"/>
  <c r="V174" i="15"/>
  <c r="V173" i="15"/>
  <c r="V172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159" i="15"/>
  <c r="V158" i="15"/>
  <c r="V157" i="15"/>
  <c r="V156" i="15"/>
  <c r="V155" i="15"/>
  <c r="V154" i="15"/>
  <c r="V153" i="15"/>
  <c r="V152" i="15"/>
  <c r="V151" i="15"/>
  <c r="V150" i="15"/>
  <c r="V149" i="15"/>
  <c r="V148" i="15"/>
  <c r="V147" i="15"/>
  <c r="V146" i="15"/>
  <c r="V145" i="15"/>
  <c r="V144" i="15"/>
  <c r="V143" i="15"/>
  <c r="V142" i="15"/>
  <c r="V141" i="15"/>
  <c r="V137" i="15"/>
  <c r="V133" i="15"/>
  <c r="V129" i="15"/>
  <c r="V125" i="15"/>
  <c r="V121" i="15"/>
  <c r="V117" i="15"/>
  <c r="V113" i="15"/>
  <c r="V109" i="15"/>
  <c r="V107" i="15"/>
  <c r="V105" i="15"/>
  <c r="V103" i="15"/>
  <c r="V101" i="15"/>
  <c r="V100" i="15"/>
  <c r="V99" i="15"/>
  <c r="V98" i="15"/>
  <c r="V97" i="15"/>
  <c r="V96" i="15"/>
  <c r="V95" i="15"/>
  <c r="V94" i="15"/>
  <c r="V93" i="15"/>
  <c r="V92" i="15"/>
  <c r="V91" i="15"/>
  <c r="V90" i="15"/>
  <c r="V89" i="15"/>
  <c r="V88" i="15"/>
  <c r="V87" i="15"/>
  <c r="V86" i="15"/>
  <c r="V85" i="15"/>
  <c r="V84" i="15"/>
  <c r="V83" i="15"/>
  <c r="V82" i="15"/>
  <c r="V81" i="15"/>
  <c r="V80" i="15"/>
  <c r="V79" i="15"/>
  <c r="V78" i="15"/>
  <c r="V77" i="15"/>
  <c r="V76" i="15"/>
  <c r="V75" i="15"/>
  <c r="V74" i="15"/>
  <c r="V73" i="15"/>
  <c r="V72" i="15"/>
  <c r="V71" i="15"/>
  <c r="V70" i="15"/>
  <c r="V69" i="15"/>
  <c r="V68" i="15"/>
  <c r="V67" i="15"/>
  <c r="V66" i="15"/>
  <c r="V65" i="15"/>
  <c r="V64" i="15"/>
  <c r="V63" i="15"/>
  <c r="V62" i="15"/>
  <c r="V61" i="15"/>
  <c r="V60" i="15"/>
  <c r="V59" i="15"/>
  <c r="V58" i="15"/>
  <c r="V57" i="15"/>
  <c r="V56" i="15"/>
  <c r="V55" i="15"/>
  <c r="V54" i="15"/>
  <c r="V140" i="15"/>
  <c r="V136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8" i="15"/>
  <c r="Z257" i="15"/>
  <c r="Z256" i="15"/>
  <c r="Z255" i="15"/>
  <c r="Z254" i="15"/>
  <c r="Z253" i="15"/>
  <c r="Z252" i="15"/>
  <c r="Z251" i="15"/>
  <c r="Z250" i="15"/>
  <c r="Z249" i="15"/>
  <c r="Z248" i="15"/>
  <c r="Z247" i="15"/>
  <c r="Z246" i="15"/>
  <c r="Z245" i="15"/>
  <c r="Z244" i="15"/>
  <c r="Z243" i="15"/>
  <c r="Z242" i="15"/>
  <c r="Z241" i="15"/>
  <c r="Z240" i="15"/>
  <c r="Z239" i="15"/>
  <c r="Z238" i="15"/>
  <c r="Z237" i="15"/>
  <c r="Z236" i="15"/>
  <c r="Z235" i="15"/>
  <c r="Z234" i="15"/>
  <c r="Z233" i="15"/>
  <c r="Z232" i="15"/>
  <c r="Z231" i="15"/>
  <c r="Z230" i="15"/>
  <c r="Z229" i="15"/>
  <c r="Z228" i="15"/>
  <c r="Z227" i="15"/>
  <c r="Z226" i="15"/>
  <c r="Z225" i="15"/>
  <c r="Z224" i="15"/>
  <c r="Z223" i="15"/>
  <c r="Z222" i="15"/>
  <c r="Z221" i="15"/>
  <c r="Z220" i="15"/>
  <c r="Z219" i="15"/>
  <c r="Z218" i="15"/>
  <c r="Z217" i="15"/>
  <c r="Z216" i="15"/>
  <c r="Z215" i="15"/>
  <c r="Z214" i="15"/>
  <c r="Z213" i="15"/>
  <c r="Z212" i="15"/>
  <c r="Z211" i="15"/>
  <c r="Z210" i="15"/>
  <c r="Z209" i="15"/>
  <c r="Z208" i="15"/>
  <c r="Z207" i="15"/>
  <c r="Z206" i="15"/>
  <c r="Z205" i="15"/>
  <c r="Z204" i="15"/>
  <c r="Z203" i="15"/>
  <c r="Z202" i="15"/>
  <c r="Z201" i="15"/>
  <c r="Z200" i="15"/>
  <c r="Z199" i="15"/>
  <c r="Z198" i="15"/>
  <c r="Z197" i="15"/>
  <c r="Z196" i="15"/>
  <c r="Z195" i="15"/>
  <c r="Z194" i="15"/>
  <c r="Z193" i="15"/>
  <c r="Z192" i="15"/>
  <c r="Z191" i="15"/>
  <c r="Z190" i="15"/>
  <c r="Z189" i="15"/>
  <c r="Z188" i="15"/>
  <c r="Z187" i="15"/>
  <c r="Z186" i="15"/>
  <c r="Z185" i="15"/>
  <c r="Z184" i="15"/>
  <c r="Z183" i="15"/>
  <c r="Z182" i="15"/>
  <c r="Z181" i="15"/>
  <c r="Z180" i="15"/>
  <c r="Z179" i="15"/>
  <c r="Z178" i="15"/>
  <c r="Z177" i="15"/>
  <c r="Z176" i="15"/>
  <c r="Z175" i="15"/>
  <c r="Z174" i="15"/>
  <c r="Z173" i="15"/>
  <c r="Z172" i="15"/>
  <c r="Z171" i="15"/>
  <c r="Z170" i="15"/>
  <c r="Z169" i="15"/>
  <c r="Z168" i="15"/>
  <c r="Z167" i="15"/>
  <c r="Z166" i="15"/>
  <c r="Z165" i="15"/>
  <c r="Z164" i="15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Z140" i="15"/>
  <c r="Z136" i="15"/>
  <c r="Z132" i="15"/>
  <c r="Z128" i="15"/>
  <c r="Z124" i="15"/>
  <c r="Z120" i="15"/>
  <c r="Z116" i="15"/>
  <c r="Z112" i="15"/>
  <c r="Z108" i="15"/>
  <c r="Z106" i="15"/>
  <c r="Z104" i="15"/>
  <c r="Z102" i="15"/>
  <c r="Z139" i="15"/>
  <c r="Z135" i="15"/>
  <c r="Z131" i="15"/>
  <c r="Z127" i="15"/>
  <c r="Z123" i="15"/>
  <c r="Z119" i="15"/>
  <c r="Z115" i="15"/>
  <c r="Z111" i="15"/>
  <c r="Z100" i="15"/>
  <c r="Z99" i="15"/>
  <c r="Z98" i="15"/>
  <c r="Z97" i="15"/>
  <c r="Z96" i="15"/>
  <c r="Z95" i="15"/>
  <c r="Z94" i="15"/>
  <c r="Z93" i="15"/>
  <c r="Z92" i="15"/>
  <c r="Z91" i="15"/>
  <c r="Z90" i="15"/>
  <c r="Z89" i="15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138" i="15"/>
  <c r="Z134" i="15"/>
  <c r="V111" i="15"/>
  <c r="V112" i="15"/>
  <c r="V119" i="15"/>
  <c r="V120" i="15"/>
  <c r="V127" i="15"/>
  <c r="V128" i="15"/>
  <c r="Z137" i="15"/>
  <c r="Y93" i="14"/>
  <c r="Y109" i="14"/>
  <c r="Y7" i="14"/>
  <c r="Y15" i="14"/>
  <c r="Y23" i="14"/>
  <c r="Y31" i="14"/>
  <c r="Y39" i="14"/>
  <c r="Y47" i="14"/>
  <c r="Y55" i="14"/>
  <c r="Y63" i="14"/>
  <c r="Y71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49" i="14"/>
  <c r="U242" i="14"/>
  <c r="U239" i="14"/>
  <c r="U235" i="14"/>
  <c r="U231" i="14"/>
  <c r="U227" i="14"/>
  <c r="U223" i="14"/>
  <c r="U240" i="14"/>
  <c r="U236" i="14"/>
  <c r="U232" i="14"/>
  <c r="U228" i="14"/>
  <c r="U224" i="14"/>
  <c r="U295" i="14"/>
  <c r="U294" i="14"/>
  <c r="U291" i="14"/>
  <c r="U290" i="14"/>
  <c r="U287" i="14"/>
  <c r="U286" i="14"/>
  <c r="U283" i="14"/>
  <c r="U282" i="14"/>
  <c r="U279" i="14"/>
  <c r="U278" i="14"/>
  <c r="U275" i="14"/>
  <c r="U274" i="14"/>
  <c r="U271" i="14"/>
  <c r="U270" i="14"/>
  <c r="U267" i="14"/>
  <c r="U266" i="14"/>
  <c r="U263" i="14"/>
  <c r="U262" i="14"/>
  <c r="U259" i="14"/>
  <c r="U258" i="14"/>
  <c r="U255" i="14"/>
  <c r="U254" i="14"/>
  <c r="U251" i="14"/>
  <c r="U250" i="14"/>
  <c r="U247" i="14"/>
  <c r="U246" i="14"/>
  <c r="U243" i="14"/>
  <c r="U241" i="14"/>
  <c r="U237" i="14"/>
  <c r="U233" i="14"/>
  <c r="U229" i="14"/>
  <c r="U225" i="14"/>
  <c r="U234" i="14"/>
  <c r="U226" i="14"/>
  <c r="U222" i="14"/>
  <c r="U219" i="14"/>
  <c r="U215" i="14"/>
  <c r="U211" i="14"/>
  <c r="U207" i="14"/>
  <c r="U203" i="14"/>
  <c r="U199" i="14"/>
  <c r="U195" i="14"/>
  <c r="U191" i="14"/>
  <c r="U187" i="14"/>
  <c r="U183" i="14"/>
  <c r="U179" i="14"/>
  <c r="U175" i="14"/>
  <c r="U220" i="14"/>
  <c r="U216" i="14"/>
  <c r="U212" i="14"/>
  <c r="U208" i="14"/>
  <c r="U204" i="14"/>
  <c r="U200" i="14"/>
  <c r="U196" i="14"/>
  <c r="U192" i="14"/>
  <c r="U188" i="14"/>
  <c r="U184" i="14"/>
  <c r="U180" i="14"/>
  <c r="U176" i="14"/>
  <c r="U245" i="14"/>
  <c r="U238" i="14"/>
  <c r="U230" i="14"/>
  <c r="U221" i="14"/>
  <c r="U217" i="14"/>
  <c r="U213" i="14"/>
  <c r="U209" i="14"/>
  <c r="U205" i="14"/>
  <c r="U201" i="14"/>
  <c r="U197" i="14"/>
  <c r="U193" i="14"/>
  <c r="U189" i="14"/>
  <c r="U185" i="14"/>
  <c r="U181" i="14"/>
  <c r="U177" i="14"/>
  <c r="U170" i="14"/>
  <c r="U166" i="14"/>
  <c r="U162" i="14"/>
  <c r="U158" i="14"/>
  <c r="U154" i="14"/>
  <c r="U150" i="14"/>
  <c r="U146" i="14"/>
  <c r="U142" i="14"/>
  <c r="U138" i="14"/>
  <c r="U134" i="14"/>
  <c r="U130" i="14"/>
  <c r="U126" i="14"/>
  <c r="U122" i="14"/>
  <c r="U118" i="14"/>
  <c r="U114" i="14"/>
  <c r="U110" i="14"/>
  <c r="U106" i="14"/>
  <c r="U102" i="14"/>
  <c r="U98" i="14"/>
  <c r="U94" i="14"/>
  <c r="U90" i="14"/>
  <c r="U86" i="14"/>
  <c r="U82" i="14"/>
  <c r="U214" i="14"/>
  <c r="U206" i="14"/>
  <c r="U198" i="14"/>
  <c r="U190" i="14"/>
  <c r="U182" i="14"/>
  <c r="U174" i="14"/>
  <c r="U171" i="14"/>
  <c r="U167" i="14"/>
  <c r="U163" i="14"/>
  <c r="U159" i="14"/>
  <c r="U155" i="14"/>
  <c r="U151" i="14"/>
  <c r="U147" i="14"/>
  <c r="U143" i="14"/>
  <c r="U139" i="14"/>
  <c r="U135" i="14"/>
  <c r="U131" i="14"/>
  <c r="U127" i="14"/>
  <c r="U123" i="14"/>
  <c r="U119" i="14"/>
  <c r="U115" i="14"/>
  <c r="U111" i="14"/>
  <c r="U107" i="14"/>
  <c r="U103" i="14"/>
  <c r="U99" i="14"/>
  <c r="U95" i="14"/>
  <c r="U91" i="14"/>
  <c r="U87" i="14"/>
  <c r="U83" i="14"/>
  <c r="U79" i="14"/>
  <c r="U172" i="14"/>
  <c r="U168" i="14"/>
  <c r="U164" i="14"/>
  <c r="U160" i="14"/>
  <c r="U156" i="14"/>
  <c r="U152" i="14"/>
  <c r="U148" i="14"/>
  <c r="U144" i="14"/>
  <c r="U140" i="14"/>
  <c r="U136" i="14"/>
  <c r="U132" i="14"/>
  <c r="U128" i="14"/>
  <c r="U124" i="14"/>
  <c r="U120" i="14"/>
  <c r="U116" i="14"/>
  <c r="U112" i="14"/>
  <c r="U108" i="14"/>
  <c r="U104" i="14"/>
  <c r="U100" i="14"/>
  <c r="U96" i="14"/>
  <c r="U92" i="14"/>
  <c r="U88" i="14"/>
  <c r="U84" i="14"/>
  <c r="U218" i="14"/>
  <c r="U210" i="14"/>
  <c r="U202" i="14"/>
  <c r="U194" i="14"/>
  <c r="U186" i="14"/>
  <c r="U178" i="14"/>
  <c r="U173" i="14"/>
  <c r="U165" i="14"/>
  <c r="U157" i="14"/>
  <c r="U149" i="14"/>
  <c r="U141" i="14"/>
  <c r="U133" i="14"/>
  <c r="U125" i="14"/>
  <c r="U117" i="14"/>
  <c r="U109" i="14"/>
  <c r="U101" i="14"/>
  <c r="U93" i="14"/>
  <c r="U85" i="14"/>
  <c r="U76" i="14"/>
  <c r="U72" i="14"/>
  <c r="U68" i="14"/>
  <c r="U64" i="14"/>
  <c r="U60" i="14"/>
  <c r="U56" i="14"/>
  <c r="U52" i="14"/>
  <c r="U48" i="14"/>
  <c r="U44" i="14"/>
  <c r="U40" i="14"/>
  <c r="U36" i="14"/>
  <c r="U32" i="14"/>
  <c r="U28" i="14"/>
  <c r="U24" i="14"/>
  <c r="U20" i="14"/>
  <c r="U16" i="14"/>
  <c r="U12" i="14"/>
  <c r="U8" i="14"/>
  <c r="U81" i="14"/>
  <c r="U80" i="14"/>
  <c r="U77" i="14"/>
  <c r="U73" i="14"/>
  <c r="U69" i="14"/>
  <c r="U65" i="14"/>
  <c r="U61" i="14"/>
  <c r="U57" i="14"/>
  <c r="U53" i="14"/>
  <c r="U49" i="14"/>
  <c r="U45" i="14"/>
  <c r="U41" i="14"/>
  <c r="U37" i="14"/>
  <c r="U33" i="14"/>
  <c r="U29" i="14"/>
  <c r="U25" i="14"/>
  <c r="U21" i="14"/>
  <c r="U17" i="14"/>
  <c r="U13" i="14"/>
  <c r="U9" i="14"/>
  <c r="U5" i="14"/>
  <c r="U169" i="14"/>
  <c r="U161" i="14"/>
  <c r="U153" i="14"/>
  <c r="U145" i="14"/>
  <c r="U137" i="14"/>
  <c r="U129" i="14"/>
  <c r="U121" i="14"/>
  <c r="U113" i="14"/>
  <c r="U105" i="14"/>
  <c r="U97" i="14"/>
  <c r="U89" i="14"/>
  <c r="U78" i="14"/>
  <c r="U74" i="14"/>
  <c r="U70" i="14"/>
  <c r="U66" i="14"/>
  <c r="U62" i="14"/>
  <c r="U58" i="14"/>
  <c r="U54" i="14"/>
  <c r="U50" i="14"/>
  <c r="U46" i="14"/>
  <c r="U42" i="14"/>
  <c r="U38" i="14"/>
  <c r="U34" i="14"/>
  <c r="U30" i="14"/>
  <c r="U26" i="14"/>
  <c r="U22" i="14"/>
  <c r="U18" i="14"/>
  <c r="U14" i="14"/>
  <c r="U10" i="14"/>
  <c r="U6" i="14"/>
  <c r="U11" i="14"/>
  <c r="U27" i="14"/>
  <c r="U51" i="14"/>
  <c r="U59" i="14"/>
  <c r="U67" i="14"/>
  <c r="U75" i="14"/>
  <c r="Y80" i="14"/>
  <c r="Y85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49" i="14"/>
  <c r="Y295" i="14"/>
  <c r="Y294" i="14"/>
  <c r="Y291" i="14"/>
  <c r="Y290" i="14"/>
  <c r="Y287" i="14"/>
  <c r="Y286" i="14"/>
  <c r="Y283" i="14"/>
  <c r="Y282" i="14"/>
  <c r="Y279" i="14"/>
  <c r="Y278" i="14"/>
  <c r="Y275" i="14"/>
  <c r="Y274" i="14"/>
  <c r="Y271" i="14"/>
  <c r="Y270" i="14"/>
  <c r="Y267" i="14"/>
  <c r="Y266" i="14"/>
  <c r="Y263" i="14"/>
  <c r="Y262" i="14"/>
  <c r="Y259" i="14"/>
  <c r="Y258" i="14"/>
  <c r="Y255" i="14"/>
  <c r="Y254" i="14"/>
  <c r="Y251" i="14"/>
  <c r="Y250" i="14"/>
  <c r="Y247" i="14"/>
  <c r="Y246" i="14"/>
  <c r="Y245" i="14"/>
  <c r="Y239" i="14"/>
  <c r="Y235" i="14"/>
  <c r="Y231" i="14"/>
  <c r="Y227" i="14"/>
  <c r="Y223" i="14"/>
  <c r="Y242" i="14"/>
  <c r="Y240" i="14"/>
  <c r="Y236" i="14"/>
  <c r="Y232" i="14"/>
  <c r="Y228" i="14"/>
  <c r="Y224" i="14"/>
  <c r="Y241" i="14"/>
  <c r="Y237" i="14"/>
  <c r="Y233" i="14"/>
  <c r="Y229" i="14"/>
  <c r="Y225" i="14"/>
  <c r="Y219" i="14"/>
  <c r="Y215" i="14"/>
  <c r="Y211" i="14"/>
  <c r="Y207" i="14"/>
  <c r="Y203" i="14"/>
  <c r="Y199" i="14"/>
  <c r="Y195" i="14"/>
  <c r="Y191" i="14"/>
  <c r="Y187" i="14"/>
  <c r="Y183" i="14"/>
  <c r="Y179" i="14"/>
  <c r="Y175" i="14"/>
  <c r="Y238" i="14"/>
  <c r="Y230" i="14"/>
  <c r="Y220" i="14"/>
  <c r="Y216" i="14"/>
  <c r="Y212" i="14"/>
  <c r="Y208" i="14"/>
  <c r="Y204" i="14"/>
  <c r="Y200" i="14"/>
  <c r="Y196" i="14"/>
  <c r="Y192" i="14"/>
  <c r="Y188" i="14"/>
  <c r="Y184" i="14"/>
  <c r="Y180" i="14"/>
  <c r="Y176" i="14"/>
  <c r="Y243" i="14"/>
  <c r="Y222" i="14"/>
  <c r="Y217" i="14"/>
  <c r="Y213" i="14"/>
  <c r="Y209" i="14"/>
  <c r="Y205" i="14"/>
  <c r="Y201" i="14"/>
  <c r="Y197" i="14"/>
  <c r="Y193" i="14"/>
  <c r="Y189" i="14"/>
  <c r="Y185" i="14"/>
  <c r="Y181" i="14"/>
  <c r="Y177" i="14"/>
  <c r="Y214" i="14"/>
  <c r="Y206" i="14"/>
  <c r="Y198" i="14"/>
  <c r="Y190" i="14"/>
  <c r="Y182" i="14"/>
  <c r="Y174" i="14"/>
  <c r="Y170" i="14"/>
  <c r="Y166" i="14"/>
  <c r="Y162" i="14"/>
  <c r="Y158" i="14"/>
  <c r="Y154" i="14"/>
  <c r="Y150" i="14"/>
  <c r="Y146" i="14"/>
  <c r="Y142" i="14"/>
  <c r="Y138" i="14"/>
  <c r="Y134" i="14"/>
  <c r="Y130" i="14"/>
  <c r="Y126" i="14"/>
  <c r="Y122" i="14"/>
  <c r="Y118" i="14"/>
  <c r="Y114" i="14"/>
  <c r="Y110" i="14"/>
  <c r="Y106" i="14"/>
  <c r="Y102" i="14"/>
  <c r="Y98" i="14"/>
  <c r="Y94" i="14"/>
  <c r="Y90" i="14"/>
  <c r="Y86" i="14"/>
  <c r="Y82" i="14"/>
  <c r="Y78" i="14"/>
  <c r="Y234" i="14"/>
  <c r="Y171" i="14"/>
  <c r="Y167" i="14"/>
  <c r="Y163" i="14"/>
  <c r="Y159" i="14"/>
  <c r="Y155" i="14"/>
  <c r="Y151" i="14"/>
  <c r="Y147" i="14"/>
  <c r="Y143" i="14"/>
  <c r="Y139" i="14"/>
  <c r="Y135" i="14"/>
  <c r="Y131" i="14"/>
  <c r="Y127" i="14"/>
  <c r="Y123" i="14"/>
  <c r="Y119" i="14"/>
  <c r="Y115" i="14"/>
  <c r="Y111" i="14"/>
  <c r="Y107" i="14"/>
  <c r="Y103" i="14"/>
  <c r="Y99" i="14"/>
  <c r="Y95" i="14"/>
  <c r="Y91" i="14"/>
  <c r="Y87" i="14"/>
  <c r="Y83" i="14"/>
  <c r="Y79" i="14"/>
  <c r="Y218" i="14"/>
  <c r="Y210" i="14"/>
  <c r="Y202" i="14"/>
  <c r="Y194" i="14"/>
  <c r="Y186" i="14"/>
  <c r="Y178" i="14"/>
  <c r="Y172" i="14"/>
  <c r="Y168" i="14"/>
  <c r="Y164" i="14"/>
  <c r="Y160" i="14"/>
  <c r="Y156" i="14"/>
  <c r="Y152" i="14"/>
  <c r="Y148" i="14"/>
  <c r="Y144" i="14"/>
  <c r="Y140" i="14"/>
  <c r="Y136" i="14"/>
  <c r="Y132" i="14"/>
  <c r="Y128" i="14"/>
  <c r="Y124" i="14"/>
  <c r="Y120" i="14"/>
  <c r="Y116" i="14"/>
  <c r="Y112" i="14"/>
  <c r="Y108" i="14"/>
  <c r="Y104" i="14"/>
  <c r="Y100" i="14"/>
  <c r="Y96" i="14"/>
  <c r="Y92" i="14"/>
  <c r="Y88" i="14"/>
  <c r="Y84" i="14"/>
  <c r="Y226" i="14"/>
  <c r="Y76" i="14"/>
  <c r="Y72" i="14"/>
  <c r="Y68" i="14"/>
  <c r="Y64" i="14"/>
  <c r="Y60" i="14"/>
  <c r="Y56" i="14"/>
  <c r="Y52" i="14"/>
  <c r="Y48" i="14"/>
  <c r="Y44" i="14"/>
  <c r="Y40" i="14"/>
  <c r="Y36" i="14"/>
  <c r="Y32" i="14"/>
  <c r="Y28" i="14"/>
  <c r="Y24" i="14"/>
  <c r="Y20" i="14"/>
  <c r="Y16" i="14"/>
  <c r="Y12" i="14"/>
  <c r="Y8" i="14"/>
  <c r="Y169" i="14"/>
  <c r="Y161" i="14"/>
  <c r="Y153" i="14"/>
  <c r="Y145" i="14"/>
  <c r="Y137" i="14"/>
  <c r="Y129" i="14"/>
  <c r="Y121" i="14"/>
  <c r="Y113" i="14"/>
  <c r="Y105" i="14"/>
  <c r="Y97" i="14"/>
  <c r="Y89" i="14"/>
  <c r="Y77" i="14"/>
  <c r="Y73" i="14"/>
  <c r="Y69" i="14"/>
  <c r="Y65" i="14"/>
  <c r="Y61" i="14"/>
  <c r="Y57" i="14"/>
  <c r="Y53" i="14"/>
  <c r="Y49" i="14"/>
  <c r="Y45" i="14"/>
  <c r="Y41" i="14"/>
  <c r="Y37" i="14"/>
  <c r="Y33" i="14"/>
  <c r="Y29" i="14"/>
  <c r="Y25" i="14"/>
  <c r="Y21" i="14"/>
  <c r="Y17" i="14"/>
  <c r="Y13" i="14"/>
  <c r="Y9" i="14"/>
  <c r="Y5" i="14"/>
  <c r="Y221" i="14"/>
  <c r="Y165" i="14"/>
  <c r="Y149" i="14"/>
  <c r="Y125" i="14"/>
  <c r="Y74" i="14"/>
  <c r="Y70" i="14"/>
  <c r="Y66" i="14"/>
  <c r="Y62" i="14"/>
  <c r="Y58" i="14"/>
  <c r="Y54" i="14"/>
  <c r="Y50" i="14"/>
  <c r="Y46" i="14"/>
  <c r="Y42" i="14"/>
  <c r="Y38" i="14"/>
  <c r="Y34" i="14"/>
  <c r="Y30" i="14"/>
  <c r="Y26" i="14"/>
  <c r="Y22" i="14"/>
  <c r="Y18" i="14"/>
  <c r="Y14" i="14"/>
  <c r="Y10" i="14"/>
  <c r="Y6" i="14"/>
  <c r="Y173" i="14"/>
  <c r="Y157" i="14"/>
  <c r="Y141" i="14"/>
  <c r="Y133" i="14"/>
  <c r="Y117" i="14"/>
  <c r="U19" i="14"/>
  <c r="U35" i="14"/>
  <c r="U43" i="14"/>
  <c r="Y11" i="14"/>
  <c r="Y19" i="14"/>
  <c r="Y27" i="14"/>
  <c r="Y35" i="14"/>
  <c r="Y43" i="14"/>
  <c r="Y51" i="14"/>
  <c r="Y59" i="14"/>
  <c r="Y67" i="14"/>
  <c r="Y75" i="14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4" i="14"/>
  <c r="V290" i="14"/>
  <c r="V286" i="14"/>
  <c r="V282" i="14"/>
  <c r="V278" i="14"/>
  <c r="V274" i="14"/>
  <c r="V270" i="14"/>
  <c r="V266" i="14"/>
  <c r="V262" i="14"/>
  <c r="V258" i="14"/>
  <c r="V254" i="14"/>
  <c r="V250" i="14"/>
  <c r="V246" i="14"/>
  <c r="V244" i="14"/>
  <c r="V240" i="14"/>
  <c r="V236" i="14"/>
  <c r="V232" i="14"/>
  <c r="V228" i="14"/>
  <c r="V224" i="14"/>
  <c r="V296" i="14"/>
  <c r="V295" i="14"/>
  <c r="V292" i="14"/>
  <c r="V291" i="14"/>
  <c r="V288" i="14"/>
  <c r="V287" i="14"/>
  <c r="V284" i="14"/>
  <c r="V283" i="14"/>
  <c r="V280" i="14"/>
  <c r="V279" i="14"/>
  <c r="V276" i="14"/>
  <c r="V275" i="14"/>
  <c r="V272" i="14"/>
  <c r="V271" i="14"/>
  <c r="V268" i="14"/>
  <c r="V267" i="14"/>
  <c r="V264" i="14"/>
  <c r="V263" i="14"/>
  <c r="V260" i="14"/>
  <c r="V259" i="14"/>
  <c r="V256" i="14"/>
  <c r="V255" i="14"/>
  <c r="V252" i="14"/>
  <c r="V251" i="14"/>
  <c r="V248" i="14"/>
  <c r="V247" i="14"/>
  <c r="V243" i="14"/>
  <c r="V241" i="14"/>
  <c r="V237" i="14"/>
  <c r="V233" i="14"/>
  <c r="V229" i="14"/>
  <c r="V225" i="14"/>
  <c r="V238" i="14"/>
  <c r="V234" i="14"/>
  <c r="V230" i="14"/>
  <c r="V226" i="14"/>
  <c r="V242" i="14"/>
  <c r="V220" i="14"/>
  <c r="V216" i="14"/>
  <c r="V212" i="14"/>
  <c r="V208" i="14"/>
  <c r="V204" i="14"/>
  <c r="V200" i="14"/>
  <c r="V196" i="14"/>
  <c r="V192" i="14"/>
  <c r="V188" i="14"/>
  <c r="V184" i="14"/>
  <c r="V180" i="14"/>
  <c r="V176" i="14"/>
  <c r="V235" i="14"/>
  <c r="V227" i="14"/>
  <c r="V221" i="14"/>
  <c r="V217" i="14"/>
  <c r="V213" i="14"/>
  <c r="V209" i="14"/>
  <c r="V205" i="14"/>
  <c r="V201" i="14"/>
  <c r="V197" i="14"/>
  <c r="V193" i="14"/>
  <c r="V189" i="14"/>
  <c r="V185" i="14"/>
  <c r="V181" i="14"/>
  <c r="V177" i="14"/>
  <c r="V218" i="14"/>
  <c r="V214" i="14"/>
  <c r="V210" i="14"/>
  <c r="V206" i="14"/>
  <c r="V202" i="14"/>
  <c r="V198" i="14"/>
  <c r="V194" i="14"/>
  <c r="V190" i="14"/>
  <c r="V186" i="14"/>
  <c r="V182" i="14"/>
  <c r="V178" i="14"/>
  <c r="V174" i="14"/>
  <c r="V219" i="14"/>
  <c r="V211" i="14"/>
  <c r="V203" i="14"/>
  <c r="V195" i="14"/>
  <c r="V187" i="14"/>
  <c r="V179" i="14"/>
  <c r="V171" i="14"/>
  <c r="V167" i="14"/>
  <c r="V163" i="14"/>
  <c r="V159" i="14"/>
  <c r="V155" i="14"/>
  <c r="V151" i="14"/>
  <c r="V147" i="14"/>
  <c r="V143" i="14"/>
  <c r="V139" i="14"/>
  <c r="V135" i="14"/>
  <c r="V131" i="14"/>
  <c r="V127" i="14"/>
  <c r="V123" i="14"/>
  <c r="V119" i="14"/>
  <c r="V115" i="14"/>
  <c r="V111" i="14"/>
  <c r="V107" i="14"/>
  <c r="V103" i="14"/>
  <c r="V99" i="14"/>
  <c r="V95" i="14"/>
  <c r="V91" i="14"/>
  <c r="V87" i="14"/>
  <c r="V83" i="14"/>
  <c r="V79" i="14"/>
  <c r="V231" i="14"/>
  <c r="V222" i="14"/>
  <c r="V172" i="14"/>
  <c r="V168" i="14"/>
  <c r="V164" i="14"/>
  <c r="V160" i="14"/>
  <c r="V156" i="14"/>
  <c r="V152" i="14"/>
  <c r="V148" i="14"/>
  <c r="V144" i="14"/>
  <c r="V140" i="14"/>
  <c r="V136" i="14"/>
  <c r="V132" i="14"/>
  <c r="V128" i="14"/>
  <c r="V124" i="14"/>
  <c r="V120" i="14"/>
  <c r="V116" i="14"/>
  <c r="V112" i="14"/>
  <c r="V108" i="14"/>
  <c r="V104" i="14"/>
  <c r="V100" i="14"/>
  <c r="V96" i="14"/>
  <c r="V92" i="14"/>
  <c r="V88" i="14"/>
  <c r="V84" i="14"/>
  <c r="V80" i="14"/>
  <c r="V215" i="14"/>
  <c r="V207" i="14"/>
  <c r="V199" i="14"/>
  <c r="V191" i="14"/>
  <c r="V183" i="14"/>
  <c r="V175" i="14"/>
  <c r="V173" i="14"/>
  <c r="V169" i="14"/>
  <c r="V165" i="14"/>
  <c r="V161" i="14"/>
  <c r="V157" i="14"/>
  <c r="V153" i="14"/>
  <c r="V149" i="14"/>
  <c r="V145" i="14"/>
  <c r="V141" i="14"/>
  <c r="V137" i="14"/>
  <c r="V133" i="14"/>
  <c r="V129" i="14"/>
  <c r="V125" i="14"/>
  <c r="V121" i="14"/>
  <c r="V117" i="14"/>
  <c r="V113" i="14"/>
  <c r="V109" i="14"/>
  <c r="V105" i="14"/>
  <c r="V101" i="14"/>
  <c r="V97" i="14"/>
  <c r="V93" i="14"/>
  <c r="V89" i="14"/>
  <c r="V85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41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6" i="14"/>
  <c r="Z242" i="14"/>
  <c r="Z240" i="14"/>
  <c r="Z236" i="14"/>
  <c r="Z232" i="14"/>
  <c r="Z228" i="14"/>
  <c r="Z224" i="14"/>
  <c r="Z244" i="14"/>
  <c r="Z237" i="14"/>
  <c r="Z233" i="14"/>
  <c r="Z229" i="14"/>
  <c r="Z225" i="14"/>
  <c r="Z243" i="14"/>
  <c r="Z238" i="14"/>
  <c r="Z234" i="14"/>
  <c r="Z230" i="14"/>
  <c r="Z226" i="14"/>
  <c r="Z235" i="14"/>
  <c r="Z227" i="14"/>
  <c r="Z220" i="14"/>
  <c r="Z216" i="14"/>
  <c r="Z212" i="14"/>
  <c r="Z208" i="14"/>
  <c r="Z204" i="14"/>
  <c r="Z200" i="14"/>
  <c r="Z196" i="14"/>
  <c r="Z192" i="14"/>
  <c r="Z188" i="14"/>
  <c r="Z184" i="14"/>
  <c r="Z180" i="14"/>
  <c r="Z176" i="14"/>
  <c r="Z296" i="14"/>
  <c r="Z291" i="14"/>
  <c r="Z288" i="14"/>
  <c r="Z283" i="14"/>
  <c r="Z280" i="14"/>
  <c r="Z275" i="14"/>
  <c r="Z272" i="14"/>
  <c r="Z267" i="14"/>
  <c r="Z264" i="14"/>
  <c r="Z259" i="14"/>
  <c r="Z256" i="14"/>
  <c r="Z251" i="14"/>
  <c r="Z248" i="14"/>
  <c r="Z222" i="14"/>
  <c r="Z217" i="14"/>
  <c r="Z213" i="14"/>
  <c r="Z209" i="14"/>
  <c r="Z205" i="14"/>
  <c r="Z201" i="14"/>
  <c r="Z197" i="14"/>
  <c r="Z193" i="14"/>
  <c r="Z189" i="14"/>
  <c r="Z185" i="14"/>
  <c r="Z181" i="14"/>
  <c r="Z177" i="14"/>
  <c r="Z173" i="14"/>
  <c r="Z239" i="14"/>
  <c r="Z231" i="14"/>
  <c r="Z223" i="14"/>
  <c r="Z221" i="14"/>
  <c r="Z218" i="14"/>
  <c r="Z214" i="14"/>
  <c r="Z210" i="14"/>
  <c r="Z206" i="14"/>
  <c r="Z202" i="14"/>
  <c r="Z198" i="14"/>
  <c r="Z194" i="14"/>
  <c r="Z190" i="14"/>
  <c r="Z186" i="14"/>
  <c r="Z182" i="14"/>
  <c r="Z178" i="14"/>
  <c r="Z174" i="14"/>
  <c r="Z287" i="14"/>
  <c r="Z284" i="14"/>
  <c r="Z271" i="14"/>
  <c r="Z268" i="14"/>
  <c r="Z255" i="14"/>
  <c r="Z252" i="14"/>
  <c r="Z171" i="14"/>
  <c r="Z167" i="14"/>
  <c r="Z163" i="14"/>
  <c r="Z159" i="14"/>
  <c r="Z155" i="14"/>
  <c r="Z151" i="14"/>
  <c r="Z147" i="14"/>
  <c r="Z143" i="14"/>
  <c r="Z139" i="14"/>
  <c r="Z135" i="14"/>
  <c r="Z131" i="14"/>
  <c r="Z127" i="14"/>
  <c r="Z123" i="14"/>
  <c r="Z119" i="14"/>
  <c r="Z115" i="14"/>
  <c r="Z111" i="14"/>
  <c r="Z107" i="14"/>
  <c r="Z103" i="14"/>
  <c r="Z99" i="14"/>
  <c r="Z95" i="14"/>
  <c r="Z91" i="14"/>
  <c r="Z87" i="14"/>
  <c r="Z83" i="14"/>
  <c r="Z79" i="14"/>
  <c r="Z215" i="14"/>
  <c r="Z207" i="14"/>
  <c r="Z199" i="14"/>
  <c r="Z191" i="14"/>
  <c r="Z183" i="14"/>
  <c r="Z175" i="14"/>
  <c r="Z172" i="14"/>
  <c r="Z168" i="14"/>
  <c r="Z164" i="14"/>
  <c r="Z160" i="14"/>
  <c r="Z156" i="14"/>
  <c r="Z152" i="14"/>
  <c r="Z148" i="14"/>
  <c r="Z144" i="14"/>
  <c r="Z140" i="14"/>
  <c r="Z136" i="14"/>
  <c r="Z132" i="14"/>
  <c r="Z128" i="14"/>
  <c r="Z124" i="14"/>
  <c r="Z120" i="14"/>
  <c r="Z116" i="14"/>
  <c r="Z112" i="14"/>
  <c r="Z108" i="14"/>
  <c r="Z104" i="14"/>
  <c r="Z100" i="14"/>
  <c r="Z96" i="14"/>
  <c r="Z92" i="14"/>
  <c r="Z88" i="14"/>
  <c r="Z84" i="14"/>
  <c r="Z80" i="14"/>
  <c r="Z295" i="14"/>
  <c r="Z292" i="14"/>
  <c r="Z279" i="14"/>
  <c r="Z276" i="14"/>
  <c r="Z263" i="14"/>
  <c r="Z260" i="14"/>
  <c r="Z247" i="14"/>
  <c r="Z169" i="14"/>
  <c r="Z165" i="14"/>
  <c r="Z161" i="14"/>
  <c r="Z157" i="14"/>
  <c r="Z153" i="14"/>
  <c r="Z149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97" i="14"/>
  <c r="Z93" i="14"/>
  <c r="Z89" i="14"/>
  <c r="Z85" i="14"/>
  <c r="X5" i="14"/>
  <c r="V7" i="14"/>
  <c r="Z7" i="14"/>
  <c r="W8" i="14"/>
  <c r="X9" i="14"/>
  <c r="V11" i="14"/>
  <c r="Z11" i="14"/>
  <c r="W12" i="14"/>
  <c r="X13" i="14"/>
  <c r="V15" i="14"/>
  <c r="Z15" i="14"/>
  <c r="W16" i="14"/>
  <c r="X17" i="14"/>
  <c r="V19" i="14"/>
  <c r="Z19" i="14"/>
  <c r="W20" i="14"/>
  <c r="X21" i="14"/>
  <c r="V23" i="14"/>
  <c r="Z23" i="14"/>
  <c r="W24" i="14"/>
  <c r="X25" i="14"/>
  <c r="V27" i="14"/>
  <c r="Z27" i="14"/>
  <c r="W28" i="14"/>
  <c r="X29" i="14"/>
  <c r="V31" i="14"/>
  <c r="Z31" i="14"/>
  <c r="W32" i="14"/>
  <c r="X33" i="14"/>
  <c r="V35" i="14"/>
  <c r="Z35" i="14"/>
  <c r="W36" i="14"/>
  <c r="X37" i="14"/>
  <c r="V39" i="14"/>
  <c r="Z39" i="14"/>
  <c r="W40" i="14"/>
  <c r="X41" i="14"/>
  <c r="V43" i="14"/>
  <c r="Z43" i="14"/>
  <c r="W44" i="14"/>
  <c r="X45" i="14"/>
  <c r="V47" i="14"/>
  <c r="Z47" i="14"/>
  <c r="W48" i="14"/>
  <c r="X49" i="14"/>
  <c r="V51" i="14"/>
  <c r="Z51" i="14"/>
  <c r="W52" i="14"/>
  <c r="X53" i="14"/>
  <c r="V55" i="14"/>
  <c r="Z55" i="14"/>
  <c r="W56" i="14"/>
  <c r="X57" i="14"/>
  <c r="V59" i="14"/>
  <c r="Z59" i="14"/>
  <c r="W60" i="14"/>
  <c r="X61" i="14"/>
  <c r="V63" i="14"/>
  <c r="Z63" i="14"/>
  <c r="W64" i="14"/>
  <c r="X65" i="14"/>
  <c r="V67" i="14"/>
  <c r="Z67" i="14"/>
  <c r="W68" i="14"/>
  <c r="X69" i="14"/>
  <c r="V71" i="14"/>
  <c r="Z71" i="14"/>
  <c r="W72" i="14"/>
  <c r="X73" i="14"/>
  <c r="V75" i="14"/>
  <c r="Z75" i="14"/>
  <c r="W76" i="14"/>
  <c r="X77" i="14"/>
  <c r="Z78" i="14"/>
  <c r="Z81" i="14"/>
  <c r="Z82" i="14"/>
  <c r="X84" i="14"/>
  <c r="W87" i="14"/>
  <c r="Z90" i="14"/>
  <c r="X92" i="14"/>
  <c r="W95" i="14"/>
  <c r="Z98" i="14"/>
  <c r="X100" i="14"/>
  <c r="W103" i="14"/>
  <c r="Z106" i="14"/>
  <c r="X108" i="14"/>
  <c r="W111" i="14"/>
  <c r="Z114" i="14"/>
  <c r="X116" i="14"/>
  <c r="W119" i="14"/>
  <c r="Z122" i="14"/>
  <c r="X124" i="14"/>
  <c r="W127" i="14"/>
  <c r="Z130" i="14"/>
  <c r="X132" i="14"/>
  <c r="W135" i="14"/>
  <c r="Z138" i="14"/>
  <c r="X140" i="14"/>
  <c r="W143" i="14"/>
  <c r="Z146" i="14"/>
  <c r="X148" i="14"/>
  <c r="W151" i="14"/>
  <c r="Z154" i="14"/>
  <c r="X156" i="14"/>
  <c r="W159" i="14"/>
  <c r="Z162" i="14"/>
  <c r="X164" i="14"/>
  <c r="Z170" i="14"/>
  <c r="X172" i="14"/>
  <c r="Z179" i="14"/>
  <c r="Z187" i="14"/>
  <c r="Z195" i="14"/>
  <c r="Z203" i="14"/>
  <c r="Z211" i="14"/>
  <c r="Z219" i="14"/>
  <c r="V239" i="14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42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47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8" i="14"/>
  <c r="W243" i="14"/>
  <c r="W241" i="14"/>
  <c r="W237" i="14"/>
  <c r="W233" i="14"/>
  <c r="W229" i="14"/>
  <c r="W225" i="14"/>
  <c r="W221" i="14"/>
  <c r="W297" i="14"/>
  <c r="W293" i="14"/>
  <c r="W289" i="14"/>
  <c r="W285" i="14"/>
  <c r="W281" i="14"/>
  <c r="W277" i="14"/>
  <c r="W273" i="14"/>
  <c r="W269" i="14"/>
  <c r="W265" i="14"/>
  <c r="W261" i="14"/>
  <c r="W257" i="14"/>
  <c r="W253" i="14"/>
  <c r="W249" i="14"/>
  <c r="W238" i="14"/>
  <c r="W234" i="14"/>
  <c r="W230" i="14"/>
  <c r="W226" i="14"/>
  <c r="W222" i="14"/>
  <c r="W245" i="14"/>
  <c r="W239" i="14"/>
  <c r="W235" i="14"/>
  <c r="W231" i="14"/>
  <c r="W227" i="14"/>
  <c r="W223" i="14"/>
  <c r="W244" i="14"/>
  <c r="W240" i="14"/>
  <c r="W232" i="14"/>
  <c r="W224" i="14"/>
  <c r="W217" i="14"/>
  <c r="W213" i="14"/>
  <c r="W209" i="14"/>
  <c r="W205" i="14"/>
  <c r="W201" i="14"/>
  <c r="W197" i="14"/>
  <c r="W193" i="14"/>
  <c r="W189" i="14"/>
  <c r="W185" i="14"/>
  <c r="W181" i="14"/>
  <c r="W177" i="14"/>
  <c r="W218" i="14"/>
  <c r="W214" i="14"/>
  <c r="W210" i="14"/>
  <c r="W206" i="14"/>
  <c r="W202" i="14"/>
  <c r="W198" i="14"/>
  <c r="W194" i="14"/>
  <c r="W190" i="14"/>
  <c r="W186" i="14"/>
  <c r="W182" i="14"/>
  <c r="W178" i="14"/>
  <c r="W174" i="14"/>
  <c r="W236" i="14"/>
  <c r="W228" i="14"/>
  <c r="W219" i="14"/>
  <c r="W215" i="14"/>
  <c r="W211" i="14"/>
  <c r="W207" i="14"/>
  <c r="W203" i="14"/>
  <c r="W199" i="14"/>
  <c r="W195" i="14"/>
  <c r="W191" i="14"/>
  <c r="W187" i="14"/>
  <c r="W183" i="14"/>
  <c r="W179" i="14"/>
  <c r="W175" i="14"/>
  <c r="W172" i="14"/>
  <c r="W168" i="14"/>
  <c r="W164" i="14"/>
  <c r="W160" i="14"/>
  <c r="W156" i="14"/>
  <c r="W152" i="14"/>
  <c r="W148" i="14"/>
  <c r="W144" i="14"/>
  <c r="W140" i="14"/>
  <c r="W136" i="14"/>
  <c r="W132" i="14"/>
  <c r="W128" i="14"/>
  <c r="W124" i="14"/>
  <c r="W120" i="14"/>
  <c r="W116" i="14"/>
  <c r="W112" i="14"/>
  <c r="W108" i="14"/>
  <c r="W104" i="14"/>
  <c r="W100" i="14"/>
  <c r="W96" i="14"/>
  <c r="W92" i="14"/>
  <c r="W88" i="14"/>
  <c r="W84" i="14"/>
  <c r="W80" i="14"/>
  <c r="W220" i="14"/>
  <c r="W212" i="14"/>
  <c r="W204" i="14"/>
  <c r="W196" i="14"/>
  <c r="W188" i="14"/>
  <c r="W180" i="14"/>
  <c r="W173" i="14"/>
  <c r="W169" i="14"/>
  <c r="W165" i="14"/>
  <c r="W161" i="14"/>
  <c r="W157" i="14"/>
  <c r="W153" i="14"/>
  <c r="W149" i="14"/>
  <c r="W145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89" i="14"/>
  <c r="W85" i="14"/>
  <c r="W81" i="14"/>
  <c r="W170" i="14"/>
  <c r="W166" i="14"/>
  <c r="W162" i="14"/>
  <c r="W158" i="14"/>
  <c r="W154" i="14"/>
  <c r="W150" i="14"/>
  <c r="W146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94" i="14"/>
  <c r="W90" i="14"/>
  <c r="W86" i="14"/>
  <c r="V6" i="14"/>
  <c r="Z6" i="14"/>
  <c r="W7" i="14"/>
  <c r="X8" i="14"/>
  <c r="V10" i="14"/>
  <c r="Z10" i="14"/>
  <c r="W11" i="14"/>
  <c r="X12" i="14"/>
  <c r="V14" i="14"/>
  <c r="Z14" i="14"/>
  <c r="W15" i="14"/>
  <c r="X16" i="14"/>
  <c r="V18" i="14"/>
  <c r="Z18" i="14"/>
  <c r="W19" i="14"/>
  <c r="X20" i="14"/>
  <c r="V22" i="14"/>
  <c r="Z22" i="14"/>
  <c r="W23" i="14"/>
  <c r="X24" i="14"/>
  <c r="V26" i="14"/>
  <c r="Z26" i="14"/>
  <c r="W27" i="14"/>
  <c r="X28" i="14"/>
  <c r="V30" i="14"/>
  <c r="Z30" i="14"/>
  <c r="W31" i="14"/>
  <c r="X32" i="14"/>
  <c r="V34" i="14"/>
  <c r="Z34" i="14"/>
  <c r="W35" i="14"/>
  <c r="X36" i="14"/>
  <c r="V38" i="14"/>
  <c r="Z38" i="14"/>
  <c r="W39" i="14"/>
  <c r="X40" i="14"/>
  <c r="V42" i="14"/>
  <c r="Z42" i="14"/>
  <c r="W43" i="14"/>
  <c r="X44" i="14"/>
  <c r="V46" i="14"/>
  <c r="Z46" i="14"/>
  <c r="W47" i="14"/>
  <c r="X48" i="14"/>
  <c r="V50" i="14"/>
  <c r="Z50" i="14"/>
  <c r="W51" i="14"/>
  <c r="X52" i="14"/>
  <c r="V54" i="14"/>
  <c r="Z54" i="14"/>
  <c r="W55" i="14"/>
  <c r="X56" i="14"/>
  <c r="V58" i="14"/>
  <c r="Z58" i="14"/>
  <c r="W59" i="14"/>
  <c r="X60" i="14"/>
  <c r="V62" i="14"/>
  <c r="Z62" i="14"/>
  <c r="W63" i="14"/>
  <c r="X64" i="14"/>
  <c r="V66" i="14"/>
  <c r="Z66" i="14"/>
  <c r="W67" i="14"/>
  <c r="X68" i="14"/>
  <c r="V70" i="14"/>
  <c r="Z70" i="14"/>
  <c r="W71" i="14"/>
  <c r="X72" i="14"/>
  <c r="V74" i="14"/>
  <c r="Z74" i="14"/>
  <c r="W75" i="14"/>
  <c r="V78" i="14"/>
  <c r="V86" i="14"/>
  <c r="V94" i="14"/>
  <c r="V102" i="14"/>
  <c r="V110" i="14"/>
  <c r="V118" i="14"/>
  <c r="V126" i="14"/>
  <c r="V134" i="14"/>
  <c r="V142" i="14"/>
  <c r="V150" i="14"/>
  <c r="V158" i="14"/>
  <c r="V166" i="14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48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9" i="14"/>
  <c r="X238" i="14"/>
  <c r="X234" i="14"/>
  <c r="X230" i="14"/>
  <c r="X226" i="14"/>
  <c r="X222" i="14"/>
  <c r="X294" i="14"/>
  <c r="X290" i="14"/>
  <c r="X286" i="14"/>
  <c r="X282" i="14"/>
  <c r="X278" i="14"/>
  <c r="X274" i="14"/>
  <c r="X270" i="14"/>
  <c r="X266" i="14"/>
  <c r="X262" i="14"/>
  <c r="X258" i="14"/>
  <c r="X254" i="14"/>
  <c r="X250" i="14"/>
  <c r="X246" i="14"/>
  <c r="X245" i="14"/>
  <c r="X239" i="14"/>
  <c r="X235" i="14"/>
  <c r="X231" i="14"/>
  <c r="X227" i="14"/>
  <c r="X223" i="14"/>
  <c r="X244" i="14"/>
  <c r="X242" i="14"/>
  <c r="X240" i="14"/>
  <c r="X236" i="14"/>
  <c r="X232" i="14"/>
  <c r="X228" i="14"/>
  <c r="X224" i="14"/>
  <c r="X237" i="14"/>
  <c r="X229" i="14"/>
  <c r="X221" i="14"/>
  <c r="X218" i="14"/>
  <c r="X214" i="14"/>
  <c r="X210" i="14"/>
  <c r="X206" i="14"/>
  <c r="X202" i="14"/>
  <c r="X198" i="14"/>
  <c r="X194" i="14"/>
  <c r="X190" i="14"/>
  <c r="X186" i="14"/>
  <c r="X182" i="14"/>
  <c r="X178" i="14"/>
  <c r="X174" i="14"/>
  <c r="X219" i="14"/>
  <c r="X215" i="14"/>
  <c r="X211" i="14"/>
  <c r="X207" i="14"/>
  <c r="X203" i="14"/>
  <c r="X199" i="14"/>
  <c r="X195" i="14"/>
  <c r="X191" i="14"/>
  <c r="X187" i="14"/>
  <c r="X183" i="14"/>
  <c r="X179" i="14"/>
  <c r="X175" i="14"/>
  <c r="X241" i="14"/>
  <c r="X233" i="14"/>
  <c r="X225" i="14"/>
  <c r="X220" i="14"/>
  <c r="X216" i="14"/>
  <c r="X212" i="14"/>
  <c r="X208" i="14"/>
  <c r="X204" i="14"/>
  <c r="X200" i="14"/>
  <c r="X196" i="14"/>
  <c r="X192" i="14"/>
  <c r="X188" i="14"/>
  <c r="X184" i="14"/>
  <c r="X180" i="14"/>
  <c r="X176" i="14"/>
  <c r="X173" i="14"/>
  <c r="X169" i="14"/>
  <c r="X165" i="14"/>
  <c r="X161" i="14"/>
  <c r="X157" i="14"/>
  <c r="X153" i="14"/>
  <c r="X149" i="14"/>
  <c r="X145" i="14"/>
  <c r="X141" i="14"/>
  <c r="X137" i="14"/>
  <c r="X133" i="14"/>
  <c r="X129" i="14"/>
  <c r="X125" i="14"/>
  <c r="X121" i="14"/>
  <c r="X117" i="14"/>
  <c r="X113" i="14"/>
  <c r="X109" i="14"/>
  <c r="X105" i="14"/>
  <c r="X101" i="14"/>
  <c r="X97" i="14"/>
  <c r="X93" i="14"/>
  <c r="X89" i="14"/>
  <c r="X85" i="14"/>
  <c r="X81" i="14"/>
  <c r="X217" i="14"/>
  <c r="X209" i="14"/>
  <c r="X201" i="14"/>
  <c r="X193" i="14"/>
  <c r="X185" i="14"/>
  <c r="X177" i="14"/>
  <c r="X170" i="14"/>
  <c r="X166" i="14"/>
  <c r="X162" i="14"/>
  <c r="X158" i="14"/>
  <c r="X154" i="14"/>
  <c r="X150" i="14"/>
  <c r="X146" i="14"/>
  <c r="X142" i="14"/>
  <c r="X138" i="14"/>
  <c r="X134" i="14"/>
  <c r="X130" i="14"/>
  <c r="X126" i="14"/>
  <c r="X122" i="14"/>
  <c r="X118" i="14"/>
  <c r="X114" i="14"/>
  <c r="X110" i="14"/>
  <c r="X106" i="14"/>
  <c r="X102" i="14"/>
  <c r="X98" i="14"/>
  <c r="X94" i="14"/>
  <c r="X90" i="14"/>
  <c r="X86" i="14"/>
  <c r="X82" i="14"/>
  <c r="X171" i="14"/>
  <c r="X167" i="14"/>
  <c r="X163" i="14"/>
  <c r="X159" i="14"/>
  <c r="X155" i="14"/>
  <c r="X151" i="14"/>
  <c r="X147" i="14"/>
  <c r="X143" i="14"/>
  <c r="X139" i="14"/>
  <c r="X135" i="14"/>
  <c r="X131" i="14"/>
  <c r="X127" i="14"/>
  <c r="X123" i="14"/>
  <c r="X119" i="14"/>
  <c r="X115" i="14"/>
  <c r="X111" i="14"/>
  <c r="X107" i="14"/>
  <c r="X103" i="14"/>
  <c r="X99" i="14"/>
  <c r="X95" i="14"/>
  <c r="X91" i="14"/>
  <c r="X87" i="14"/>
  <c r="X83" i="14"/>
  <c r="V5" i="14"/>
  <c r="Z5" i="14"/>
  <c r="W6" i="14"/>
  <c r="X7" i="14"/>
  <c r="V9" i="14"/>
  <c r="Z9" i="14"/>
  <c r="W10" i="14"/>
  <c r="X11" i="14"/>
  <c r="V13" i="14"/>
  <c r="Z13" i="14"/>
  <c r="W14" i="14"/>
  <c r="X15" i="14"/>
  <c r="V17" i="14"/>
  <c r="Z17" i="14"/>
  <c r="W18" i="14"/>
  <c r="X19" i="14"/>
  <c r="V21" i="14"/>
  <c r="Z21" i="14"/>
  <c r="W22" i="14"/>
  <c r="X23" i="14"/>
  <c r="V25" i="14"/>
  <c r="Z25" i="14"/>
  <c r="W26" i="14"/>
  <c r="X27" i="14"/>
  <c r="V29" i="14"/>
  <c r="Z29" i="14"/>
  <c r="W30" i="14"/>
  <c r="X31" i="14"/>
  <c r="V33" i="14"/>
  <c r="Z33" i="14"/>
  <c r="W34" i="14"/>
  <c r="X35" i="14"/>
  <c r="V37" i="14"/>
  <c r="Z37" i="14"/>
  <c r="W38" i="14"/>
  <c r="X39" i="14"/>
  <c r="V41" i="14"/>
  <c r="Z41" i="14"/>
  <c r="W42" i="14"/>
  <c r="X43" i="14"/>
  <c r="V45" i="14"/>
  <c r="Z45" i="14"/>
  <c r="W46" i="14"/>
  <c r="X47" i="14"/>
  <c r="V49" i="14"/>
  <c r="Z49" i="14"/>
  <c r="W50" i="14"/>
  <c r="X51" i="14"/>
  <c r="V53" i="14"/>
  <c r="Z53" i="14"/>
  <c r="W54" i="14"/>
  <c r="X55" i="14"/>
  <c r="V57" i="14"/>
  <c r="Z57" i="14"/>
  <c r="W58" i="14"/>
  <c r="X59" i="14"/>
  <c r="V61" i="14"/>
  <c r="Z61" i="14"/>
  <c r="W62" i="14"/>
  <c r="X63" i="14"/>
  <c r="V65" i="14"/>
  <c r="Z65" i="14"/>
  <c r="W66" i="14"/>
  <c r="X67" i="14"/>
  <c r="V69" i="14"/>
  <c r="Z69" i="14"/>
  <c r="W70" i="14"/>
  <c r="X71" i="14"/>
  <c r="V73" i="14"/>
  <c r="Z73" i="14"/>
  <c r="W74" i="14"/>
  <c r="X75" i="14"/>
  <c r="V77" i="14"/>
  <c r="Z77" i="14"/>
  <c r="W78" i="14"/>
  <c r="W79" i="14"/>
  <c r="X80" i="14"/>
  <c r="V81" i="14"/>
  <c r="V82" i="14"/>
  <c r="W83" i="14"/>
  <c r="Z86" i="14"/>
  <c r="X88" i="14"/>
  <c r="W91" i="14"/>
  <c r="Z94" i="14"/>
  <c r="X96" i="14"/>
  <c r="W99" i="14"/>
  <c r="Z102" i="14"/>
  <c r="X104" i="14"/>
  <c r="W107" i="14"/>
  <c r="Z110" i="14"/>
  <c r="X112" i="14"/>
  <c r="W115" i="14"/>
  <c r="Z118" i="14"/>
  <c r="X120" i="14"/>
  <c r="W123" i="14"/>
  <c r="Z126" i="14"/>
  <c r="X128" i="14"/>
  <c r="W131" i="14"/>
  <c r="Z134" i="14"/>
  <c r="X136" i="14"/>
  <c r="W139" i="14"/>
  <c r="Z142" i="14"/>
  <c r="X144" i="14"/>
  <c r="W147" i="14"/>
  <c r="Z150" i="14"/>
  <c r="X152" i="14"/>
  <c r="W155" i="14"/>
  <c r="Z158" i="14"/>
  <c r="X160" i="14"/>
  <c r="W163" i="14"/>
  <c r="Z166" i="14"/>
  <c r="X168" i="14"/>
  <c r="W171" i="14"/>
  <c r="V223" i="14"/>
  <c r="Y31" i="1" l="1"/>
  <c r="Z31" i="1" s="1"/>
  <c r="Y29" i="1"/>
  <c r="Y30" i="1"/>
  <c r="Z30" i="1" s="1"/>
  <c r="X24" i="1"/>
  <c r="Y24" i="1" s="1"/>
  <c r="Z24" i="1" s="1"/>
  <c r="X26" i="1"/>
  <c r="Y26" i="1" s="1"/>
  <c r="Z26" i="1" s="1"/>
  <c r="X25" i="1"/>
  <c r="Y25" i="1" s="1"/>
  <c r="X36" i="1"/>
  <c r="Y36" i="1" s="1"/>
  <c r="X34" i="1"/>
  <c r="Y34" i="1" s="1"/>
  <c r="X35" i="1"/>
  <c r="Y35" i="1" s="1"/>
  <c r="Z29" i="1"/>
  <c r="Z25" i="1"/>
  <c r="X49" i="15"/>
  <c r="Z49" i="15"/>
  <c r="V49" i="15"/>
  <c r="Y49" i="15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<sst xmlns="http://schemas.openxmlformats.org/spreadsheetml/2006/main" count="9409" uniqueCount="688">
  <si>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</si>
  <si>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</si>
  <si>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</si>
  <si>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</si>
  <si>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</si>
  <si>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</si>
  <si>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</si>
  <si>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</si>
  <si>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</si>
  <si>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</si>
  <si>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</si>
  <si>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</si>
  <si>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</si>
  <si>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</si>
  <si>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</si>
  <si>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</si>
  <si>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</si>
  <si>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</si>
  <si>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</si>
  <si>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</si>
  <si>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</si>
  <si>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</si>
  <si>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</si>
  <si>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</si>
  <si>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</si>
  <si>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</si>
  <si>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</si>
  <si>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</si>
  <si>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</si>
  <si>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</si>
  <si>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</si>
  <si>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</si>
  <si>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</si>
  <si>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DRC arretés à fin 09/2020  -  RPM arrêtés à fin 08/2020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</si>
  <si>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</si>
  <si>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</si>
  <si>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</si>
  <si>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</si>
  <si>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</si>
  <si>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</si>
  <si>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</si>
  <si>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</si>
  <si>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</si>
  <si>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</si>
  <si>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</si>
  <si>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</si>
  <si>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</si>
  <si>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</si>
  <si>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</si>
  <si>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</si>
  <si>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</si>
  <si>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</si>
  <si>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</si>
  <si>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</si>
  <si>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</si>
  <si>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</si>
  <si>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</si>
  <si>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</si>
  <si>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</si>
  <si>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</si>
  <si>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</si>
  <si>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</si>
  <si>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</si>
  <si>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</si>
  <si>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</si>
  <si>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</si>
  <si>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</si>
  <si>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</si>
  <si>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</si>
  <si>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</si>
  <si>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</si>
  <si>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</si>
  <si>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</si>
  <si>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</si>
  <si>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</si>
  <si>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</si>
  <si>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</si>
  <si>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</si>
  <si>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</si>
  <si>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</si>
  <si>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</si>
  <si>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</si>
  <si>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</si>
  <si>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</si>
  <si>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</si>
  <si>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</si>
  <si>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</si>
  <si>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</si>
  <si>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</si>
  <si>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</si>
  <si>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</si>
  <si>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</si>
  <si>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</si>
  <si>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</si>
  <si>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</si>
  <si>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</si>
  <si>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</si>
  <si>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</si>
  <si>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</si>
  <si>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</si>
  <si>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</si>
  <si>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</si>
  <si>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</si>
  <si>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</si>
  <si>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</si>
  <si>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</si>
  <si>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</si>
  <si>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</si>
  <si>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</si>
  <si>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</si>
  <si>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</si>
  <si>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</si>
  <si>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</si>
  <si>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</si>
  <si>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</si>
  <si>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</si>
  <si>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</si>
  <si>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</si>
  <si>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</si>
  <si>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</si>
  <si>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</si>
  <si>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</si>
  <si>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</si>
  <si>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</si>
  <si>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</si>
  <si>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</si>
  <si>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</si>
  <si>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</si>
  <si>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</si>
  <si>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</si>
  <si>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</si>
  <si>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</si>
  <si>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</si>
  <si>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</si>
  <si>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</si>
  <si>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</si>
  <si>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</si>
  <si>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</si>
  <si>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</si>
  <si>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</si>
  <si>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</si>
  <si>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</si>
  <si>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</si>
  <si>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</si>
  <si>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</si>
  <si>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</si>
  <si>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</si>
  <si>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</si>
  <si>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</si>
  <si>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</si>
  <si>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</si>
  <si>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</si>
  <si>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</si>
  <si>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</si>
  <si>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</si>
  <si>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</si>
  <si>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</si>
  <si>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</si>
  <si>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</si>
  <si>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</si>
  <si>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</si>
  <si>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</si>
  <si>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</si>
  <si>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</si>
  <si>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</si>
  <si>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</si>
  <si>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</si>
  <si>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</si>
  <si>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</si>
  <si>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</si>
  <si>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</si>
  <si>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</si>
  <si>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</si>
  <si>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</si>
  <si>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</si>
  <si>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</si>
  <si>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</si>
  <si>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</si>
  <si>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</si>
  <si>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</si>
  <si>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</si>
  <si>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</si>
  <si>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</si>
  <si>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</si>
  <si>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</si>
  <si>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</si>
  <si>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</si>
  <si>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</si>
  <si>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</si>
  <si>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</si>
  <si>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</si>
  <si>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</si>
  <si>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</si>
  <si>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</si>
  <si>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</si>
  <si>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</si>
  <si>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</si>
  <si>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</si>
  <si>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</si>
  <si>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</si>
  <si>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</si>
  <si>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</si>
  <si>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</si>
  <si>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</si>
  <si>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</si>
  <si>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</si>
  <si>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</si>
  <si>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</si>
  <si>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</si>
  <si>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</si>
  <si>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</si>
  <si>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</si>
  <si>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</si>
  <si>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</si>
  <si>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</si>
  <si>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</si>
  <si>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</si>
  <si>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</si>
  <si>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</si>
  <si>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</si>
  <si>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</si>
  <si>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</si>
  <si>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</si>
  <si>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</si>
  <si>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</si>
  <si>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</si>
  <si>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</si>
  <si>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</si>
  <si>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</si>
  <si>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</si>
  <si>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</si>
  <si>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</si>
  <si>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</si>
  <si>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</si>
  <si>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</si>
  <si>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</si>
  <si>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</si>
  <si>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</si>
  <si>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</si>
  <si>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</si>
  <si>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</si>
  <si>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</si>
  <si>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</si>
  <si>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</si>
  <si>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</si>
  <si>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</si>
  <si>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</si>
  <si>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</si>
  <si>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</si>
  <si>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</si>
  <si>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</si>
  <si>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</si>
  <si>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</si>
  <si>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</si>
  <si>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</si>
  <si>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</si>
  <si>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</si>
  <si>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</si>
  <si>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</si>
  <si>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</si>
  <si>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</si>
  <si>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</si>
  <si>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</si>
  <si>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</si>
  <si>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</si>
  <si>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</si>
  <si>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</si>
  <si>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</si>
  <si>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</si>
  <si>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</si>
  <si>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</si>
  <si>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</si>
  <si>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</si>
  <si>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</si>
  <si>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</si>
  <si>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</si>
  <si>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</si>
  <si>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</si>
  <si>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</si>
  <si>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</si>
  <si>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</si>
  <si>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</si>
  <si>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</si>
  <si>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</si>
  <si>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</si>
  <si>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</si>
  <si>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</si>
  <si>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</si>
  <si>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</si>
  <si>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</si>
  <si>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</si>
  <si>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</si>
  <si>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</si>
  <si>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</si>
  <si>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</si>
  <si>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</si>
  <si>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</si>
  <si>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</si>
  <si>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</si>
  <si>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</si>
  <si>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</si>
  <si>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</si>
  <si>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</si>
  <si>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</si>
  <si>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</si>
  <si>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</si>
  <si>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</si>
  <si>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</si>
  <si>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</si>
  <si>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</si>
  <si>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</si>
  <si>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</si>
  <si>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</si>
  <si>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</si>
  <si>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</si>
  <si>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</si>
  <si>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</si>
  <si>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</si>
  <si>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</si>
  <si>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</si>
  <si>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</si>
  <si>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</si>
  <si>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</si>
  <si>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</si>
  <si>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</si>
  <si>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</si>
  <si>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</si>
  <si>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</si>
  <si>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</si>
  <si>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</si>
  <si>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</si>
  <si>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</si>
  <si>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</si>
  <si>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</si>
  <si>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</si>
  <si>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</si>
  <si>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</si>
  <si>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</si>
  <si>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</si>
  <si>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</si>
  <si>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</si>
  <si>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</si>
  <si>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</si>
  <si>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</si>
  <si>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</si>
  <si>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</si>
  <si>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</si>
  <si>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</si>
  <si>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</si>
  <si>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</si>
  <si>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</si>
  <si>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</si>
  <si>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</si>
  <si>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</si>
  <si>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</si>
  <si>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</si>
  <si>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</si>
  <si>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</si>
  <si>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</si>
  <si>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</si>
  <si>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</si>
  <si>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</si>
  <si>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</si>
  <si>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</si>
  <si>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</si>
  <si>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</si>
  <si>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</si>
  <si>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</si>
  <si>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</si>
  <si>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</si>
  <si>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</si>
  <si>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</si>
  <si>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</si>
  <si>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</si>
  <si>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</si>
  <si>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</si>
  <si>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</si>
  <si>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</si>
  <si>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</si>
  <si>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</si>
  <si>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</si>
  <si>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</si>
  <si>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</si>
  <si>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</si>
  <si>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</si>
  <si>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</si>
  <si>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</si>
  <si>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</si>
  <si>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</si>
  <si>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</si>
  <si>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</si>
  <si>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</si>
  <si>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</si>
  <si>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</si>
  <si>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</si>
  <si>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</si>
  <si>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</si>
  <si>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</si>
  <si>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</si>
  <si>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</si>
  <si>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</si>
  <si>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</si>
  <si>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</si>
  <si>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</si>
  <si>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</si>
  <si>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</si>
  <si>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</si>
  <si>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</si>
  <si>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</si>
  <si>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</si>
  <si>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</si>
  <si>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</si>
  <si>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</si>
  <si>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</si>
  <si>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</si>
  <si>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</si>
  <si>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</si>
  <si>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</si>
  <si>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</si>
  <si>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</si>
  <si>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</si>
  <si>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</si>
  <si>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</si>
  <si>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</si>
  <si>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</si>
  <si>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</si>
  <si>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</si>
  <si>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</si>
  <si>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</si>
  <si>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</si>
  <si>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</si>
  <si>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</si>
  <si>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</si>
  <si>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</si>
  <si>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</si>
  <si>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</si>
  <si>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</si>
  <si>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</si>
  <si>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</si>
  <si>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</si>
  <si>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</si>
  <si>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</si>
  <si>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</si>
  <si>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</si>
  <si>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</si>
  <si>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</si>
  <si>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</si>
  <si>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</si>
  <si>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</si>
  <si>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</si>
  <si>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</si>
  <si>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</si>
  <si>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</si>
  <si>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</si>
  <si>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</si>
  <si>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</si>
  <si>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</si>
  <si>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</si>
  <si>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</si>
  <si>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</si>
  <si>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</si>
  <si>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</si>
  <si>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</si>
  <si>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</si>
  <si>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</si>
  <si>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</si>
  <si>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</si>
  <si>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</si>
  <si>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</si>
  <si>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</si>
  <si>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</si>
  <si>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</si>
  <si>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</si>
  <si>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</si>
  <si>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</si>
  <si>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</si>
  <si>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</si>
  <si>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</si>
  <si>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</si>
  <si>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</si>
  <si>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</si>
  <si>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</si>
  <si>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</si>
  <si>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</si>
  <si>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</si>
  <si>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</si>
  <si>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</si>
  <si>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</si>
  <si>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</si>
  <si>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</si>
  <si>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</si>
  <si>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</si>
  <si>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</si>
  <si>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</si>
  <si>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</si>
  <si>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</si>
  <si>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</si>
  <si>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</si>
  <si>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</si>
  <si>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</si>
  <si>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</si>
  <si>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</si>
  <si>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</si>
  <si>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</si>
  <si>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</si>
  <si>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</si>
  <si>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</si>
  <si>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</si>
  <si>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</si>
  <si>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</si>
  <si>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</si>
  <si>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</si>
  <si>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</si>
  <si>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</si>
  <si>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</si>
  <si>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</si>
  <si>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</si>
  <si>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</si>
  <si>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</si>
  <si>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</si>
  <si>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</si>
  <si>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</si>
  <si>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</si>
  <si>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</si>
  <si>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</si>
  <si>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</si>
  <si>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</si>
  <si>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</si>
  <si>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</si>
  <si>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</si>
  <si>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</si>
  <si>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</si>
  <si>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</si>
  <si>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</si>
  <si>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</si>
  <si>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</si>
  <si>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</si>
  <si>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</si>
  <si>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</si>
  <si>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</si>
  <si>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</si>
  <si>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</si>
  <si>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</si>
  <si>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</si>
  <si>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</si>
  <si>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</si>
  <si>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</si>
  <si>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</si>
  <si>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</si>
  <si>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</si>
  <si>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</si>
  <si>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</si>
  <si>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</si>
  <si>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</si>
  <si>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</si>
  <si>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</si>
  <si>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</si>
  <si>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</si>
  <si>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</si>
  <si>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</si>
  <si>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</si>
  <si>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Bien vérifier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</si>
  <si>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</si>
  <si>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</si>
  <si>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</si>
  <si>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</si>
  <si>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</si>
  <si>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</si>
  <si>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</si>
  <si>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</si>
  <si>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</si>
  <si>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</si>
  <si>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</si>
  <si>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</si>
  <si>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</si>
  <si>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</si>
  <si>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</si>
  <si>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</si>
  <si>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</si>
  <si>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</si>
  <si>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</si>
  <si>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</si>
  <si>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</si>
  <si>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</si>
  <si>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</si>
  <si>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</si>
  <si>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</si>
  <si>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</si>
  <si>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</si>
  <si>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</si>
  <si>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</si>
  <si>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</si>
  <si>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</si>
  <si>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</si>
  <si>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</si>
  <si>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</si>
  <si>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</si>
  <si>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</si>
  <si>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</si>
  <si>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</si>
  <si>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</si>
  <si>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</si>
  <si>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</si>
  <si>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</si>
  <si>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</si>
  <si>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</si>
  <si>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</si>
  <si>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</si>
  <si>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</si>
  <si>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</si>
  <si>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</si>
  <si>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</si>
  <si>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</si>
  <si>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</si>
  <si>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</si>
  <si>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</si>
  <si>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</si>
  <si>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</si>
  <si>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</si>
  <si>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</si>
  <si>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>Au 25/10/20  -  Saisonnalité attendue : 91%   -   Tx PV max : 1%</t>
  </si>
  <si>
    <t>forcé pour 1er envoi, mettre Z en Y ensuite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</si>
  <si>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</si>
  <si>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</si>
  <si>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</si>
  <si>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</si>
  <si>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</si>
  <si>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</si>
  <si>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</si>
  <si>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</si>
  <si>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</si>
  <si>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</si>
  <si>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</si>
  <si>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</si>
  <si>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</si>
  <si>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</si>
  <si>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</si>
  <si>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</si>
  <si>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</si>
  <si>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</si>
  <si>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</si>
  <si>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</si>
  <si>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</si>
  <si>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</si>
  <si>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VERS LA PART VARIABLE 2020 - SEMAINE 44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</si>
  <si>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</si>
  <si>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</si>
  <si>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</si>
  <si>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</si>
  <si>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</si>
  <si>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</si>
  <si>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</si>
  <si>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</si>
  <si>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</si>
  <si>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</si>
  <si>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</si>
  <si>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</si>
  <si>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</si>
  <si>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</si>
  <si>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</si>
  <si>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</si>
  <si>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</si>
  <si>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</si>
  <si>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</si>
  <si>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</si>
  <si>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</si>
  <si>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</si>
  <si>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</si>
  <si>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</si>
  <si>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</si>
  <si>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</si>
  <si>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</si>
  <si>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</si>
  <si>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</si>
  <si>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</si>
  <si>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</si>
  <si>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</si>
  <si>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</si>
  <si>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</si>
  <si>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</si>
  <si>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</si>
  <si>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</si>
  <si>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</si>
  <si>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</si>
  <si>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</si>
  <si>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30/10/20  -  Saisonnalité attendue : 91%   -  Tx PV max : 1%</t>
  </si>
  <si>
    <t>Au 27/10/20  -  Saisonnalité attendue : 91%   -  Tx PV max : 2%</t>
  </si>
  <si>
    <t>Au 28/10/20  -  Saisonnalité attendue : 91%   -   Tx PV max : 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</si>
</sst>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9"/>
      <color rgb="FFCCFFFF"/>
      <name val="Arial"/>
      <family val="2"/>
    </font>
    <font>
      <b/>
      <sz val="9"/>
      <color rgb="FFFFFFCE"/>
      <name val="Arial"/>
      <family val="2"/>
    </font>
    <font>
      <b/>
      <sz val="9"/>
      <color rgb="FFCEFFCE"/>
      <name val="Arial"/>
      <family val="2"/>
    </font>
    <font>
      <b/>
      <sz val="9"/>
      <color rgb="FFFFC794"/>
      <name val="Arial"/>
      <family val="2"/>
    </font>
    <font>
      <b/>
      <sz val="9"/>
      <color rgb="FF94C7FF"/>
      <name val="Arial"/>
      <family val="2"/>
    </font>
    <font>
      <b/>
      <sz val="9"/>
      <color rgb="FFE2CFF5"/>
      <name val="Arial"/>
      <family val="2"/>
    </font>
    <font>
      <b/>
      <u/>
      <sz val="7"/>
      <color rgb="FF0000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C000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31" fillId="0" borderId="0"/>
    <xf numFmtId="0" fontId="42" fillId="0" borderId="0" applyNumberFormat="0" applyFill="0" applyBorder="0" applyAlignment="0" applyProtection="0"/>
  </cellStyleXfs>
  <cellXfs count="351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11" fillId="5" borderId="0" xfId="0" applyFont="1" applyFill="1" applyAlignment="1">
      <alignment horizontal="left"/>
    </xf>
    <xf numFmtId="0" fontId="13" fillId="5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0" fontId="18" fillId="5" borderId="0" xfId="0" applyFont="1" applyFill="1" applyAlignment="1">
      <alignment horizontal="center" vertical="center" wrapText="1"/>
    </xf>
    <xf numFmtId="49" fontId="13" fillId="6" borderId="0" xfId="0" applyNumberFormat="1" applyFont="1" applyFill="1" applyAlignment="1">
      <alignment horizontal="center" vertical="center"/>
    </xf>
    <xf numFmtId="0" fontId="20" fillId="6" borderId="28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horizontal="center" vertical="center" wrapText="1"/>
    </xf>
    <xf numFmtId="164" fontId="11" fillId="5" borderId="29" xfId="0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/>
    </xf>
    <xf numFmtId="165" fontId="11" fillId="5" borderId="29" xfId="0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166" fontId="11" fillId="5" borderId="29" xfId="0" applyNumberFormat="1" applyFont="1" applyFill="1" applyBorder="1" applyAlignment="1">
      <alignment horizontal="center" vertical="center"/>
    </xf>
    <xf numFmtId="3" fontId="11" fillId="5" borderId="29" xfId="0" applyNumberFormat="1" applyFont="1" applyFill="1" applyBorder="1" applyAlignment="1">
      <alignment horizontal="center" vertical="center"/>
    </xf>
    <xf numFmtId="164" fontId="11" fillId="7" borderId="29" xfId="0" applyNumberFormat="1" applyFont="1" applyFill="1" applyBorder="1" applyAlignment="1">
      <alignment horizontal="center" vertical="center"/>
    </xf>
    <xf numFmtId="167" fontId="21" fillId="8" borderId="29" xfId="0" applyNumberFormat="1" applyFont="1" applyFill="1" applyBorder="1" applyAlignment="1">
      <alignment horizontal="center" vertical="center"/>
    </xf>
    <xf numFmtId="3" fontId="21" fillId="8" borderId="29" xfId="0" applyNumberFormat="1" applyFont="1" applyFill="1" applyBorder="1" applyAlignment="1">
      <alignment horizontal="center" vertical="center"/>
    </xf>
    <xf numFmtId="168" fontId="11" fillId="5" borderId="29" xfId="0" applyNumberFormat="1" applyFont="1" applyFill="1" applyBorder="1" applyAlignment="1">
      <alignment horizontal="center" vertical="center"/>
    </xf>
    <xf numFmtId="169" fontId="11" fillId="5" borderId="29" xfId="0" applyNumberFormat="1" applyFont="1" applyFill="1" applyBorder="1" applyAlignment="1">
      <alignment horizontal="center" vertical="center"/>
    </xf>
    <xf numFmtId="3" fontId="11" fillId="7" borderId="29" xfId="0" applyNumberFormat="1" applyFont="1" applyFill="1" applyBorder="1" applyAlignment="1">
      <alignment horizontal="center" vertical="center"/>
    </xf>
    <xf numFmtId="167" fontId="21" fillId="9" borderId="29" xfId="0" applyNumberFormat="1" applyFont="1" applyFill="1" applyBorder="1" applyAlignment="1">
      <alignment horizontal="center" vertical="center"/>
    </xf>
    <xf numFmtId="3" fontId="21" fillId="9" borderId="29" xfId="0" applyNumberFormat="1" applyFont="1" applyFill="1" applyBorder="1" applyAlignment="1">
      <alignment horizontal="center" vertical="center"/>
    </xf>
    <xf numFmtId="170" fontId="11" fillId="5" borderId="29" xfId="0" applyNumberFormat="1" applyFont="1" applyFill="1" applyBorder="1" applyAlignment="1">
      <alignment horizontal="center" vertical="center"/>
    </xf>
    <xf numFmtId="49" fontId="11" fillId="7" borderId="29" xfId="0" applyNumberFormat="1" applyFont="1" applyFill="1" applyBorder="1" applyAlignment="1">
      <alignment horizontal="center" vertical="center"/>
    </xf>
    <xf numFmtId="167" fontId="21" fillId="10" borderId="29" xfId="0" applyNumberFormat="1" applyFont="1" applyFill="1" applyBorder="1" applyAlignment="1">
      <alignment horizontal="center" vertical="center"/>
    </xf>
    <xf numFmtId="3" fontId="21" fillId="10" borderId="29" xfId="0" applyNumberFormat="1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167" fontId="11" fillId="7" borderId="29" xfId="0" applyNumberFormat="1" applyFont="1" applyFill="1" applyBorder="1" applyAlignment="1">
      <alignment horizontal="center" vertical="center"/>
    </xf>
    <xf numFmtId="171" fontId="11" fillId="5" borderId="29" xfId="0" applyNumberFormat="1" applyFont="1" applyFill="1" applyBorder="1" applyAlignment="1">
      <alignment horizontal="center" vertical="center"/>
    </xf>
    <xf numFmtId="172" fontId="11" fillId="7" borderId="29" xfId="0" applyNumberFormat="1" applyFont="1" applyFill="1" applyBorder="1" applyAlignment="1">
      <alignment horizontal="center" vertical="center"/>
    </xf>
    <xf numFmtId="167" fontId="11" fillId="5" borderId="29" xfId="0" applyNumberFormat="1" applyFont="1" applyFill="1" applyBorder="1" applyAlignment="1">
      <alignment horizontal="center" vertical="center"/>
    </xf>
    <xf numFmtId="0" fontId="22" fillId="5" borderId="30" xfId="0" applyFont="1" applyFill="1" applyBorder="1" applyAlignment="1">
      <alignment horizontal="center" vertical="center"/>
    </xf>
    <xf numFmtId="49" fontId="22" fillId="5" borderId="30" xfId="0" applyNumberFormat="1" applyFont="1" applyFill="1" applyBorder="1" applyAlignment="1">
      <alignment horizontal="center" vertical="center"/>
    </xf>
    <xf numFmtId="164" fontId="22" fillId="5" borderId="30" xfId="0" applyNumberFormat="1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/>
    </xf>
    <xf numFmtId="0" fontId="22" fillId="5" borderId="0" xfId="0" applyFont="1" applyFill="1" applyAlignment="1">
      <alignment horizontal="center" vertical="center"/>
    </xf>
    <xf numFmtId="3" fontId="22" fillId="5" borderId="30" xfId="0" applyNumberFormat="1" applyFont="1" applyFill="1" applyBorder="1" applyAlignment="1">
      <alignment horizontal="center" vertical="center"/>
    </xf>
    <xf numFmtId="0" fontId="22" fillId="7" borderId="30" xfId="0" applyFont="1" applyFill="1" applyBorder="1" applyAlignment="1">
      <alignment horizontal="center" vertical="center"/>
    </xf>
    <xf numFmtId="169" fontId="22" fillId="5" borderId="30" xfId="0" applyNumberFormat="1" applyFont="1" applyFill="1" applyBorder="1" applyAlignment="1">
      <alignment horizontal="center" vertical="center"/>
    </xf>
    <xf numFmtId="168" fontId="22" fillId="5" borderId="29" xfId="0" applyNumberFormat="1" applyFont="1" applyFill="1" applyBorder="1" applyAlignment="1">
      <alignment horizontal="center" vertical="center"/>
    </xf>
    <xf numFmtId="170" fontId="22" fillId="5" borderId="29" xfId="0" applyNumberFormat="1" applyFont="1" applyFill="1" applyBorder="1" applyAlignment="1">
      <alignment horizontal="center" vertical="center"/>
    </xf>
    <xf numFmtId="0" fontId="22" fillId="7" borderId="29" xfId="0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center" vertical="center"/>
    </xf>
    <xf numFmtId="169" fontId="22" fillId="5" borderId="29" xfId="0" applyNumberFormat="1" applyFont="1" applyFill="1" applyBorder="1" applyAlignment="1">
      <alignment horizontal="center" vertical="center"/>
    </xf>
    <xf numFmtId="164" fontId="22" fillId="5" borderId="29" xfId="0" applyNumberFormat="1" applyFont="1" applyFill="1" applyBorder="1" applyAlignment="1">
      <alignment horizontal="center" vertical="center"/>
    </xf>
    <xf numFmtId="49" fontId="22" fillId="5" borderId="29" xfId="0" applyNumberFormat="1" applyFont="1" applyFill="1" applyBorder="1" applyAlignment="1">
      <alignment horizontal="center" vertical="center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49" fontId="11" fillId="5" borderId="29" xfId="0" applyNumberFormat="1" applyFont="1" applyFill="1" applyBorder="1" applyAlignment="1">
      <alignment horizontal="center" vertic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25" fillId="0" borderId="0" xfId="0" applyFont="1"/>
    <xf numFmtId="49" fontId="26" fillId="5" borderId="29" xfId="0" applyNumberFormat="1" applyFont="1" applyFill="1" applyBorder="1" applyAlignment="1">
      <alignment horizontal="center" vertical="center"/>
    </xf>
    <xf numFmtId="2" fontId="26" fillId="5" borderId="29" xfId="0" applyNumberFormat="1" applyFont="1" applyFill="1" applyBorder="1" applyAlignment="1">
      <alignment horizontal="center" vertical="center"/>
    </xf>
    <xf numFmtId="49" fontId="23" fillId="6" borderId="29" xfId="0" applyNumberFormat="1" applyFont="1" applyFill="1" applyBorder="1" applyAlignment="1">
      <alignment horizontal="center" vertical="center" wrapText="1"/>
    </xf>
    <xf numFmtId="2" fontId="23" fillId="13" borderId="29" xfId="0" applyNumberFormat="1" applyFont="1" applyFill="1" applyBorder="1" applyAlignment="1">
      <alignment horizontal="center" vertical="center" wrapText="1"/>
    </xf>
    <xf numFmtId="2" fontId="23" fillId="11" borderId="29" xfId="0" applyNumberFormat="1" applyFont="1" applyFill="1" applyBorder="1" applyAlignment="1">
      <alignment horizontal="center" vertical="center" wrapText="1"/>
    </xf>
    <xf numFmtId="2" fontId="23" fillId="12" borderId="29" xfId="0" applyNumberFormat="1" applyFont="1" applyFill="1" applyBorder="1" applyAlignment="1">
      <alignment horizontal="center" vertical="center" wrapText="1"/>
    </xf>
    <xf numFmtId="0" fontId="25" fillId="0" borderId="0" xfId="0" applyFont="1" applyAlignment="1"/>
    <xf numFmtId="2" fontId="25" fillId="0" borderId="0" xfId="0" applyNumberFormat="1" applyFont="1" applyAlignment="1">
      <alignment horizontal="center" wrapText="1"/>
    </xf>
    <xf numFmtId="0" fontId="25" fillId="0" borderId="0" xfId="0" applyFont="1" applyAlignment="1">
      <alignment horizontal="center" wrapText="1"/>
    </xf>
    <xf numFmtId="2" fontId="26" fillId="0" borderId="0" xfId="0" applyNumberFormat="1" applyFont="1" applyAlignment="1">
      <alignment horizontal="center"/>
    </xf>
    <xf numFmtId="2" fontId="25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24" fillId="5" borderId="0" xfId="0" applyFont="1" applyFill="1" applyAlignment="1">
      <alignment horizontal="center"/>
    </xf>
    <xf numFmtId="2" fontId="2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8" fillId="0" borderId="0" xfId="0" applyFont="1"/>
    <xf numFmtId="0" fontId="0" fillId="15" borderId="0" xfId="0" applyFill="1"/>
    <xf numFmtId="0" fontId="25" fillId="15" borderId="37" xfId="0" applyFont="1" applyFill="1" applyBorder="1"/>
    <xf numFmtId="0" fontId="3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29" fillId="4" borderId="38" xfId="4" applyNumberFormat="1" applyFont="1" applyFill="1" applyBorder="1" applyAlignment="1" applyProtection="1">
      <alignment horizontal="center" vertical="center" wrapText="1"/>
    </xf>
    <xf numFmtId="1" fontId="29" fillId="4" borderId="39" xfId="4" applyNumberFormat="1" applyFont="1" applyFill="1" applyBorder="1" applyAlignment="1" applyProtection="1">
      <alignment horizontal="center" vertical="center" wrapText="1"/>
    </xf>
    <xf numFmtId="3" fontId="29" fillId="4" borderId="40" xfId="0" applyNumberFormat="1" applyFont="1" applyFill="1" applyBorder="1" applyAlignment="1">
      <alignment horizontal="center" vertical="center" wrapText="1"/>
    </xf>
    <xf numFmtId="3" fontId="29" fillId="4" borderId="41" xfId="0" applyNumberFormat="1" applyFont="1" applyFill="1" applyBorder="1" applyAlignment="1">
      <alignment horizontal="center" vertical="center" wrapText="1"/>
    </xf>
    <xf numFmtId="1" fontId="29" fillId="4" borderId="42" xfId="0" applyNumberFormat="1" applyFont="1" applyFill="1" applyBorder="1" applyAlignment="1">
      <alignment horizontal="center" vertical="center" wrapText="1"/>
    </xf>
    <xf numFmtId="3" fontId="29" fillId="4" borderId="0" xfId="0" applyNumberFormat="1" applyFont="1" applyFill="1" applyBorder="1" applyAlignment="1">
      <alignment horizontal="center" vertical="center" wrapText="1"/>
    </xf>
    <xf numFmtId="0" fontId="32" fillId="3" borderId="43" xfId="0" applyFont="1" applyFill="1" applyBorder="1" applyAlignment="1">
      <alignment horizontal="center"/>
    </xf>
    <xf numFmtId="0" fontId="32" fillId="4" borderId="43" xfId="0" applyFont="1" applyFill="1" applyBorder="1"/>
    <xf numFmtId="173" fontId="3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32" fillId="3" borderId="47" xfId="0" applyFont="1" applyFill="1" applyBorder="1" applyAlignment="1">
      <alignment horizontal="center"/>
    </xf>
    <xf numFmtId="0" fontId="32" fillId="4" borderId="47" xfId="0" applyFont="1" applyFill="1" applyBorder="1"/>
    <xf numFmtId="173" fontId="3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32" fillId="3" borderId="51" xfId="0" applyFont="1" applyFill="1" applyBorder="1" applyAlignment="1">
      <alignment horizontal="center"/>
    </xf>
    <xf numFmtId="0" fontId="32" fillId="4" borderId="51" xfId="0" applyFont="1" applyFill="1" applyBorder="1"/>
    <xf numFmtId="173" fontId="3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2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2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27" fillId="4" borderId="55" xfId="0" applyFont="1" applyFill="1" applyBorder="1" applyAlignment="1">
      <alignment horizontal="center" vertical="center"/>
    </xf>
    <xf numFmtId="0" fontId="25" fillId="4" borderId="0" xfId="0" applyFont="1" applyFill="1" applyBorder="1"/>
    <xf numFmtId="0" fontId="25" fillId="4" borderId="0" xfId="0" applyFont="1" applyFill="1"/>
    <xf numFmtId="0" fontId="35" fillId="0" borderId="0" xfId="0" applyFont="1"/>
    <xf numFmtId="0" fontId="2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36" fillId="5" borderId="0" xfId="0" applyFont="1" applyFill="1" applyAlignment="1">
      <alignment horizontal="center"/>
    </xf>
    <xf numFmtId="49" fontId="36" fillId="22" borderId="29" xfId="0" applyNumberFormat="1" applyFont="1" applyFill="1" applyBorder="1" applyAlignment="1">
      <alignment horizontal="center"/>
    </xf>
    <xf numFmtId="0" fontId="36" fillId="22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37" fillId="0" borderId="0" xfId="0" applyNumberFormat="1" applyFont="1" applyAlignment="1">
      <alignment horizontal="center"/>
    </xf>
    <xf numFmtId="49" fontId="11" fillId="22" borderId="29" xfId="0" applyNumberFormat="1" applyFont="1" applyFill="1" applyBorder="1" applyAlignment="1">
      <alignment horizontal="left"/>
    </xf>
    <xf numFmtId="1" fontId="11" fillId="5" borderId="0" xfId="0" applyNumberFormat="1" applyFont="1" applyFill="1" applyAlignment="1">
      <alignment horizontal="center"/>
    </xf>
    <xf numFmtId="1" fontId="3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49" fontId="11" fillId="5" borderId="29" xfId="0" applyNumberFormat="1" applyFont="1" applyFill="1" applyBorder="1" applyAlignment="1">
      <alignment horizontal="left"/>
    </xf>
    <xf numFmtId="175" fontId="11" fillId="5" borderId="29" xfId="0" applyNumberFormat="1" applyFont="1" applyFill="1" applyBorder="1" applyAlignment="1">
      <alignment horizontal="right"/>
    </xf>
    <xf numFmtId="176" fontId="11" fillId="5" borderId="29" xfId="0" applyNumberFormat="1" applyFont="1" applyFill="1" applyBorder="1" applyAlignment="1">
      <alignment horizontal="right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4" fillId="23" borderId="0" xfId="0" applyFont="1" applyFill="1" applyAlignment="1">
      <alignment horizontal="center" vertical="center"/>
    </xf>
    <xf numFmtId="0" fontId="3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40" fillId="0" borderId="0" xfId="0" quotePrefix="1" applyFont="1" applyBorder="1"/>
    <xf numFmtId="0" fontId="40" fillId="0" borderId="0" xfId="0" quotePrefix="1" applyFont="1" applyBorder="1" applyAlignment="1">
      <alignment horizontal="left" wrapText="1"/>
    </xf>
    <xf numFmtId="0" fontId="40" fillId="0" borderId="0" xfId="0" quotePrefix="1" applyFont="1" applyBorder="1" applyAlignment="1">
      <alignment horizontal="left"/>
    </xf>
    <xf numFmtId="0" fontId="40" fillId="0" borderId="0" xfId="0" quotePrefix="1" applyFont="1" applyBorder="1" applyAlignment="1"/>
    <xf numFmtId="0" fontId="41" fillId="0" borderId="0" xfId="0" quotePrefix="1" applyFont="1" applyBorder="1"/>
    <xf numFmtId="0" fontId="46" fillId="0" borderId="0" xfId="0" applyFont="1" applyBorder="1"/>
    <xf numFmtId="0" fontId="39" fillId="0" borderId="0" xfId="0" applyFont="1" applyBorder="1"/>
    <xf numFmtId="0" fontId="47" fillId="5" borderId="0" xfId="0" applyFont="1" applyFill="1" applyAlignment="1">
      <alignment horizontal="left"/>
    </xf>
    <xf numFmtId="0" fontId="48" fillId="5" borderId="0" xfId="0" applyFont="1" applyFill="1" applyAlignment="1">
      <alignment horizontal="center" vertical="center"/>
    </xf>
    <xf numFmtId="0" fontId="48" fillId="5" borderId="0" xfId="0" applyFont="1" applyFill="1" applyAlignment="1">
      <alignment horizontal="center" vertical="center" wrapText="1"/>
    </xf>
    <xf numFmtId="0" fontId="49" fillId="5" borderId="0" xfId="0" applyFont="1" applyFill="1" applyAlignment="1">
      <alignment horizontal="center" vertical="center" wrapText="1"/>
    </xf>
    <xf numFmtId="0" fontId="50" fillId="5" borderId="0" xfId="0" applyFont="1" applyFill="1" applyAlignment="1">
      <alignment horizontal="center" vertical="center" wrapText="1"/>
    </xf>
    <xf numFmtId="0" fontId="51" fillId="5" borderId="0" xfId="0" applyFont="1" applyFill="1" applyAlignment="1">
      <alignment horizontal="center" vertical="center" wrapText="1"/>
    </xf>
    <xf numFmtId="0" fontId="53" fillId="5" borderId="0" xfId="0" applyFont="1" applyFill="1" applyAlignment="1">
      <alignment horizontal="center" vertical="center" wrapText="1"/>
    </xf>
    <xf numFmtId="49" fontId="48" fillId="6" borderId="0" xfId="0" applyNumberFormat="1" applyFont="1" applyFill="1" applyAlignment="1">
      <alignment horizontal="center" vertical="center"/>
    </xf>
    <xf numFmtId="0" fontId="55" fillId="6" borderId="28" xfId="0" applyFont="1" applyFill="1" applyBorder="1" applyAlignment="1">
      <alignment horizontal="center" vertical="center" wrapText="1"/>
    </xf>
    <xf numFmtId="0" fontId="55" fillId="6" borderId="0" xfId="0" applyFont="1" applyFill="1" applyAlignment="1">
      <alignment horizontal="center" vertical="center" wrapText="1"/>
    </xf>
    <xf numFmtId="4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165" fontId="47" fillId="5" borderId="29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 vertical="center"/>
    </xf>
    <xf numFmtId="166" fontId="47" fillId="5" borderId="29" xfId="0" applyNumberFormat="1" applyFont="1" applyFill="1" applyBorder="1" applyAlignment="1">
      <alignment horizontal="center" vertical="center"/>
    </xf>
    <xf numFmtId="3" fontId="47" fillId="5" borderId="29" xfId="0" applyNumberFormat="1" applyFont="1" applyFill="1" applyBorder="1" applyAlignment="1">
      <alignment horizontal="center" vertical="center"/>
    </xf>
    <xf numFmtId="164" fontId="47" fillId="7" borderId="29" xfId="0" applyNumberFormat="1" applyFont="1" applyFill="1" applyBorder="1" applyAlignment="1">
      <alignment horizontal="center" vertical="center"/>
    </xf>
    <xf numFmtId="167" fontId="56" fillId="8" borderId="29" xfId="0" applyNumberFormat="1" applyFont="1" applyFill="1" applyBorder="1" applyAlignment="1">
      <alignment horizontal="center" vertical="center"/>
    </xf>
    <xf numFmtId="3" fontId="56" fillId="8" borderId="29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3" fontId="47" fillId="7" borderId="29" xfId="0" applyNumberFormat="1" applyFont="1" applyFill="1" applyBorder="1" applyAlignment="1">
      <alignment horizontal="center" vertical="center"/>
    </xf>
    <xf numFmtId="167" fontId="56" fillId="9" borderId="29" xfId="0" applyNumberFormat="1" applyFont="1" applyFill="1" applyBorder="1" applyAlignment="1">
      <alignment horizontal="center" vertical="center"/>
    </xf>
    <xf numFmtId="3" fontId="56" fillId="9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49" fontId="47" fillId="7" borderId="29" xfId="0" applyNumberFormat="1" applyFont="1" applyFill="1" applyBorder="1" applyAlignment="1">
      <alignment horizontal="center" vertical="center"/>
    </xf>
    <xf numFmtId="167" fontId="56" fillId="10" borderId="29" xfId="0" applyNumberFormat="1" applyFont="1" applyFill="1" applyBorder="1" applyAlignment="1">
      <alignment horizontal="center" vertical="center"/>
    </xf>
    <xf numFmtId="3" fontId="56" fillId="10" borderId="29" xfId="0" applyNumberFormat="1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7" fontId="47" fillId="7" borderId="29" xfId="0" applyNumberFormat="1" applyFont="1" applyFill="1" applyBorder="1" applyAlignment="1">
      <alignment horizontal="center" vertical="center"/>
    </xf>
    <xf numFmtId="171" fontId="47" fillId="5" borderId="29" xfId="0" applyNumberFormat="1" applyFont="1" applyFill="1" applyBorder="1" applyAlignment="1">
      <alignment horizontal="center" vertical="center"/>
    </xf>
    <xf numFmtId="172" fontId="47" fillId="7" borderId="29" xfId="0" applyNumberFormat="1" applyFont="1" applyFill="1" applyBorder="1" applyAlignment="1">
      <alignment horizontal="center" vertical="center"/>
    </xf>
    <xf numFmtId="167" fontId="47" fillId="5" borderId="29" xfId="0" applyNumberFormat="1" applyFont="1" applyFill="1" applyBorder="1" applyAlignment="1">
      <alignment horizontal="center" vertical="center"/>
    </xf>
    <xf numFmtId="0" fontId="57" fillId="5" borderId="30" xfId="0" applyFont="1" applyFill="1" applyBorder="1" applyAlignment="1">
      <alignment horizontal="center" vertical="center"/>
    </xf>
    <xf numFmtId="49" fontId="57" fillId="5" borderId="30" xfId="0" applyNumberFormat="1" applyFont="1" applyFill="1" applyBorder="1" applyAlignment="1">
      <alignment horizontal="center" vertical="center"/>
    </xf>
    <xf numFmtId="164" fontId="57" fillId="5" borderId="30" xfId="0" applyNumberFormat="1" applyFont="1" applyFill="1" applyBorder="1" applyAlignment="1">
      <alignment horizontal="center" vertical="center"/>
    </xf>
    <xf numFmtId="0" fontId="57" fillId="5" borderId="0" xfId="0" applyFont="1" applyFill="1" applyAlignment="1">
      <alignment horizontal="center"/>
    </xf>
    <xf numFmtId="0" fontId="57" fillId="5" borderId="0" xfId="0" applyFont="1" applyFill="1" applyAlignment="1">
      <alignment horizontal="center" vertical="center"/>
    </xf>
    <xf numFmtId="3" fontId="57" fillId="5" borderId="30" xfId="0" applyNumberFormat="1" applyFont="1" applyFill="1" applyBorder="1" applyAlignment="1">
      <alignment horizontal="center" vertical="center"/>
    </xf>
    <xf numFmtId="0" fontId="57" fillId="7" borderId="30" xfId="0" applyFont="1" applyFill="1" applyBorder="1" applyAlignment="1">
      <alignment horizontal="center" vertical="center"/>
    </xf>
    <xf numFmtId="169" fontId="57" fillId="5" borderId="30" xfId="0" applyNumberFormat="1" applyFont="1" applyFill="1" applyBorder="1" applyAlignment="1">
      <alignment horizontal="center" vertical="center"/>
    </xf>
    <xf numFmtId="168" fontId="57" fillId="5" borderId="29" xfId="0" applyNumberFormat="1" applyFont="1" applyFill="1" applyBorder="1" applyAlignment="1">
      <alignment horizontal="center" vertical="center"/>
    </xf>
    <xf numFmtId="170" fontId="57" fillId="5" borderId="29" xfId="0" applyNumberFormat="1" applyFont="1" applyFill="1" applyBorder="1" applyAlignment="1">
      <alignment horizontal="center" vertical="center"/>
    </xf>
    <xf numFmtId="0" fontId="57" fillId="7" borderId="29" xfId="0" applyFont="1" applyFill="1" applyBorder="1" applyAlignment="1">
      <alignment horizontal="center" vertical="center"/>
    </xf>
    <xf numFmtId="0" fontId="57" fillId="5" borderId="29" xfId="0" applyFont="1" applyFill="1" applyBorder="1" applyAlignment="1">
      <alignment horizontal="center" vertical="center"/>
    </xf>
    <xf numFmtId="169" fontId="57" fillId="5" borderId="29" xfId="0" applyNumberFormat="1" applyFont="1" applyFill="1" applyBorder="1" applyAlignment="1">
      <alignment horizontal="center" vertical="center"/>
    </xf>
    <xf numFmtId="164" fontId="57" fillId="5" borderId="29" xfId="0" applyNumberFormat="1" applyFont="1" applyFill="1" applyBorder="1" applyAlignment="1">
      <alignment horizontal="center" vertical="center"/>
    </xf>
    <xf numFmtId="49" fontId="57" fillId="5" borderId="29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 wrapText="1"/>
    </xf>
    <xf numFmtId="0" fontId="4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left" vertical="center" wrapText="1"/>
    </xf>
    <xf numFmtId="0" fontId="44" fillId="0" borderId="0" xfId="0" applyFont="1" applyBorder="1" applyAlignment="1">
      <alignment horizontal="center"/>
    </xf>
    <xf numFmtId="0" fontId="4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19" fillId="6" borderId="29" xfId="0" applyNumberFormat="1" applyFont="1" applyFill="1" applyBorder="1" applyAlignment="1">
      <alignment horizontal="center" vertical="center" wrapText="1"/>
    </xf>
    <xf numFmtId="49" fontId="18" fillId="6" borderId="29" xfId="0" applyNumberFormat="1" applyFont="1" applyFill="1" applyBorder="1" applyAlignment="1">
      <alignment horizontal="center" vertical="center" wrapText="1"/>
    </xf>
    <xf numFmtId="49" fontId="17" fillId="6" borderId="29" xfId="0" applyNumberFormat="1" applyFont="1" applyFill="1" applyBorder="1" applyAlignment="1">
      <alignment horizontal="center" vertical="center" wrapText="1"/>
    </xf>
    <xf numFmtId="49" fontId="16" fillId="6" borderId="29" xfId="0" applyNumberFormat="1" applyFont="1" applyFill="1" applyBorder="1" applyAlignment="1">
      <alignment horizontal="center" vertical="center" wrapText="1"/>
    </xf>
    <xf numFmtId="49" fontId="15" fillId="6" borderId="29" xfId="0" applyNumberFormat="1" applyFont="1" applyFill="1" applyBorder="1" applyAlignment="1">
      <alignment horizontal="center" vertical="center" wrapText="1"/>
    </xf>
    <xf numFmtId="49" fontId="14" fillId="6" borderId="29" xfId="0" applyNumberFormat="1" applyFont="1" applyFill="1" applyBorder="1" applyAlignment="1">
      <alignment horizontal="center" vertical="center" wrapText="1"/>
    </xf>
    <xf numFmtId="49" fontId="18" fillId="6" borderId="27" xfId="0" applyNumberFormat="1" applyFont="1" applyFill="1" applyBorder="1" applyAlignment="1">
      <alignment horizontal="center" vertical="center" wrapText="1"/>
    </xf>
    <xf numFmtId="49" fontId="19" fillId="6" borderId="27" xfId="0" applyNumberFormat="1" applyFont="1" applyFill="1" applyBorder="1" applyAlignment="1">
      <alignment horizontal="center" vertical="center" wrapText="1"/>
    </xf>
    <xf numFmtId="49" fontId="14" fillId="6" borderId="27" xfId="0" applyNumberFormat="1" applyFont="1" applyFill="1" applyBorder="1" applyAlignment="1">
      <alignment horizontal="center" vertical="center" wrapText="1"/>
    </xf>
    <xf numFmtId="49" fontId="15" fillId="6" borderId="27" xfId="0" applyNumberFormat="1" applyFont="1" applyFill="1" applyBorder="1" applyAlignment="1">
      <alignment horizontal="center" vertical="center" wrapText="1"/>
    </xf>
    <xf numFmtId="49" fontId="16" fillId="6" borderId="27" xfId="0" applyNumberFormat="1" applyFont="1" applyFill="1" applyBorder="1" applyAlignment="1">
      <alignment horizontal="center" vertical="center" wrapText="1"/>
    </xf>
    <xf numFmtId="49" fontId="17" fillId="6" borderId="27" xfId="0" applyNumberFormat="1" applyFont="1" applyFill="1" applyBorder="1" applyAlignment="1">
      <alignment horizontal="center" vertical="center" wrapText="1"/>
    </xf>
    <xf numFmtId="49" fontId="13" fillId="6" borderId="0" xfId="0" applyNumberFormat="1" applyFont="1" applyFill="1" applyAlignment="1">
      <alignment horizontal="center" wrapText="1"/>
    </xf>
    <xf numFmtId="49" fontId="13" fillId="6" borderId="26" xfId="0" applyNumberFormat="1" applyFont="1" applyFill="1" applyBorder="1" applyAlignment="1">
      <alignment horizontal="center" wrapText="1"/>
    </xf>
    <xf numFmtId="49" fontId="13" fillId="6" borderId="0" xfId="0" applyNumberFormat="1" applyFont="1" applyFill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/>
    </xf>
    <xf numFmtId="49" fontId="13" fillId="6" borderId="0" xfId="0" applyNumberFormat="1" applyFont="1" applyFill="1" applyAlignment="1">
      <alignment horizontal="center" vertical="center" wrapText="1"/>
    </xf>
    <xf numFmtId="49" fontId="54" fillId="6" borderId="29" xfId="0" applyNumberFormat="1" applyFont="1" applyFill="1" applyBorder="1" applyAlignment="1">
      <alignment horizontal="center" vertical="center" wrapText="1"/>
    </xf>
    <xf numFmtId="49" fontId="50" fillId="6" borderId="29" xfId="0" applyNumberFormat="1" applyFont="1" applyFill="1" applyBorder="1" applyAlignment="1">
      <alignment horizontal="center" vertical="center" wrapText="1"/>
    </xf>
    <xf numFmtId="49" fontId="51" fillId="6" borderId="29" xfId="0" applyNumberFormat="1" applyFont="1" applyFill="1" applyBorder="1" applyAlignment="1">
      <alignment horizontal="center" vertical="center" wrapText="1"/>
    </xf>
    <xf numFmtId="49" fontId="52" fillId="6" borderId="29" xfId="0" applyNumberFormat="1" applyFont="1" applyFill="1" applyBorder="1" applyAlignment="1">
      <alignment horizontal="center" vertical="center" wrapText="1"/>
    </xf>
    <xf numFmtId="49" fontId="53" fillId="6" borderId="27" xfId="0" applyNumberFormat="1" applyFont="1" applyFill="1" applyBorder="1" applyAlignment="1">
      <alignment horizontal="center" vertical="center" wrapText="1"/>
    </xf>
    <xf numFmtId="49" fontId="54" fillId="6" borderId="27" xfId="0" applyNumberFormat="1" applyFont="1" applyFill="1" applyBorder="1" applyAlignment="1">
      <alignment horizontal="center" vertical="center" wrapText="1"/>
    </xf>
    <xf numFmtId="49" fontId="53" fillId="6" borderId="29" xfId="0" applyNumberFormat="1" applyFont="1" applyFill="1" applyBorder="1" applyAlignment="1">
      <alignment horizontal="center" vertical="center" wrapText="1"/>
    </xf>
    <xf numFmtId="49" fontId="49" fillId="6" borderId="29" xfId="0" applyNumberFormat="1" applyFont="1" applyFill="1" applyBorder="1" applyAlignment="1">
      <alignment horizontal="center" vertical="center" wrapText="1"/>
    </xf>
    <xf numFmtId="49" fontId="48" fillId="6" borderId="0" xfId="0" applyNumberFormat="1" applyFont="1" applyFill="1" applyAlignment="1">
      <alignment horizontal="center" vertical="center"/>
    </xf>
    <xf numFmtId="49" fontId="48" fillId="6" borderId="29" xfId="0" applyNumberFormat="1" applyFont="1" applyFill="1" applyBorder="1" applyAlignment="1">
      <alignment horizontal="center" vertical="center"/>
    </xf>
    <xf numFmtId="49" fontId="48" fillId="6" borderId="0" xfId="0" applyNumberFormat="1" applyFont="1" applyFill="1" applyAlignment="1">
      <alignment horizontal="center" vertical="center" wrapText="1"/>
    </xf>
    <xf numFmtId="49" fontId="48" fillId="6" borderId="0" xfId="0" applyNumberFormat="1" applyFont="1" applyFill="1" applyAlignment="1">
      <alignment horizontal="center" wrapText="1"/>
    </xf>
    <xf numFmtId="49" fontId="48" fillId="6" borderId="26" xfId="0" applyNumberFormat="1" applyFont="1" applyFill="1" applyBorder="1" applyAlignment="1">
      <alignment horizontal="center" wrapText="1"/>
    </xf>
    <xf numFmtId="49" fontId="49" fillId="6" borderId="27" xfId="0" applyNumberFormat="1" applyFont="1" applyFill="1" applyBorder="1" applyAlignment="1">
      <alignment horizontal="center" vertical="center" wrapText="1"/>
    </xf>
    <xf numFmtId="49" fontId="50" fillId="6" borderId="27" xfId="0" applyNumberFormat="1" applyFont="1" applyFill="1" applyBorder="1" applyAlignment="1">
      <alignment horizontal="center" vertical="center" wrapText="1"/>
    </xf>
    <xf numFmtId="49" fontId="51" fillId="6" borderId="27" xfId="0" applyNumberFormat="1" applyFont="1" applyFill="1" applyBorder="1" applyAlignment="1">
      <alignment horizontal="center" vertical="center" wrapText="1"/>
    </xf>
    <xf numFmtId="49" fontId="52" fillId="6" borderId="27" xfId="0" applyNumberFormat="1" applyFont="1" applyFill="1" applyBorder="1" applyAlignment="1">
      <alignment horizontal="center" vertical="center" wrapText="1"/>
    </xf>
    <xf numFmtId="0" fontId="28" fillId="21" borderId="0" xfId="0" applyFont="1" applyFill="1" applyAlignment="1">
      <alignment horizontal="center"/>
    </xf>
    <xf numFmtId="0" fontId="34" fillId="21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97</c:v>
                </c:pt>
                <c:pt idx="1">
                  <c:v>1</c:v>
                </c:pt>
                <c:pt idx="2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26.002052772970757</c:v>
                </c:pt>
                <c:pt idx="1">
                  <c:v>52.565191898268175</c:v>
                </c:pt>
                <c:pt idx="2">
                  <c:v>67.923830609001257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50</c:v>
                </c:pt>
                <c:pt idx="1">
                  <c:v>TOP 30</c:v>
                </c:pt>
                <c:pt idx="2">
                  <c:v>TOP 10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0.86227219173042702</c:v>
                </c:pt>
                <c:pt idx="1">
                  <c:v>1.5646950915422302</c:v>
                </c:pt>
                <c:pt idx="2">
                  <c:v>2.8117748711812549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50</c:v>
                      </c:pt>
                      <c:pt idx="1">
                        <c:v>TOP 30</c:v>
                      </c:pt>
                      <c:pt idx="2">
                        <c:v>TOP 10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50</c:v>
                </c:pt>
                <c:pt idx="1">
                  <c:v>TOP 30</c:v>
                </c:pt>
                <c:pt idx="2">
                  <c:v>TOP 10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0.2089994303546604</c:v>
                </c:pt>
                <c:pt idx="1">
                  <c:v>0.60005272543424082</c:v>
                </c:pt>
                <c:pt idx="2">
                  <c:v>1.9504934647963712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50</c:v>
                      </c:pt>
                      <c:pt idx="1">
                        <c:v>TOP 30</c:v>
                      </c:pt>
                      <c:pt idx="2">
                        <c:v>TOP 10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104.3</c:v>
                </c:pt>
                <c:pt idx="1">
                  <c:v>1</c:v>
                </c:pt>
                <c:pt idx="2">
                  <c:v>134.69999999999999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848601" y="1485899"/>
          <a:ext cx="1458913" cy="1076325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6705177\AppData\Local\Microsoft\Windows\INetCache\Content.Outlook\WA7EIPXN\20201027_Jeu%20de%20Donn&#233;es%20Barom&#232;tre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44</v>
          </cell>
        </row>
        <row r="3">
          <cell r="O3">
            <v>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7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/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98" customWidth="1"/>
    <col min="17" max="19" width="11.42578125" style="198"/>
  </cols>
  <sheetData>
    <row r="1" spans="2:20" ht="28.5" customHeight="1" x14ac:dyDescent="0.25">
      <c r="B1" s="264" t="s">
        <v>645</v>
      </c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197"/>
      <c r="Q1" s="197"/>
      <c r="R1" s="199"/>
      <c r="S1" s="199"/>
      <c r="T1" s="200"/>
    </row>
    <row r="2" spans="2:20" s="198" customFormat="1" ht="14.25" customHeight="1" x14ac:dyDescent="0.25"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199"/>
      <c r="Q2" s="199"/>
      <c r="R2" s="199"/>
      <c r="S2" s="199"/>
      <c r="T2" s="200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63" t="s">
        <v>646</v>
      </c>
      <c r="D5" s="263"/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63" t="s">
        <v>647</v>
      </c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65" t="s">
        <v>648</v>
      </c>
      <c r="D9" s="265"/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66" t="s">
        <v>652</v>
      </c>
      <c r="D11" s="266"/>
      <c r="E11" s="266"/>
      <c r="F11" s="266"/>
      <c r="G11" s="266"/>
      <c r="H11" s="1"/>
      <c r="I11" s="266" t="s">
        <v>655</v>
      </c>
      <c r="J11" s="266"/>
      <c r="K11" s="266"/>
      <c r="L11" s="266"/>
      <c r="M11" s="266"/>
      <c r="N11" s="266"/>
      <c r="O11" s="1"/>
    </row>
    <row r="12" spans="2:20" x14ac:dyDescent="0.25">
      <c r="B12" s="1"/>
      <c r="C12" s="267" t="s">
        <v>653</v>
      </c>
      <c r="D12" s="267"/>
      <c r="E12" s="267"/>
      <c r="F12" s="267"/>
      <c r="G12" s="267"/>
      <c r="H12" s="1"/>
      <c r="I12" s="267" t="s">
        <v>654</v>
      </c>
      <c r="J12" s="267"/>
      <c r="K12" s="267"/>
      <c r="L12" s="267"/>
      <c r="M12" s="267"/>
      <c r="N12" s="267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204" t="s">
        <v>649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204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62" t="s">
        <v>676</v>
      </c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</row>
    <row r="20" spans="2:15" x14ac:dyDescent="0.25">
      <c r="B20" s="1"/>
      <c r="C20" s="1"/>
      <c r="D20" s="205"/>
      <c r="E20" s="206"/>
      <c r="F20" s="262" t="s">
        <v>677</v>
      </c>
      <c r="G20" s="262"/>
      <c r="H20" s="262"/>
      <c r="I20" s="262"/>
      <c r="J20" s="262"/>
      <c r="K20" s="262"/>
      <c r="L20" s="262"/>
      <c r="M20" s="262"/>
      <c r="N20" s="262"/>
      <c r="O20" s="205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204" t="s">
        <v>664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207" t="s">
        <v>651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207" t="s">
        <v>679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207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208" t="s">
        <v>680</v>
      </c>
      <c r="D27" s="1"/>
      <c r="E27" s="1"/>
      <c r="F27" s="1"/>
      <c r="G27" s="207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665</v>
      </c>
      <c r="D28" s="20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20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204" t="s">
        <v>681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204" t="s">
        <v>682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204" t="s">
        <v>666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204" t="s">
        <v>667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668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202" t="s">
        <v>656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63" t="s">
        <v>669</v>
      </c>
      <c r="D39" s="263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</row>
    <row r="40" spans="2:19" s="4" customFormat="1" x14ac:dyDescent="0.25">
      <c r="B40" s="15"/>
      <c r="C40" s="15" t="s">
        <v>657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203"/>
      <c r="Q40" s="203"/>
      <c r="R40" s="203"/>
      <c r="S40" s="203"/>
    </row>
    <row r="41" spans="2:19" ht="31.5" customHeight="1" x14ac:dyDescent="0.25">
      <c r="B41" s="1"/>
      <c r="C41" s="263" t="s">
        <v>671</v>
      </c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</row>
    <row r="42" spans="2:19" x14ac:dyDescent="0.25">
      <c r="B42" s="1"/>
      <c r="C42" s="1" t="s">
        <v>670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209" t="s">
        <v>674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60" t="s">
        <v>650</v>
      </c>
      <c r="D48" s="260"/>
      <c r="E48" s="260"/>
      <c r="F48" s="260"/>
      <c r="G48" s="260"/>
      <c r="H48" s="260"/>
      <c r="I48" s="260"/>
      <c r="J48" s="260"/>
      <c r="K48" s="260"/>
      <c r="L48" s="260"/>
      <c r="M48" s="260"/>
      <c r="N48" s="260"/>
      <c r="O48" s="260"/>
    </row>
    <row r="49" spans="2:15" ht="27.75" customHeight="1" x14ac:dyDescent="0.25">
      <c r="B49" s="1"/>
      <c r="C49" s="261" t="s">
        <v>658</v>
      </c>
      <c r="D49" s="261"/>
      <c r="E49" s="261"/>
      <c r="F49" s="261"/>
      <c r="G49" s="261"/>
      <c r="H49" s="261"/>
      <c r="I49" s="261"/>
      <c r="J49" s="261"/>
      <c r="K49" s="261"/>
      <c r="L49" s="261"/>
      <c r="M49" s="261"/>
      <c r="N49" s="261"/>
      <c r="O49" s="261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60" t="s">
        <v>659</v>
      </c>
      <c r="D51" s="260"/>
      <c r="E51" s="260"/>
      <c r="F51" s="260"/>
      <c r="G51" s="260"/>
      <c r="H51" s="260"/>
      <c r="I51" s="260"/>
      <c r="J51" s="260"/>
      <c r="K51" s="260"/>
      <c r="L51" s="260"/>
      <c r="M51" s="260"/>
      <c r="N51" s="260"/>
      <c r="O51" s="260"/>
    </row>
    <row r="52" spans="2:15" ht="37.5" customHeight="1" x14ac:dyDescent="0.25">
      <c r="B52" s="1"/>
      <c r="C52" s="261" t="s">
        <v>660</v>
      </c>
      <c r="D52" s="261"/>
      <c r="E52" s="261"/>
      <c r="F52" s="261"/>
      <c r="G52" s="261"/>
      <c r="H52" s="261"/>
      <c r="I52" s="261"/>
      <c r="J52" s="261"/>
      <c r="K52" s="261"/>
      <c r="L52" s="261"/>
      <c r="M52" s="261"/>
      <c r="N52" s="261"/>
      <c r="O52" s="261"/>
    </row>
    <row r="53" spans="2:15" ht="29.25" customHeight="1" x14ac:dyDescent="0.25">
      <c r="B53" s="1"/>
      <c r="C53" s="261" t="s">
        <v>661</v>
      </c>
      <c r="D53" s="261"/>
      <c r="E53" s="261"/>
      <c r="F53" s="261"/>
      <c r="G53" s="261"/>
      <c r="H53" s="261"/>
      <c r="I53" s="261"/>
      <c r="J53" s="261"/>
      <c r="K53" s="261"/>
      <c r="L53" s="261"/>
      <c r="M53" s="261"/>
      <c r="N53" s="261"/>
      <c r="O53" s="261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60" t="s">
        <v>662</v>
      </c>
      <c r="D55" s="260"/>
      <c r="E55" s="260"/>
      <c r="F55" s="260"/>
      <c r="G55" s="260"/>
      <c r="H55" s="260"/>
      <c r="I55" s="260"/>
      <c r="J55" s="260"/>
      <c r="K55" s="260"/>
      <c r="L55" s="260"/>
      <c r="M55" s="260"/>
      <c r="N55" s="260"/>
      <c r="O55" s="260"/>
    </row>
    <row r="56" spans="2:15" x14ac:dyDescent="0.25">
      <c r="B56" s="1"/>
      <c r="C56" s="210" t="s">
        <v>663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202" t="s">
        <v>683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202" t="s">
        <v>684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60" t="s">
        <v>672</v>
      </c>
      <c r="D60" s="260"/>
      <c r="E60" s="260"/>
      <c r="F60" s="260"/>
      <c r="G60" s="260"/>
      <c r="H60" s="260"/>
      <c r="I60" s="260"/>
      <c r="J60" s="260"/>
      <c r="K60" s="260"/>
      <c r="L60" s="260"/>
      <c r="M60" s="260"/>
      <c r="N60" s="260"/>
      <c r="O60" s="260"/>
    </row>
    <row r="61" spans="2:15" x14ac:dyDescent="0.25">
      <c r="B61" s="1"/>
      <c r="C61" s="261" t="s">
        <v>673</v>
      </c>
      <c r="D61" s="261"/>
      <c r="E61" s="261"/>
      <c r="F61" s="261"/>
      <c r="G61" s="261"/>
      <c r="H61" s="261"/>
      <c r="I61" s="261"/>
      <c r="J61" s="261"/>
      <c r="K61" s="261"/>
      <c r="L61" s="261"/>
      <c r="M61" s="261"/>
      <c r="N61" s="261"/>
      <c r="O61" s="261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9"/>
  <sheetViews>
    <sheetView showGridLines="0" tabSelected="1" zoomScaleNormal="100" workbookViewId="0">
      <selection activeCell="AE18" sqref="AE18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0" hidden="1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0" hidden="1" customWidth="1"/>
  </cols>
  <sheetData>
    <row r="1" spans="2:27" s="4" customFormat="1" ht="27.75" customHeight="1" x14ac:dyDescent="0.25">
      <c r="B1" s="2"/>
      <c r="C1" s="307" t="s">
        <v>1</v>
      </c>
      <c r="D1" s="307"/>
      <c r="E1" s="307"/>
      <c r="F1" s="307"/>
      <c r="G1" s="3"/>
      <c r="H1" s="307" t="s">
        <v>2</v>
      </c>
      <c r="I1" s="307"/>
      <c r="J1" s="307"/>
      <c r="K1" s="307"/>
      <c r="L1" s="307"/>
      <c r="M1" s="3"/>
      <c r="N1" s="307" t="s">
        <v>3</v>
      </c>
      <c r="O1" s="307"/>
      <c r="P1" s="307"/>
      <c r="Q1" s="307"/>
      <c r="R1" s="307"/>
      <c r="S1" s="2"/>
    </row>
    <row r="2" spans="2:27" s="4" customFormat="1" x14ac:dyDescent="0.25">
      <c r="B2" s="2"/>
      <c r="C2" s="308" t="s">
        <v>430</v>
      </c>
      <c r="D2" s="308"/>
      <c r="E2" s="308"/>
      <c r="F2" s="308"/>
      <c r="G2" s="2"/>
      <c r="H2" s="308" t="s">
        <v>0</v>
      </c>
      <c r="I2" s="308"/>
      <c r="J2" s="308"/>
      <c r="K2" s="308"/>
      <c r="L2" s="308"/>
      <c r="M2" s="2"/>
      <c r="N2" s="308" t="s">
        <v>5</v>
      </c>
      <c r="O2" s="308"/>
      <c r="P2" s="308"/>
      <c r="Q2" s="308"/>
      <c r="R2" s="308"/>
      <c r="S2" s="2"/>
      <c r="X2" s="126" t="s">
        <v>560</v>
      </c>
      <c r="Y2" s="191">
        <v>45</v>
      </c>
      <c r="Z2" s="166">
        <f ca="1">WEEKNUM(TODAY())</f>
        <v>44</v>
      </c>
      <c r="AA2" s="192" t="s">
        <v>621</v>
      </c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126" t="s">
        <v>559</v>
      </c>
      <c r="Y3" s="196">
        <f>50-Y2+1</f>
        <v>6</v>
      </c>
      <c r="Z3" s="168" t="s">
        <v>561</v>
      </c>
    </row>
    <row r="4" spans="2:27" ht="26.25" customHeight="1" x14ac:dyDescent="0.25">
      <c r="B4" s="304" t="s">
        <v>644</v>
      </c>
      <c r="C4" s="305"/>
      <c r="D4" s="305"/>
      <c r="E4" s="305"/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6"/>
      <c r="X4" s="167" t="s">
        <v>554</v>
      </c>
      <c r="Y4" s="174">
        <f>VLOOKUP(N2,'ETP Challenge'!D:F,3,0)</f>
        <v>410560</v>
      </c>
      <c r="Z4" s="127"/>
      <c r="AA4" s="126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92" t="s">
        <v>378</v>
      </c>
      <c r="Y6" s="93"/>
      <c r="Z6" s="93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94" t="s">
        <v>372</v>
      </c>
      <c r="Y7" s="95"/>
      <c r="Z7" s="95">
        <v>80</v>
      </c>
    </row>
    <row r="8" spans="2:27" ht="15" customHeight="1" x14ac:dyDescent="0.25">
      <c r="B8" s="26"/>
      <c r="C8" s="1"/>
      <c r="D8" s="1"/>
      <c r="E8" s="1"/>
      <c r="F8" s="1"/>
      <c r="G8" s="268" t="s">
        <v>675</v>
      </c>
      <c r="H8" s="269"/>
      <c r="I8" s="270"/>
      <c r="J8" s="1"/>
      <c r="K8" s="1"/>
      <c r="L8" s="17"/>
      <c r="M8" s="17"/>
      <c r="N8" s="17"/>
      <c r="O8" s="17"/>
      <c r="P8" s="17"/>
      <c r="Q8" s="17"/>
      <c r="R8" s="17"/>
      <c r="S8" s="27"/>
      <c r="X8" s="94" t="s">
        <v>373</v>
      </c>
      <c r="Y8" s="95"/>
      <c r="Z8" s="95">
        <v>20</v>
      </c>
    </row>
    <row r="9" spans="2:27" ht="15" customHeight="1" x14ac:dyDescent="0.25">
      <c r="B9" s="26"/>
      <c r="C9" s="1"/>
      <c r="D9" s="1"/>
      <c r="E9" s="1"/>
      <c r="F9" s="1"/>
      <c r="G9" s="271"/>
      <c r="H9" s="272"/>
      <c r="I9" s="273"/>
      <c r="J9" s="1"/>
      <c r="K9" s="311" t="s">
        <v>17</v>
      </c>
      <c r="L9" s="311"/>
      <c r="M9" s="43"/>
      <c r="N9" s="283" t="str">
        <f>"2 MRH4 par ETP par semaine, soit "&amp;ROUND(2*SUMIF('ETP Challenge'!$D:$D,$N$2,'ETP Challenge'!$E:$E),0)*6 &amp; " contrats pour mon agence entre le 4 novembre et le 15 décembre"</f>
        <v>2 MRH4 par ETP par semaine, soit 24 contrats pour mon agence entre le 4 novembre et le 15 décembre</v>
      </c>
      <c r="O9" s="283"/>
      <c r="P9" s="283"/>
      <c r="Q9" s="283"/>
      <c r="R9" s="43"/>
      <c r="S9" s="27"/>
      <c r="X9" s="94" t="s">
        <v>374</v>
      </c>
      <c r="Y9" s="95"/>
      <c r="Z9" s="95">
        <v>20</v>
      </c>
    </row>
    <row r="10" spans="2:27" ht="15" customHeight="1" x14ac:dyDescent="0.25">
      <c r="B10" s="26"/>
      <c r="C10" s="1"/>
      <c r="D10" s="1"/>
      <c r="E10" s="1"/>
      <c r="F10" s="1"/>
      <c r="G10" s="271"/>
      <c r="H10" s="272"/>
      <c r="I10" s="273"/>
      <c r="J10" s="1"/>
      <c r="K10" s="311"/>
      <c r="L10" s="311"/>
      <c r="M10" s="43"/>
      <c r="N10" s="283"/>
      <c r="O10" s="283"/>
      <c r="P10" s="283"/>
      <c r="Q10" s="283"/>
      <c r="R10" s="43"/>
      <c r="S10" s="27"/>
      <c r="X10" s="94"/>
      <c r="Y10" s="96"/>
      <c r="Z10" s="96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76" t="str">
        <f>ROUND(VLOOKUP(N2,'Meilleures perf'!C:G,3,0),1) &amp; " contrats par ETP"</f>
        <v>5,3 contrats par ETP</v>
      </c>
      <c r="H11" s="277"/>
      <c r="I11" s="278"/>
      <c r="J11" s="1"/>
      <c r="K11" s="311"/>
      <c r="L11" s="311"/>
      <c r="N11" s="283"/>
      <c r="O11" s="283"/>
      <c r="P11" s="283"/>
      <c r="Q11" s="283"/>
      <c r="R11" s="43"/>
      <c r="S11" s="27"/>
      <c r="X11" s="94"/>
      <c r="Y11" s="95"/>
      <c r="Z11" s="95"/>
    </row>
    <row r="12" spans="2:27" ht="15.75" customHeight="1" x14ac:dyDescent="0.25">
      <c r="B12" s="26"/>
      <c r="C12" s="1"/>
      <c r="D12" s="1"/>
      <c r="E12" s="1"/>
      <c r="F12" s="1"/>
      <c r="G12" s="276"/>
      <c r="H12" s="277"/>
      <c r="I12" s="278"/>
      <c r="J12" s="1"/>
      <c r="K12" s="311"/>
      <c r="L12" s="311"/>
      <c r="N12" s="283"/>
      <c r="O12" s="283"/>
      <c r="P12" s="283"/>
      <c r="Q12" s="283"/>
      <c r="R12" s="43"/>
      <c r="S12" s="27"/>
      <c r="X12" s="97" t="s">
        <v>379</v>
      </c>
      <c r="Y12" s="101">
        <f>ROUND(VLOOKUP(N2,'Coller ici dernier suivi PV'!C:BR,35,0)*100,1)</f>
        <v>97</v>
      </c>
      <c r="Z12" s="101">
        <f>IF(Y12&gt;=120,120,Y12)</f>
        <v>97</v>
      </c>
    </row>
    <row r="13" spans="2:27" ht="15" customHeight="1" x14ac:dyDescent="0.25">
      <c r="B13" s="26"/>
      <c r="C13" s="274" t="str">
        <f>Y12 &amp; "%"</f>
        <v>97%</v>
      </c>
      <c r="D13" s="275"/>
      <c r="E13" s="275"/>
      <c r="F13" s="1"/>
      <c r="G13" s="279"/>
      <c r="H13" s="280"/>
      <c r="I13" s="281"/>
      <c r="J13" s="1"/>
      <c r="K13" s="272"/>
      <c r="L13" s="272"/>
      <c r="M13" s="1"/>
      <c r="N13" s="283"/>
      <c r="O13" s="283"/>
      <c r="P13" s="283"/>
      <c r="Q13" s="283"/>
      <c r="R13" s="18"/>
      <c r="S13" s="27"/>
      <c r="X13" s="94" t="s">
        <v>375</v>
      </c>
      <c r="Y13" s="102"/>
      <c r="Z13" s="95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98" t="s">
        <v>376</v>
      </c>
      <c r="Y14" s="103"/>
      <c r="Z14" s="99">
        <f>SUM($Z$7:$Z$10)-(Z13+Z12)</f>
        <v>142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94"/>
      <c r="O15" s="24"/>
      <c r="P15" s="17"/>
      <c r="Q15" s="17"/>
      <c r="R15" s="22"/>
      <c r="S15" s="27"/>
      <c r="X15" s="97" t="s">
        <v>380</v>
      </c>
      <c r="Y15" s="101">
        <f>ROUND(VLOOKUP(N2,'Coller ici dernier suivi PV'!C:BR,25,0)*100,1)</f>
        <v>140.5</v>
      </c>
      <c r="Z15" s="101">
        <f>IF(Y15&gt;=120,120,Y15)</f>
        <v>120</v>
      </c>
    </row>
    <row r="16" spans="2:27" ht="30" customHeight="1" x14ac:dyDescent="0.25">
      <c r="B16" s="26"/>
      <c r="C16" s="1"/>
      <c r="D16" s="294" t="s">
        <v>444</v>
      </c>
      <c r="E16" s="294"/>
      <c r="F16" s="294"/>
      <c r="G16" s="294"/>
      <c r="H16" s="294"/>
      <c r="I16" s="294"/>
      <c r="J16" s="1"/>
      <c r="K16" s="301" t="s">
        <v>613</v>
      </c>
      <c r="L16" s="302"/>
      <c r="M16" s="5"/>
      <c r="N16" s="299" t="s">
        <v>643</v>
      </c>
      <c r="O16" s="17"/>
      <c r="P16" s="301" t="s">
        <v>619</v>
      </c>
      <c r="Q16" s="309"/>
      <c r="R16" s="302"/>
      <c r="S16" s="27"/>
      <c r="X16" s="94" t="s">
        <v>375</v>
      </c>
      <c r="Y16" s="102"/>
      <c r="Z16" s="95">
        <v>1</v>
      </c>
    </row>
    <row r="17" spans="2:26" ht="18.95" customHeight="1" thickBot="1" x14ac:dyDescent="0.3">
      <c r="B17" s="26"/>
      <c r="C17" s="1"/>
      <c r="D17" s="121" t="s">
        <v>6</v>
      </c>
      <c r="E17" s="121" t="s">
        <v>7</v>
      </c>
      <c r="F17" s="121" t="s">
        <v>8</v>
      </c>
      <c r="G17" s="121" t="s">
        <v>9</v>
      </c>
      <c r="H17" s="121" t="s">
        <v>10</v>
      </c>
      <c r="I17" s="121" t="s">
        <v>11</v>
      </c>
      <c r="J17" s="1"/>
      <c r="K17" s="303"/>
      <c r="L17" s="288"/>
      <c r="M17" s="1"/>
      <c r="N17" s="300"/>
      <c r="O17" s="23"/>
      <c r="P17" s="303"/>
      <c r="Q17" s="310"/>
      <c r="R17" s="288"/>
      <c r="S17" s="27"/>
      <c r="U17" s="1"/>
      <c r="X17" s="98" t="s">
        <v>376</v>
      </c>
      <c r="Y17" s="103"/>
      <c r="Z17" s="99">
        <f>SUM($Z$7:$Z$10)-(Z16+Z15)</f>
        <v>119</v>
      </c>
    </row>
    <row r="18" spans="2:26" s="4" customFormat="1" ht="18.95" customHeight="1" x14ac:dyDescent="0.25">
      <c r="B18" s="31"/>
      <c r="C18" s="125" t="s">
        <v>12</v>
      </c>
      <c r="D18" s="120">
        <f>(VLOOKUP($N$2,'CUMUL résultats semaine'!$A:$BL,3,0)/SUMIF('ETP Challenge'!$D:$D,$N$2,'ETP Challenge'!$E:$E))/6</f>
        <v>0.33333333333333331</v>
      </c>
      <c r="E18" s="120">
        <f>IF(ISNUMBER(D$20),(VLOOKUP($N$2,'CUMUL résultats semaine'!$A:$BL,12,0)/SUMIF('ETP Challenge'!$D:$D,$N$2,'ETP Challenge'!$E:$E))/5,D18)</f>
        <v>0.33333333333333331</v>
      </c>
      <c r="F18" s="120">
        <f>IF(ISNUMBER(E$20),(VLOOKUP($N$2,'CUMUL résultats semaine'!$A:$BL,21,0)/SUMIF('ETP Challenge'!$D:$D,$N$2,'ETP Challenge'!$E:$E))/4,E18)</f>
        <v>0.33333333333333331</v>
      </c>
      <c r="G18" s="120">
        <f>IF(ISNUMBER(F$20),(VLOOKUP($N$2,'CUMUL résultats semaine'!$A:$BL,30,0)/SUMIF('ETP Challenge'!$D:$D,$N$2,'ETP Challenge'!$E:$E))/3,F18)</f>
        <v>0.33333333333333331</v>
      </c>
      <c r="H18" s="120">
        <f>IF(ISNUMBER(G$20),(VLOOKUP($N$2,'CUMUL résultats semaine'!$A:$BL,39,0)/SUMIF('ETP Challenge'!$D:$D,$N$2,'ETP Challenge'!$E:$E))/2,G18)</f>
        <v>0.33333333333333331</v>
      </c>
      <c r="I18" s="120">
        <f>IF(ISNUMBER(H$20),(VLOOKUP($N$2,'CUMUL résultats semaine'!$A:$BL,48,0)/SUMIF('ETP Challenge'!$D:$D,$N$2,'ETP Challenge'!$E:$E)),H18)</f>
        <v>0.33333333333333331</v>
      </c>
      <c r="J18" s="15"/>
      <c r="K18" s="32" t="s">
        <v>3</v>
      </c>
      <c r="L18" s="33" t="s">
        <v>18</v>
      </c>
      <c r="M18" s="21"/>
      <c r="N18" s="300"/>
      <c r="O18" s="23"/>
      <c r="P18" s="32" t="s">
        <v>3</v>
      </c>
      <c r="Q18" s="288" t="s">
        <v>18</v>
      </c>
      <c r="R18" s="288"/>
      <c r="S18" s="34"/>
      <c r="X18" s="97" t="s">
        <v>381</v>
      </c>
      <c r="Y18" s="101">
        <f>ROUND(VLOOKUP(N2,'Coller ici dernier suivi PV'!C:BR,55,0)*100,1)</f>
        <v>104.3</v>
      </c>
      <c r="Z18" s="101">
        <f>IF(Y18&gt;=120,120,Y18)</f>
        <v>104.3</v>
      </c>
    </row>
    <row r="19" spans="2:26" s="4" customFormat="1" ht="18.95" customHeight="1" x14ac:dyDescent="0.25">
      <c r="B19" s="31"/>
      <c r="C19" s="125" t="s">
        <v>13</v>
      </c>
      <c r="D19" s="120">
        <f>(VLOOKUP($N$2,'CUMUL résultats semaine'!$A:$BL,4,0)/SUMIF('ETP Challenge'!$D:$D,$N$2,'ETP Challenge'!$E:$E))/6</f>
        <v>2.3333333333333335</v>
      </c>
      <c r="E19" s="120">
        <f>IF(ISNUMBER(D$20),(VLOOKUP($N$2,'CUMUL résultats semaine'!$A:$BL,13,0)/SUMIF('ETP Challenge'!$D:$D,$N$2,'ETP Challenge'!$E:$E))/5,D19)</f>
        <v>2.3333333333333335</v>
      </c>
      <c r="F19" s="120">
        <f>IF(ISNUMBER(E$20),(VLOOKUP($N$2,'CUMUL résultats semaine'!$A:$BL,22,0)/SUMIF('ETP Challenge'!$D:$D,$N$2,'ETP Challenge'!$E:$E))/4,E19)</f>
        <v>2.3333333333333335</v>
      </c>
      <c r="G19" s="120">
        <f>IF(ISNUMBER(F$20),(VLOOKUP($N$2,'CUMUL résultats semaine'!$A:$BL,31,0)/SUMIF('ETP Challenge'!$D:$D,$N$2,'ETP Challenge'!$E:$E))/3,F19)</f>
        <v>2.3333333333333335</v>
      </c>
      <c r="H19" s="120">
        <f>IF(ISNUMBER(G$20),(VLOOKUP($N$2,'CUMUL résultats semaine'!$A:$BL,40,0)/SUMIF('ETP Challenge'!$D:$D,$N$2,'ETP Challenge'!$E:$E))/2,G19)</f>
        <v>2.3333333333333335</v>
      </c>
      <c r="I19" s="120">
        <f>IF(ISNUMBER(H$20),(VLOOKUP($N$2,'CUMUL résultats semaine'!$A:$BL,49,0)/SUMIF('ETP Challenge'!$D:$D,$N$2,'ETP Challenge'!$E:$E)),H19)</f>
        <v>2.3333333333333335</v>
      </c>
      <c r="J19" s="15"/>
      <c r="K19" s="25">
        <f>IF(ISNUMBER(VLOOKUP(N2,'PROD MRH4'!D:E,2,0)),VLOOKUP(N2,'PROD MRH4'!D:E,2,0),0)</f>
        <v>0</v>
      </c>
      <c r="L19" s="185">
        <f>K19/SUMIF('ETP Challenge'!$D:$D,$N$2,'ETP Challenge'!$E:$E)</f>
        <v>0</v>
      </c>
      <c r="M19" s="21"/>
      <c r="N19" s="195">
        <f>IF(Y3=6,0,L19/(2*(6-Y3)))</f>
        <v>0</v>
      </c>
      <c r="O19" s="23"/>
      <c r="P19" s="189">
        <f>(ROUND(2*SUMIF('ETP Challenge'!$D:$D,$N$2,'ETP Challenge'!$E:$E),1)*6 - K19)/Y3</f>
        <v>4</v>
      </c>
      <c r="Q19" s="289">
        <f>P19/SUMIF('ETP Challenge'!$D:$D,$N$2,'ETP Challenge'!$E:$E)</f>
        <v>2</v>
      </c>
      <c r="R19" s="290"/>
      <c r="S19" s="34"/>
      <c r="X19" s="94" t="s">
        <v>375</v>
      </c>
      <c r="Y19" s="102"/>
      <c r="Z19" s="95">
        <v>1</v>
      </c>
    </row>
    <row r="20" spans="2:26" s="4" customFormat="1" ht="18.95" customHeight="1" thickBot="1" x14ac:dyDescent="0.3">
      <c r="B20" s="31"/>
      <c r="C20" s="125" t="s">
        <v>443</v>
      </c>
      <c r="D20" s="120" t="str">
        <f>IF(ISNUMBER(VLOOKUP($N$2,'CUMUL résultats semaine'!A:BL,11,0)),(VLOOKUP($N$2,'CUMUL résultats semaine'!A:BL,11,0)-VLOOKUP($N$2,'CUMUL résultats semaine'!A:BL,2,0))/SUMIF('ETP Challenge'!$D:$D,$N$2,'ETP Challenge'!$E:$E),"-")</f>
        <v>-</v>
      </c>
      <c r="E20" s="120" t="str">
        <f>IF(ISNUMBER(VLOOKUP($N$2,'CUMUL résultats semaine'!A:BL,20,0)),(VLOOKUP($N$2,'CUMUL résultats semaine'!A:BL,20,0)-VLOOKUP($N$2,'CUMUL résultats semaine'!A:BL,11,0))/SUMIF('ETP Challenge'!$D:$D,$N$2,'ETP Challenge'!$E:$E),"-")</f>
        <v>-</v>
      </c>
      <c r="F20" s="120" t="str">
        <f>IF(ISNUMBER(VLOOKUP($N$2,'CUMUL résultats semaine'!A:BL,29,0)),(VLOOKUP($N$2,'CUMUL résultats semaine'!A:BL,29,0)-VLOOKUP($N$2,'CUMUL résultats semaine'!A:BL,20,0))/SUMIF('ETP Challenge'!$D:$D,$N$2,'ETP Challenge'!$E:$E),"-")</f>
        <v>-</v>
      </c>
      <c r="G20" s="120" t="str">
        <f>IF(ISNUMBER(VLOOKUP($N$2,'CUMUL résultats semaine'!A:BL,38,0)),(VLOOKUP($N$2,'CUMUL résultats semaine'!A:BL,38,0)-VLOOKUP($N$2,'CUMUL résultats semaine'!A:BL,29,0))/SUMIF('ETP Challenge'!$D:$D,$N$2,'ETP Challenge'!$E:$E),"-")</f>
        <v>-</v>
      </c>
      <c r="H20" s="120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120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93"/>
      <c r="O20" s="23"/>
      <c r="P20" s="37"/>
      <c r="Q20" s="38"/>
      <c r="R20" s="39"/>
      <c r="S20" s="34"/>
      <c r="X20" s="98" t="s">
        <v>376</v>
      </c>
      <c r="Y20" s="99"/>
      <c r="Z20" s="99">
        <f>SUM($Z$7:$Z$10)-(Z19+Z18)</f>
        <v>134.69999999999999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92" t="s">
        <v>555</v>
      </c>
      <c r="Y23" s="93" t="s">
        <v>556</v>
      </c>
      <c r="Z23" s="93" t="s">
        <v>562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94" t="str">
        <f>IF($N$27&gt;100,"TOP 100","TOP 50")</f>
        <v>TOP 100</v>
      </c>
      <c r="Y24" s="164">
        <f>IF(X24="TOP 100",VLOOKUP($Y$4,'BAROM CA UC'!$E:$Z,21,0),VLOOKUP($Y$4,'BAROM CA UC'!$E:$Z,20,0))</f>
        <v>312024.6332756491</v>
      </c>
      <c r="Z24" s="163">
        <f>IF(Y24&lt;=0,0,Y24/SUMIF('ETP Challenge'!$D:$D,$N$2,'ETP Challenge'!$E:$E)/1000)/$Y$3</f>
        <v>26.002052772970757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94" t="str">
        <f>IF($N$27&gt;100,"TOP 50","TOP 30")</f>
        <v>TOP 50</v>
      </c>
      <c r="Y25" s="164">
        <f>IF(X25="TOP 50",VLOOKUP($Y$4,'BAROM CA UC'!$E:$Z,20,0),VLOOKUP($Y$4,'BAROM CA UC'!$E:$Z,19,0))</f>
        <v>630782.30277921807</v>
      </c>
      <c r="Z25" s="163">
        <f>IF(Y25&lt;=0,0,Y25/SUMIF('ETP Challenge'!$D:$D,$N$2,'ETP Challenge'!$E:$E)/1000)/$Y$3</f>
        <v>52.565191898268175</v>
      </c>
    </row>
    <row r="26" spans="2:26" ht="15" customHeight="1" x14ac:dyDescent="0.25">
      <c r="B26" s="26"/>
      <c r="C26" s="1"/>
      <c r="D26" s="1"/>
      <c r="E26" s="1"/>
      <c r="F26" s="1"/>
      <c r="G26" s="268" t="s">
        <v>675</v>
      </c>
      <c r="H26" s="269"/>
      <c r="I26" s="270"/>
      <c r="J26" s="1"/>
      <c r="K26" s="1"/>
      <c r="L26" s="1"/>
      <c r="M26" s="1"/>
      <c r="N26" s="1"/>
      <c r="O26" s="1"/>
      <c r="P26" s="1"/>
      <c r="Q26" s="1"/>
      <c r="R26" s="1"/>
      <c r="S26" s="27"/>
      <c r="X26" s="94" t="str">
        <f>IF(N27&lt;10,"TOP 1",IF($N$27&gt;100,"TOP 30","TOP 10"))</f>
        <v>TOP 30</v>
      </c>
      <c r="Y26" s="164">
        <f>IF(X26="TOP 1",VLOOKUP($Y$4,'BAROM CA UC'!$E:$Z,17,0),IF(X26="TOP 10",VLOOKUP($Y$4,'BAROM CA UC'!$E:$Z,18,0),VLOOKUP($Y$4,'BAROM CA UC'!$E:$Z,19,0)))</f>
        <v>815085.9673080151</v>
      </c>
      <c r="Z26" s="163">
        <f>IF(Y26&lt;=0,0,Y26/SUMIF('ETP Challenge'!$D:$D,$N$2,'ETP Challenge'!$E:$E)/1000)/$Y$3</f>
        <v>67.923830609001257</v>
      </c>
    </row>
    <row r="27" spans="2:26" ht="15.75" thickBot="1" x14ac:dyDescent="0.3">
      <c r="B27" s="26"/>
      <c r="C27" s="1"/>
      <c r="D27" s="1"/>
      <c r="E27" s="1"/>
      <c r="F27" s="1"/>
      <c r="G27" s="271"/>
      <c r="H27" s="272"/>
      <c r="I27" s="273"/>
      <c r="J27" s="1"/>
      <c r="K27" s="293" t="s">
        <v>15</v>
      </c>
      <c r="L27" s="293"/>
      <c r="M27" s="293"/>
      <c r="N27" s="19">
        <f>VLOOKUP($Y$4,'BAROM CA UC'!$E:$Z,7,0)</f>
        <v>179</v>
      </c>
      <c r="O27" s="293" t="s">
        <v>16</v>
      </c>
      <c r="P27" s="293"/>
      <c r="Q27" s="293"/>
      <c r="R27" s="20">
        <f>VLOOKUP($Y$4,'BAROM CA UC'!$E:$Z,6,0)</f>
        <v>0.9393972597041863</v>
      </c>
      <c r="S27" s="27"/>
      <c r="X27" s="94"/>
      <c r="Y27" s="164"/>
      <c r="Z27" s="164"/>
    </row>
    <row r="28" spans="2:26" x14ac:dyDescent="0.25">
      <c r="B28" s="26"/>
      <c r="C28" s="1"/>
      <c r="D28" s="1"/>
      <c r="E28" s="1"/>
      <c r="F28" s="1"/>
      <c r="G28" s="271"/>
      <c r="H28" s="272"/>
      <c r="I28" s="273"/>
      <c r="J28" s="1"/>
      <c r="K28" s="1"/>
      <c r="L28" s="1"/>
      <c r="M28" s="1"/>
      <c r="N28" s="1"/>
      <c r="O28" s="1"/>
      <c r="P28" s="1"/>
      <c r="Q28" s="1"/>
      <c r="R28" s="16"/>
      <c r="S28" s="27"/>
      <c r="X28" s="92" t="s">
        <v>557</v>
      </c>
      <c r="Y28" s="93" t="s">
        <v>556</v>
      </c>
      <c r="Z28" s="93" t="s">
        <v>562</v>
      </c>
    </row>
    <row r="29" spans="2:26" x14ac:dyDescent="0.25">
      <c r="B29" s="26"/>
      <c r="C29" s="1"/>
      <c r="D29" s="1"/>
      <c r="E29" s="1"/>
      <c r="F29" s="1"/>
      <c r="G29" s="282" t="str">
        <f>ROUND(VLOOKUP(N2,'Meilleures perf'!C:G,4,0)/1000,1) &amp; "K€ d'engagements par ETP"</f>
        <v>42,5K€ d'engagements par ETP</v>
      </c>
      <c r="H29" s="283"/>
      <c r="I29" s="284"/>
      <c r="J29" s="1"/>
      <c r="K29" s="1"/>
      <c r="L29" s="1"/>
      <c r="M29" s="1"/>
      <c r="N29" s="1"/>
      <c r="O29" s="1"/>
      <c r="P29" s="1"/>
      <c r="Q29" s="1"/>
      <c r="R29" s="1"/>
      <c r="S29" s="27"/>
      <c r="X29" s="94" t="str">
        <f>IF($M$45&gt;100,"TOP 100","TOP 50")</f>
        <v>TOP 50</v>
      </c>
      <c r="Y29" s="165">
        <f>IF(X29="TOP 100",VLOOKUP($Y$4,'BAROM IZICARTES'!$E:$Z,22,0),VLOOKUP($Y$4,'BAROM IZICARTES'!$E:$Z,21,0))</f>
        <v>2.5079931642559248</v>
      </c>
      <c r="Z29" s="165">
        <f>IF(Y29&lt;=0,0,Y29/SUMIF('ETP Challenge'!$D:$D,$N$2,'ETP Challenge'!$E:$E))/$Y$3</f>
        <v>0.2089994303546604</v>
      </c>
    </row>
    <row r="30" spans="2:26" ht="15" customHeight="1" x14ac:dyDescent="0.25">
      <c r="B30" s="26"/>
      <c r="C30" s="1"/>
      <c r="D30" s="1"/>
      <c r="E30" s="1"/>
      <c r="F30" s="1"/>
      <c r="G30" s="282"/>
      <c r="H30" s="283"/>
      <c r="I30" s="284"/>
      <c r="J30" s="1"/>
      <c r="K30" s="1"/>
      <c r="L30" s="1"/>
      <c r="M30" s="1"/>
      <c r="N30" s="1"/>
      <c r="O30" s="1"/>
      <c r="P30" s="1"/>
      <c r="Q30" s="1"/>
      <c r="R30" s="1"/>
      <c r="S30" s="27"/>
      <c r="X30" s="94" t="str">
        <f>IF($M$45&gt;100,"TOP 50","TOP 30")</f>
        <v>TOP 30</v>
      </c>
      <c r="Y30" s="165">
        <f>IF(X30="TOP 50",VLOOKUP($Y$4,'BAROM IZICARTES'!$E:$Z,21,0),VLOOKUP($Y$4,'BAROM IZICARTES'!$E:$Z,20,0))</f>
        <v>7.2006327052108903</v>
      </c>
      <c r="Z30" s="165">
        <f>IF(Y30&lt;=0,0,Y30/SUMIF('ETP Challenge'!$D:$D,$N$2,'ETP Challenge'!$E:$E))/$Y$3</f>
        <v>0.60005272543424082</v>
      </c>
    </row>
    <row r="31" spans="2:26" ht="15" customHeight="1" x14ac:dyDescent="0.25">
      <c r="B31" s="26"/>
      <c r="C31" s="274" t="str">
        <f>Y15&amp; "%"</f>
        <v>140,5%</v>
      </c>
      <c r="D31" s="275"/>
      <c r="E31" s="275"/>
      <c r="F31" s="1"/>
      <c r="G31" s="285"/>
      <c r="H31" s="286"/>
      <c r="I31" s="287"/>
      <c r="J31" s="1"/>
      <c r="K31" s="1"/>
      <c r="L31" s="1"/>
      <c r="M31" s="1"/>
      <c r="N31" s="1"/>
      <c r="O31" s="1"/>
      <c r="P31" s="1"/>
      <c r="Q31" s="1"/>
      <c r="R31" s="1"/>
      <c r="S31" s="27"/>
      <c r="X31" s="94" t="str">
        <f>IF($M$45&lt;10,"TOP1",IF($M$45&gt;100,"TOP 30","TOP 10"))</f>
        <v>TOP 10</v>
      </c>
      <c r="Y31" s="165">
        <f>IF(X31="TOP 1",VLOOKUP($Y$4,'BAROM IZICARTES'!$E:$Z,18,0),IF(X31="TOP 10",VLOOKUP($Y$4,'BAROM IZICARTES'!$E:$Z,19,0),VLOOKUP($Y$4,'BAROM IZICARTES'!$E:$Z,20,0)))</f>
        <v>23.405921577556455</v>
      </c>
      <c r="Z31" s="165">
        <f>IF(Y31&lt;=0,0,Y31/SUMIF('ETP Challenge'!$D:$D,$N$2,'ETP Challenge'!$E:$E))/$Y$3</f>
        <v>1.9504934647963712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94"/>
      <c r="Y32" s="164"/>
      <c r="Z32" s="164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92" t="s">
        <v>558</v>
      </c>
      <c r="Y33" s="93" t="s">
        <v>556</v>
      </c>
      <c r="Z33" s="93" t="s">
        <v>562</v>
      </c>
    </row>
    <row r="34" spans="2:26" ht="30" customHeight="1" x14ac:dyDescent="0.25">
      <c r="B34" s="26"/>
      <c r="C34" s="1"/>
      <c r="D34" s="294" t="s">
        <v>445</v>
      </c>
      <c r="E34" s="294"/>
      <c r="F34" s="294"/>
      <c r="G34" s="294"/>
      <c r="H34" s="294"/>
      <c r="I34" s="294"/>
      <c r="J34" s="1"/>
      <c r="K34" s="1"/>
      <c r="L34" s="1"/>
      <c r="M34" s="1"/>
      <c r="N34" s="1"/>
      <c r="O34" s="1"/>
      <c r="P34" s="1"/>
      <c r="Q34" s="1"/>
      <c r="R34" s="1"/>
      <c r="S34" s="27"/>
      <c r="X34" s="94" t="str">
        <f>IF($R$45&gt;100,"TOP 100","TOP 50")</f>
        <v>TOP 50</v>
      </c>
      <c r="Y34" s="165">
        <f>IF(X34="TOP 100",VLOOKUP($Y$4,'BAROM CARTES HDG'!$E:$Z,22,0),VLOOKUP($Y$4,'BAROM CARTES HDG'!$E:$Z,21,0))</f>
        <v>10.347266300765124</v>
      </c>
      <c r="Z34" s="165">
        <f>IF(Y34&lt;=0,0,Y34/SUMIF('ETP Challenge'!$D:$D,$N$2,'ETP Challenge'!$E:$E))/$Y$3</f>
        <v>0.86227219173042702</v>
      </c>
    </row>
    <row r="35" spans="2:26" ht="18.95" customHeight="1" x14ac:dyDescent="0.25">
      <c r="B35" s="26"/>
      <c r="C35" s="15"/>
      <c r="D35" s="121" t="s">
        <v>6</v>
      </c>
      <c r="E35" s="121" t="s">
        <v>7</v>
      </c>
      <c r="F35" s="121" t="s">
        <v>8</v>
      </c>
      <c r="G35" s="121" t="s">
        <v>9</v>
      </c>
      <c r="H35" s="121" t="s">
        <v>10</v>
      </c>
      <c r="I35" s="121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94" t="str">
        <f>IF($R$45&gt;100,"TOP 50","TOP 30")</f>
        <v>TOP 30</v>
      </c>
      <c r="Y35" s="165">
        <f>IF(X35="TOP 50",VLOOKUP($Y$4,'BAROM CARTES HDG'!$E:$Z,21,0),VLOOKUP($Y$4,'BAROM CARTES HDG'!$E:$Z,20,0))</f>
        <v>18.776341098506762</v>
      </c>
      <c r="Z35" s="165">
        <f>IF(Y35&lt;=0,0,Y35/SUMIF('ETP Challenge'!$D:$D,$N$2,'ETP Challenge'!$E:$E))/$Y$3</f>
        <v>1.5646950915422302</v>
      </c>
    </row>
    <row r="36" spans="2:26" ht="18.95" customHeight="1" x14ac:dyDescent="0.25">
      <c r="B36" s="26"/>
      <c r="C36" s="125" t="s">
        <v>12</v>
      </c>
      <c r="D36" s="120">
        <f>(VLOOKUP($N$2,'CUMUL résultats semaine'!$A:$BL,6,0)/SUMIF('ETP Challenge'!$D:$D,$N$2,'ETP Challenge'!$E:$E))/6</f>
        <v>0</v>
      </c>
      <c r="E36" s="120">
        <f>IF(ISNUMBER(D$38),(VLOOKUP($N$2,'CUMUL résultats semaine'!$A:$BL,15,0)/SUMIF('ETP Challenge'!$D:$D,$N$2,'ETP Challenge'!$E:$E))/5,D36)</f>
        <v>0</v>
      </c>
      <c r="F36" s="120">
        <f>IF(ISNUMBER(E$20),(VLOOKUP($N$2,'CUMUL résultats semaine'!$A:$BL,24,0)/SUMIF('ETP Challenge'!$D:$D,$N$2,'ETP Challenge'!$E:$E))/4,E36)</f>
        <v>0</v>
      </c>
      <c r="G36" s="120">
        <f>IF(ISNUMBER(F$20),(VLOOKUP($N$2,'CUMUL résultats semaine'!$A:$BL,33,0)/SUMIF('ETP Challenge'!$D:$D,$N$2,'ETP Challenge'!$E:$E))/3,F36)</f>
        <v>0</v>
      </c>
      <c r="H36" s="120">
        <f>IF(ISNUMBER(G$20),(VLOOKUP($N$2,'CUMUL résultats semaine'!$A:$BL,42,0)/SUMIF('ETP Challenge'!$D:$D,$N$2,'ETP Challenge'!$E:$E))/2,G36)</f>
        <v>0</v>
      </c>
      <c r="I36" s="120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94" t="str">
        <f>IF($R$45&lt;10,"TOP1",IF($R$45&gt;100,"TOP 30","TOP 10"))</f>
        <v>TOP 10</v>
      </c>
      <c r="Y36" s="165">
        <f>IF(X36="TOP 1",VLOOKUP($Y$4,'BAROM CARTES HDG'!$E:$Z,18,0),IF(X36="TOP 10",VLOOKUP($Y$4,'BAROM CARTES HDG'!$E:$Z,19,0),VLOOKUP($Y$4,'BAROM CARTES HDG'!$E:$Z,20,0)))</f>
        <v>33.741298454175059</v>
      </c>
      <c r="Z36" s="165">
        <f>IF(Y36&lt;=0,0,Y36/SUMIF('ETP Challenge'!$D:$D,$N$2,'ETP Challenge'!$E:$E))/$Y$3</f>
        <v>2.8117748711812549</v>
      </c>
    </row>
    <row r="37" spans="2:26" ht="18.95" customHeight="1" x14ac:dyDescent="0.25">
      <c r="B37" s="26"/>
      <c r="C37" s="125" t="s">
        <v>13</v>
      </c>
      <c r="D37" s="120">
        <f>(VLOOKUP($N$2,'CUMUL résultats semaine'!$A:$BL,7,0)/SUMIF('ETP Challenge'!$D:$D,$N$2,'ETP Challenge'!$E:$E))/6</f>
        <v>0</v>
      </c>
      <c r="E37" s="120">
        <f>IF(ISNUMBER(D$38),(VLOOKUP($N$2,'CUMUL résultats semaine'!$A:$BL,16,0)/SUMIF('ETP Challenge'!$D:$D,$N$2,'ETP Challenge'!$E:$E))/5,D37)</f>
        <v>0</v>
      </c>
      <c r="F37" s="120">
        <f>IF(ISNUMBER(E$20),(VLOOKUP($N$2,'CUMUL résultats semaine'!$A:$BL,25,0)/SUMIF('ETP Challenge'!$D:$D,$N$2,'ETP Challenge'!$E:$E))/4,E37)</f>
        <v>0</v>
      </c>
      <c r="G37" s="120">
        <f>IF(ISNUMBER(F$20),(VLOOKUP($N$2,'CUMUL résultats semaine'!$A:$BL,34,0)/SUMIF('ETP Challenge'!$D:$D,$N$2,'ETP Challenge'!$E:$E))/3,F37)</f>
        <v>0</v>
      </c>
      <c r="H37" s="120">
        <f>IF(ISNUMBER(G$20),(VLOOKUP($N$2,'CUMUL résultats semaine'!$A:$BL,43,0)/SUMIF('ETP Challenge'!$D:$D,$N$2,'ETP Challenge'!$E:$E))/2,G37)</f>
        <v>0</v>
      </c>
      <c r="I37" s="120">
        <f>IF(ISNUMBER(H$20),(VLOOKUP($N$2,'CUMUL résultats semaine'!$A:$BL,52,0)/SUMIF('ETP Challenge'!$D:$D,$N$2,'ETP Challenge'!$E:$E)),H37)</f>
        <v>0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125" t="s">
        <v>443</v>
      </c>
      <c r="D38" s="190" t="str">
        <f>IF(ISNUMBER(VLOOKUP($N$2,'CUMUL résultats semaine'!A:BL,14,0)),(VLOOKUP($N$2,'CUMUL résultats semaine'!A:BL,14,0)-VLOOKUP($N$2,'CUMUL résultats semaine'!A:BL,5,0))/SUMIF('ETP Challenge'!$D:$D,$N$2,'ETP Challenge'!$E:$E),"-")</f>
        <v>-</v>
      </c>
      <c r="E38" s="190" t="str">
        <f>IF(ISNUMBER(VLOOKUP($N$2,'CUMUL résultats semaine'!A:BL,23,0)),(VLOOKUP($N$2,'CUMUL résultats semaine'!A:BL,23,0)-VLOOKUP($N$2,'CUMUL résultats semaine'!A:BL,14,0))/SUMIF('ETP Challenge'!$D:$D,$N$2,'ETP Challenge'!$E:$E),"-")</f>
        <v>-</v>
      </c>
      <c r="F38" s="190" t="str">
        <f>IF(ISNUMBER(VLOOKUP($N$2,'CUMUL résultats semaine'!A:BL,32,0)),(VLOOKUP($N$2,'CUMUL résultats semaine'!A:BL,32,0)-VLOOKUP($N$2,'CUMUL résultats semaine'!A:BL,23,0))/SUMIF('ETP Challenge'!$D:$D,$N$2,'ETP Challenge'!$E:$E),"-")</f>
        <v>-</v>
      </c>
      <c r="G38" s="190" t="str">
        <f>IF(ISNUMBER(VLOOKUP($N$2,'CUMUL résultats semaine'!A:BL,41,0)),(VLOOKUP($N$2,'CUMUL résultats semaine'!A:BL,41,0)-VLOOKUP($N$2,'CUMUL résultats semaine'!A:BL,32,0))/SUMIF('ETP Challenge'!$D:$D,$N$2,'ETP Challenge'!$E:$E),"-")</f>
        <v>-</v>
      </c>
      <c r="H38" s="190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90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68" t="s">
        <v>675</v>
      </c>
      <c r="H44" s="269"/>
      <c r="I44" s="270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71"/>
      <c r="H45" s="272"/>
      <c r="I45" s="273"/>
      <c r="J45" s="1"/>
      <c r="K45" s="295" t="s">
        <v>15</v>
      </c>
      <c r="L45" s="296"/>
      <c r="M45" s="291">
        <f>VLOOKUP($Y$4,'BAROM IZICARTES'!$E:$Z,7,0)</f>
        <v>62</v>
      </c>
      <c r="N45" s="292"/>
      <c r="O45" s="1"/>
      <c r="P45" s="295" t="s">
        <v>15</v>
      </c>
      <c r="Q45" s="296"/>
      <c r="R45" s="161">
        <f>VLOOKUP($Y$4,'BAROM CARTES HDG'!$E:$Z,7,0)</f>
        <v>99</v>
      </c>
      <c r="S45" s="27"/>
    </row>
    <row r="46" spans="2:26" x14ac:dyDescent="0.25">
      <c r="B46" s="26"/>
      <c r="C46" s="1"/>
      <c r="D46" s="1"/>
      <c r="E46" s="1"/>
      <c r="F46" s="1"/>
      <c r="G46" s="271"/>
      <c r="H46" s="272"/>
      <c r="I46" s="273"/>
      <c r="J46" s="1"/>
      <c r="K46" s="295" t="s">
        <v>16</v>
      </c>
      <c r="L46" s="296"/>
      <c r="M46" s="297">
        <f>VLOOKUP($Y$4,'BAROM IZICARTES'!$E:$Z,6,0)</f>
        <v>0.78864426801083842</v>
      </c>
      <c r="N46" s="298"/>
      <c r="O46" s="1"/>
      <c r="P46" s="295" t="s">
        <v>16</v>
      </c>
      <c r="Q46" s="296"/>
      <c r="R46" s="162">
        <f>VLOOKUP($Y$4,'BAROM CARTES HDG'!$E:$Z,6,0)</f>
        <v>0.76835462779641306</v>
      </c>
      <c r="S46" s="27"/>
    </row>
    <row r="47" spans="2:26" x14ac:dyDescent="0.25">
      <c r="B47" s="26"/>
      <c r="C47" s="1"/>
      <c r="D47" s="1"/>
      <c r="E47" s="1"/>
      <c r="F47" s="1"/>
      <c r="G47" s="276" t="str">
        <f>ROUND(VLOOKUP(N2,'Meilleures perf'!C:G,5,0),1) &amp; " contrats par ETP"</f>
        <v>2,6 contrats par ETP</v>
      </c>
      <c r="H47" s="277"/>
      <c r="I47" s="278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76"/>
      <c r="H48" s="277"/>
      <c r="I48" s="278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74" t="str">
        <f>Y18&amp; "%"</f>
        <v>104,3%</v>
      </c>
      <c r="D49" s="275"/>
      <c r="E49" s="275"/>
      <c r="F49" s="1"/>
      <c r="G49" s="279"/>
      <c r="H49" s="280"/>
      <c r="I49" s="281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94" t="s">
        <v>14</v>
      </c>
      <c r="E52" s="294"/>
      <c r="F52" s="294"/>
      <c r="G52" s="294"/>
      <c r="H52" s="294"/>
      <c r="I52" s="294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121" t="s">
        <v>6</v>
      </c>
      <c r="E53" s="121" t="s">
        <v>7</v>
      </c>
      <c r="F53" s="121" t="s">
        <v>8</v>
      </c>
      <c r="G53" s="121" t="s">
        <v>9</v>
      </c>
      <c r="H53" s="121" t="s">
        <v>10</v>
      </c>
      <c r="I53" s="121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125" t="s">
        <v>12</v>
      </c>
      <c r="D54" s="120">
        <f>(VLOOKUP($N$2,'CUMUL résultats semaine'!$A:$BL,9,0)/SUMIF('ETP Challenge'!$D:$D,$N$2,'ETP Challenge'!$E:$E))/6</f>
        <v>0</v>
      </c>
      <c r="E54" s="120">
        <f>IF(ISNUMBER(D$56),(VLOOKUP($N$2,'CUMUL résultats semaine'!$A:$BL,18,0)/SUMIF('ETP Challenge'!$D:$D,$N$2,'ETP Challenge'!$E:$E))/5,D54)</f>
        <v>0</v>
      </c>
      <c r="F54" s="120">
        <f>IF(ISNUMBER(E$56),(VLOOKUP($N$2,'CUMUL résultats semaine'!$A:$BL,27,0)/SUMIF('ETP Challenge'!$D:$D,$N$2,'ETP Challenge'!$E:$E))/4,E54)</f>
        <v>0</v>
      </c>
      <c r="G54" s="120">
        <f>IF(ISNUMBER(F$56),(VLOOKUP($N$2,'CUMUL résultats semaine'!$A:$BL,36,0)/SUMIF('ETP Challenge'!$D:$D,$N$2,'ETP Challenge'!$E:$E))/3,F54)</f>
        <v>0</v>
      </c>
      <c r="H54" s="120">
        <f>IF(ISNUMBER(G$56),(VLOOKUP($N$2,'CUMUL résultats semaine'!$A:$BL,45,0)/SUMIF('ETP Challenge'!$D:$D,$N$2,'ETP Challenge'!$E:$E))/2,G54)</f>
        <v>0</v>
      </c>
      <c r="I54" s="120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125" t="s">
        <v>13</v>
      </c>
      <c r="D55" s="120">
        <f>(VLOOKUP($N$2,'CUMUL résultats semaine'!$A:$BL,10,0)/SUMIF('ETP Challenge'!$D:$D,$N$2,'ETP Challenge'!$E:$E))/6</f>
        <v>0.83333333333333337</v>
      </c>
      <c r="E55" s="120">
        <f>IF(ISNUMBER(D$56),(VLOOKUP($N$2,'CUMUL résultats semaine'!$A:$BL,19,0)/SUMIF('ETP Challenge'!$D:$D,$N$2,'ETP Challenge'!$E:$E))/5,D55)</f>
        <v>0.83333333333333337</v>
      </c>
      <c r="F55" s="120">
        <f>IF(ISNUMBER(E$56),(VLOOKUP($N$2,'CUMUL résultats semaine'!$A:$BL,28,0)/SUMIF('ETP Challenge'!$D:$D,$N$2,'ETP Challenge'!$E:$E))/4,E55)</f>
        <v>0.83333333333333337</v>
      </c>
      <c r="G55" s="120">
        <f>IF(ISNUMBER(F$56),(VLOOKUP($N$2,'CUMUL résultats semaine'!$A:$BL,37,0)/SUMIF('ETP Challenge'!$D:$D,$N$2,'ETP Challenge'!$E:$E))/3,F55)</f>
        <v>0.83333333333333337</v>
      </c>
      <c r="H55" s="120">
        <f>IF(ISNUMBER(G$56),(VLOOKUP($N$2,'CUMUL résultats semaine'!$A:$BL,46,0)/SUMIF('ETP Challenge'!$D:$D,$N$2,'ETP Challenge'!$E:$E))/2,G55)</f>
        <v>0.83333333333333337</v>
      </c>
      <c r="I55" s="120">
        <f>IF(ISNUMBER(H$56),(VLOOKUP($N$2,'CUMUL résultats semaine'!$A:$BL,55,0)/SUMIF('ETP Challenge'!$D:$D,$N$2,'ETP Challenge'!$E:$E)),H55)</f>
        <v>0.83333333333333337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125" t="s">
        <v>443</v>
      </c>
      <c r="D56" s="190" t="str">
        <f>IF(ISNUMBER(VLOOKUP($N$2,'CUMUL résultats semaine'!A:BL,17,0)),(VLOOKUP($N$2,'CUMUL résultats semaine'!A:BL,17,0)-VLOOKUP($N$2,'CUMUL résultats semaine'!A:BL,8,0))/SUMIF('ETP Challenge'!$D:$D,$N$2,'ETP Challenge'!$E:$E),"-")</f>
        <v>-</v>
      </c>
      <c r="E56" s="190" t="str">
        <f>IF(ISNUMBER(VLOOKUP($N$2,'CUMUL résultats semaine'!A:BL,26,0)),(VLOOKUP($N$2,'CUMUL résultats semaine'!A:BL,26,0)-VLOOKUP($N$2,'CUMUL résultats semaine'!A:BL,17,0))/SUMIF('ETP Challenge'!$D:$D,$N$2,'ETP Challenge'!$E:$E),"-")</f>
        <v>-</v>
      </c>
      <c r="F56" s="190" t="str">
        <f>IF(ISNUMBER(VLOOKUP($N$2,'CUMUL résultats semaine'!A:BL,35,0)),(VLOOKUP($N$2,'CUMUL résultats semaine'!A:BL,35,0)-VLOOKUP($N$2,'CUMUL résultats semaine'!A:BL,26,0))/SUMIF('ETP Challenge'!$D:$D,$N$2,'ETP Challenge'!$E:$E),"-")</f>
        <v>-</v>
      </c>
      <c r="G56" s="190" t="str">
        <f>IF(ISNUMBER(VLOOKUP($N$2,'CUMUL résultats semaine'!A:BL,44,0)),(VLOOKUP($N$2,'CUMUL résultats semaine'!A:BL,44,0)-VLOOKUP($N$2,'CUMUL résultats semaine'!A:BL,35,0))/SUMIF('ETP Challenge'!$D:$D,$N$2,'ETP Challenge'!$E:$E),"-")</f>
        <v>-</v>
      </c>
      <c r="H56" s="190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90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K3" sqref="K3"/>
    </sheetView>
  </sheetViews>
  <sheetFormatPr baseColWidth="10" defaultRowHeight="12.75" x14ac:dyDescent="0.2"/>
  <cols>
    <col min="1" max="1" width="27.42578125" style="117" bestFit="1" customWidth="1"/>
    <col min="2" max="64" width="10.5703125" style="116" customWidth="1"/>
    <col min="65" max="72" width="9.7109375" style="116" customWidth="1"/>
    <col min="73" max="127" width="11.42578125" style="116"/>
    <col min="128" max="16384" width="11.42578125" style="117"/>
  </cols>
  <sheetData>
    <row r="1" spans="1:127" x14ac:dyDescent="0.2">
      <c r="A1" s="117">
        <v>1</v>
      </c>
      <c r="B1" s="117">
        <v>2</v>
      </c>
      <c r="C1" s="117">
        <v>3</v>
      </c>
      <c r="D1" s="117">
        <v>4</v>
      </c>
      <c r="E1" s="117">
        <v>5</v>
      </c>
      <c r="F1" s="117">
        <v>6</v>
      </c>
      <c r="G1" s="117">
        <v>7</v>
      </c>
      <c r="H1" s="117">
        <v>8</v>
      </c>
      <c r="I1" s="117">
        <v>9</v>
      </c>
      <c r="J1" s="117">
        <v>10</v>
      </c>
      <c r="K1" s="117">
        <v>11</v>
      </c>
      <c r="L1" s="117">
        <v>12</v>
      </c>
      <c r="M1" s="117">
        <v>13</v>
      </c>
      <c r="N1" s="117">
        <v>14</v>
      </c>
      <c r="O1" s="117">
        <v>15</v>
      </c>
      <c r="P1" s="117">
        <v>16</v>
      </c>
      <c r="Q1" s="117">
        <v>17</v>
      </c>
      <c r="R1" s="117">
        <v>18</v>
      </c>
      <c r="S1" s="117">
        <v>19</v>
      </c>
      <c r="T1" s="117">
        <v>20</v>
      </c>
      <c r="U1" s="117">
        <v>21</v>
      </c>
      <c r="V1" s="117">
        <v>22</v>
      </c>
      <c r="W1" s="117">
        <v>23</v>
      </c>
      <c r="X1" s="117">
        <v>24</v>
      </c>
      <c r="Y1" s="117">
        <v>25</v>
      </c>
      <c r="Z1" s="117">
        <v>26</v>
      </c>
      <c r="AA1" s="117">
        <v>27</v>
      </c>
      <c r="AB1" s="117">
        <v>28</v>
      </c>
      <c r="AC1" s="117">
        <v>29</v>
      </c>
      <c r="AD1" s="117">
        <v>30</v>
      </c>
      <c r="AE1" s="117">
        <v>31</v>
      </c>
      <c r="AF1" s="117">
        <v>32</v>
      </c>
      <c r="AG1" s="117">
        <v>33</v>
      </c>
      <c r="AH1" s="117">
        <v>34</v>
      </c>
      <c r="AI1" s="117">
        <v>35</v>
      </c>
      <c r="AJ1" s="117">
        <v>36</v>
      </c>
      <c r="AK1" s="117">
        <v>37</v>
      </c>
      <c r="AL1" s="117">
        <v>38</v>
      </c>
      <c r="AM1" s="117">
        <v>39</v>
      </c>
      <c r="AN1" s="117">
        <v>40</v>
      </c>
      <c r="AO1" s="117">
        <v>41</v>
      </c>
      <c r="AP1" s="117">
        <v>42</v>
      </c>
      <c r="AQ1" s="117">
        <v>43</v>
      </c>
      <c r="AR1" s="117">
        <v>44</v>
      </c>
      <c r="AS1" s="117">
        <v>45</v>
      </c>
      <c r="AT1" s="117">
        <v>46</v>
      </c>
      <c r="AU1" s="117">
        <v>47</v>
      </c>
      <c r="AV1" s="117">
        <v>48</v>
      </c>
      <c r="AW1" s="117">
        <v>49</v>
      </c>
      <c r="AX1" s="117">
        <v>50</v>
      </c>
      <c r="AY1" s="117">
        <v>51</v>
      </c>
      <c r="AZ1" s="117">
        <v>52</v>
      </c>
      <c r="BA1" s="117">
        <v>53</v>
      </c>
      <c r="BB1" s="117">
        <v>54</v>
      </c>
      <c r="BC1" s="117">
        <v>55</v>
      </c>
      <c r="BD1" s="117">
        <v>56</v>
      </c>
      <c r="BE1" s="117">
        <v>57</v>
      </c>
      <c r="BF1" s="117">
        <v>58</v>
      </c>
      <c r="BG1" s="117">
        <v>59</v>
      </c>
      <c r="BH1" s="117">
        <v>60</v>
      </c>
      <c r="BI1" s="117">
        <v>61</v>
      </c>
      <c r="BJ1" s="117">
        <v>62</v>
      </c>
      <c r="BK1" s="117">
        <v>63</v>
      </c>
      <c r="BL1" s="117">
        <v>64</v>
      </c>
    </row>
    <row r="2" spans="1:127" s="114" customFormat="1" ht="47.25" customHeight="1" x14ac:dyDescent="0.2">
      <c r="A2" s="108" t="s">
        <v>21</v>
      </c>
      <c r="B2" s="109" t="s">
        <v>622</v>
      </c>
      <c r="C2" s="109" t="s">
        <v>382</v>
      </c>
      <c r="D2" s="109" t="s">
        <v>383</v>
      </c>
      <c r="E2" s="110" t="s">
        <v>623</v>
      </c>
      <c r="F2" s="110" t="s">
        <v>384</v>
      </c>
      <c r="G2" s="110" t="s">
        <v>385</v>
      </c>
      <c r="H2" s="111" t="s">
        <v>624</v>
      </c>
      <c r="I2" s="111" t="s">
        <v>386</v>
      </c>
      <c r="J2" s="111" t="s">
        <v>387</v>
      </c>
      <c r="K2" s="109" t="s">
        <v>625</v>
      </c>
      <c r="L2" s="109" t="s">
        <v>388</v>
      </c>
      <c r="M2" s="109" t="s">
        <v>389</v>
      </c>
      <c r="N2" s="110" t="s">
        <v>626</v>
      </c>
      <c r="O2" s="110" t="s">
        <v>390</v>
      </c>
      <c r="P2" s="110" t="s">
        <v>391</v>
      </c>
      <c r="Q2" s="111" t="s">
        <v>627</v>
      </c>
      <c r="R2" s="111" t="s">
        <v>392</v>
      </c>
      <c r="S2" s="111" t="s">
        <v>393</v>
      </c>
      <c r="T2" s="109" t="s">
        <v>628</v>
      </c>
      <c r="U2" s="109" t="s">
        <v>394</v>
      </c>
      <c r="V2" s="109" t="s">
        <v>395</v>
      </c>
      <c r="W2" s="110" t="s">
        <v>629</v>
      </c>
      <c r="X2" s="110" t="s">
        <v>396</v>
      </c>
      <c r="Y2" s="110" t="s">
        <v>397</v>
      </c>
      <c r="Z2" s="111" t="s">
        <v>630</v>
      </c>
      <c r="AA2" s="111" t="s">
        <v>398</v>
      </c>
      <c r="AB2" s="111" t="s">
        <v>399</v>
      </c>
      <c r="AC2" s="109" t="s">
        <v>631</v>
      </c>
      <c r="AD2" s="109" t="s">
        <v>400</v>
      </c>
      <c r="AE2" s="109" t="s">
        <v>401</v>
      </c>
      <c r="AF2" s="110" t="s">
        <v>632</v>
      </c>
      <c r="AG2" s="110" t="s">
        <v>402</v>
      </c>
      <c r="AH2" s="110" t="s">
        <v>403</v>
      </c>
      <c r="AI2" s="111" t="s">
        <v>633</v>
      </c>
      <c r="AJ2" s="111" t="s">
        <v>404</v>
      </c>
      <c r="AK2" s="111" t="s">
        <v>405</v>
      </c>
      <c r="AL2" s="109" t="s">
        <v>634</v>
      </c>
      <c r="AM2" s="109" t="s">
        <v>406</v>
      </c>
      <c r="AN2" s="109" t="s">
        <v>407</v>
      </c>
      <c r="AO2" s="110" t="s">
        <v>635</v>
      </c>
      <c r="AP2" s="110" t="s">
        <v>408</v>
      </c>
      <c r="AQ2" s="110" t="s">
        <v>409</v>
      </c>
      <c r="AR2" s="111" t="s">
        <v>636</v>
      </c>
      <c r="AS2" s="111" t="s">
        <v>410</v>
      </c>
      <c r="AT2" s="111" t="s">
        <v>411</v>
      </c>
      <c r="AU2" s="109" t="s">
        <v>637</v>
      </c>
      <c r="AV2" s="109" t="s">
        <v>412</v>
      </c>
      <c r="AW2" s="109" t="s">
        <v>413</v>
      </c>
      <c r="AX2" s="110" t="s">
        <v>638</v>
      </c>
      <c r="AY2" s="110" t="s">
        <v>414</v>
      </c>
      <c r="AZ2" s="110" t="s">
        <v>415</v>
      </c>
      <c r="BA2" s="111" t="s">
        <v>639</v>
      </c>
      <c r="BB2" s="111" t="s">
        <v>416</v>
      </c>
      <c r="BC2" s="111" t="s">
        <v>417</v>
      </c>
      <c r="BD2" s="109" t="s">
        <v>640</v>
      </c>
      <c r="BE2" s="109" t="s">
        <v>418</v>
      </c>
      <c r="BF2" s="109" t="s">
        <v>419</v>
      </c>
      <c r="BG2" s="110" t="s">
        <v>641</v>
      </c>
      <c r="BH2" s="110" t="s">
        <v>420</v>
      </c>
      <c r="BI2" s="110" t="s">
        <v>421</v>
      </c>
      <c r="BJ2" s="111" t="s">
        <v>642</v>
      </c>
      <c r="BK2" s="111" t="s">
        <v>422</v>
      </c>
      <c r="BL2" s="111" t="s">
        <v>423</v>
      </c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</row>
    <row r="3" spans="1:127" x14ac:dyDescent="0.2">
      <c r="A3" s="106" t="s">
        <v>5</v>
      </c>
      <c r="B3" s="107">
        <f>VLOOKUP($A3,'S0 remplacer avec S44'!$C:$BQ,32,0)</f>
        <v>116.1</v>
      </c>
      <c r="C3" s="107">
        <f>VLOOKUP($A3,'S0 remplacer avec S44'!$C:$BQ,39,0)</f>
        <v>4</v>
      </c>
      <c r="D3" s="107">
        <f>VLOOKUP($A3,'S0 remplacer avec S44'!$C:$BQ,40,0)</f>
        <v>28</v>
      </c>
      <c r="E3" s="107">
        <f>VLOOKUP($A3,'S0 remplacer avec S44'!$C:$BQ,22,0)</f>
        <v>1529.2224349999999</v>
      </c>
      <c r="F3" s="115">
        <f>VLOOKUP($A3,'S0 remplacer avec S44'!$C:$BQ,29,0)</f>
        <v>0</v>
      </c>
      <c r="G3" s="115">
        <f>VLOOKUP($A3,'S0 remplacer avec S44'!$C:$BQ,30,0)</f>
        <v>0</v>
      </c>
      <c r="H3" s="115">
        <f>VLOOKUP($A3,'S0 remplacer avec S44'!$C:$BQ,52,0)</f>
        <v>63.4</v>
      </c>
      <c r="I3" s="115">
        <f>VLOOKUP($A3,'S0 remplacer avec S44'!$C:$BQ,59,0)</f>
        <v>0</v>
      </c>
      <c r="J3" s="115">
        <f>VLOOKUP($A3,'S0 remplacer avec S44'!$C:$BQ,60,0)</f>
        <v>10</v>
      </c>
      <c r="K3" s="107" t="e">
        <f>VLOOKUP($A3,'S45'!$C:$BQ,32,0)</f>
        <v>#N/A</v>
      </c>
      <c r="L3" s="107" t="e">
        <f>VLOOKUP($A3,'S45'!$C:$BQ,39,0)</f>
        <v>#N/A</v>
      </c>
      <c r="M3" s="107" t="e">
        <f>VLOOKUP($A3,'S45'!$C:$BQ,40,0)</f>
        <v>#N/A</v>
      </c>
      <c r="N3" s="107" t="e">
        <f>VLOOKUP($A3,'S45'!$C:$BQ,22,0)</f>
        <v>#N/A</v>
      </c>
      <c r="O3" s="115" t="e">
        <f>VLOOKUP($A3,'S45'!$C:$BQ,29,0)</f>
        <v>#N/A</v>
      </c>
      <c r="P3" s="115" t="e">
        <f>VLOOKUP($A3,'S45'!$C:$BQ,30,0)</f>
        <v>#N/A</v>
      </c>
      <c r="Q3" s="115" t="e">
        <f>VLOOKUP($A3,'S45'!$C:$BQ,52,0)</f>
        <v>#N/A</v>
      </c>
      <c r="R3" s="115" t="e">
        <f>VLOOKUP($A3,'S45'!$C:$BQ,59,0)</f>
        <v>#N/A</v>
      </c>
      <c r="S3" s="115" t="e">
        <f>VLOOKUP($A3,'S45'!$C:$BQ,60,0)</f>
        <v>#N/A</v>
      </c>
      <c r="T3" s="107" t="e">
        <f>VLOOKUP($A3,'S46'!$C:$BQ,32,0)</f>
        <v>#N/A</v>
      </c>
      <c r="U3" s="107" t="e">
        <f>VLOOKUP($A3,'S46'!$C:$BQ,39,0)</f>
        <v>#N/A</v>
      </c>
      <c r="V3" s="107" t="e">
        <f>VLOOKUP($A3,'S46'!$C:$BQ,40,0)</f>
        <v>#N/A</v>
      </c>
      <c r="W3" s="107" t="e">
        <f>VLOOKUP($A3,'S46'!$C:$BQ,22,0)</f>
        <v>#N/A</v>
      </c>
      <c r="X3" s="115" t="e">
        <f>VLOOKUP($A3,'S46'!$C:$BQ,29,0)</f>
        <v>#N/A</v>
      </c>
      <c r="Y3" s="115" t="e">
        <f>VLOOKUP($A3,'S46'!$C:$BQ,30,0)</f>
        <v>#N/A</v>
      </c>
      <c r="Z3" s="115" t="e">
        <f>VLOOKUP($A3,'S46'!$C:$BQ,52,0)</f>
        <v>#N/A</v>
      </c>
      <c r="AA3" s="115" t="e">
        <f>VLOOKUP($A3,'S46'!$C:$BQ,59,0)</f>
        <v>#N/A</v>
      </c>
      <c r="AB3" s="115" t="e">
        <f>VLOOKUP($A3,'S46'!$C:$BQ,60,0)</f>
        <v>#N/A</v>
      </c>
      <c r="AC3" s="107" t="e">
        <f>VLOOKUP($A3,'S47'!$C:$BQ,32,0)</f>
        <v>#N/A</v>
      </c>
      <c r="AD3" s="107" t="e">
        <f>VLOOKUP($A3,'S47'!$C:$BQ,39,0)</f>
        <v>#N/A</v>
      </c>
      <c r="AE3" s="107" t="e">
        <f>VLOOKUP($A3,'S47'!$C:$BQ,40,0)</f>
        <v>#N/A</v>
      </c>
      <c r="AF3" s="107" t="e">
        <f>VLOOKUP($A3,'S47'!$C:$BQ,22,0)</f>
        <v>#N/A</v>
      </c>
      <c r="AG3" s="115" t="e">
        <f>VLOOKUP($A3,'S47'!$C:$BQ,29,0)</f>
        <v>#N/A</v>
      </c>
      <c r="AH3" s="115" t="e">
        <f>VLOOKUP($A3,'S47'!$C:$BQ,30,0)</f>
        <v>#N/A</v>
      </c>
      <c r="AI3" s="115" t="e">
        <f>VLOOKUP($A3,'S47'!$C:$BQ,52,0)</f>
        <v>#N/A</v>
      </c>
      <c r="AJ3" s="115" t="e">
        <f>VLOOKUP($A3,'S47'!$C:$BQ,59,0)</f>
        <v>#N/A</v>
      </c>
      <c r="AK3" s="115" t="e">
        <f>VLOOKUP($A3,'S47'!$C:$BQ,60,0)</f>
        <v>#N/A</v>
      </c>
      <c r="AL3" s="107" t="e">
        <f>VLOOKUP($A3,'S48'!$C:$BQ,32,0)</f>
        <v>#N/A</v>
      </c>
      <c r="AM3" s="107" t="e">
        <f>VLOOKUP($A3,'S48'!$C:$BQ,39,0)</f>
        <v>#N/A</v>
      </c>
      <c r="AN3" s="107" t="e">
        <f>VLOOKUP($A3,'S48'!$C:$BQ,40,0)</f>
        <v>#N/A</v>
      </c>
      <c r="AO3" s="107" t="e">
        <f>VLOOKUP($A3,'S48'!$C:$BQ,22,0)</f>
        <v>#N/A</v>
      </c>
      <c r="AP3" s="115" t="e">
        <f>VLOOKUP($A3,'S48'!$C:$BQ,29,0)</f>
        <v>#N/A</v>
      </c>
      <c r="AQ3" s="115" t="e">
        <f>VLOOKUP($A3,'S48'!$C:$BQ,30,0)</f>
        <v>#N/A</v>
      </c>
      <c r="AR3" s="115" t="e">
        <f>VLOOKUP($A3,'S48'!$C:$BQ,52,0)</f>
        <v>#N/A</v>
      </c>
      <c r="AS3" s="115" t="e">
        <f>VLOOKUP($A3,'S48'!$C:$BQ,59,0)</f>
        <v>#N/A</v>
      </c>
      <c r="AT3" s="115" t="e">
        <f>VLOOKUP($A3,'S48'!$C:$BQ,60,0)</f>
        <v>#N/A</v>
      </c>
      <c r="AU3" s="107" t="e">
        <f>VLOOKUP($A3,'S49'!$C:$BQ,32,0)</f>
        <v>#N/A</v>
      </c>
      <c r="AV3" s="107" t="e">
        <f>VLOOKUP($A3,'S49'!$C:$BQ,39,0)</f>
        <v>#N/A</v>
      </c>
      <c r="AW3" s="107" t="e">
        <f>VLOOKUP($A3,'S49'!$C:$BQ,40,0)</f>
        <v>#N/A</v>
      </c>
      <c r="AX3" s="107" t="e">
        <f>VLOOKUP($A3,'S49'!$C:$BQ,22,0)</f>
        <v>#N/A</v>
      </c>
      <c r="AY3" s="115" t="e">
        <f>VLOOKUP($A3,'S49'!$C:$BQ,29,0)</f>
        <v>#N/A</v>
      </c>
      <c r="AZ3" s="115" t="e">
        <f>VLOOKUP($A3,'S49'!$C:$BQ,30,0)</f>
        <v>#N/A</v>
      </c>
      <c r="BA3" s="115" t="e">
        <f>VLOOKUP($A3,'S49'!$C:$BQ,52,0)</f>
        <v>#N/A</v>
      </c>
      <c r="BB3" s="115" t="e">
        <f>VLOOKUP($A3,'S49'!$C:$BQ,59,0)</f>
        <v>#N/A</v>
      </c>
      <c r="BC3" s="115" t="e">
        <f>VLOOKUP($A3,'S49'!$C:$BQ,60,0)</f>
        <v>#N/A</v>
      </c>
      <c r="BD3" s="107" t="e">
        <f>VLOOKUP($A3,'S50'!$C:$BQ,32,0)</f>
        <v>#N/A</v>
      </c>
      <c r="BE3" s="107" t="e">
        <f>VLOOKUP($A3,'S50'!$C:$BQ,39,0)</f>
        <v>#N/A</v>
      </c>
      <c r="BF3" s="107" t="e">
        <f>VLOOKUP($A3,'S50'!$C:$BQ,40,0)</f>
        <v>#N/A</v>
      </c>
      <c r="BG3" s="107" t="e">
        <f>VLOOKUP($A3,'S50'!$C:$BQ,22,0)</f>
        <v>#N/A</v>
      </c>
      <c r="BH3" s="115" t="e">
        <f>VLOOKUP($A3,'S50'!$C:$BQ,29,0)</f>
        <v>#N/A</v>
      </c>
      <c r="BI3" s="115" t="e">
        <f>VLOOKUP($A3,'S50'!$C:$BQ,30,0)</f>
        <v>#N/A</v>
      </c>
      <c r="BJ3" s="115" t="e">
        <f>VLOOKUP($A3,'S50'!$C:$BQ,52,0)</f>
        <v>#N/A</v>
      </c>
      <c r="BK3" s="115" t="e">
        <f>VLOOKUP($A3,'S50'!$C:$BQ,59,0)</f>
        <v>#N/A</v>
      </c>
      <c r="BL3" s="115" t="e">
        <f>VLOOKUP($A3,'S50'!$C:$BQ,60,0)</f>
        <v>#N/A</v>
      </c>
    </row>
    <row r="4" spans="1:127" x14ac:dyDescent="0.2">
      <c r="A4" s="106" t="s">
        <v>57</v>
      </c>
      <c r="B4" s="107">
        <f>VLOOKUP($A4,'S0 remplacer avec S44'!$C:$BQ,32,0)</f>
        <v>460.15</v>
      </c>
      <c r="C4" s="107">
        <f>VLOOKUP($A4,'S0 remplacer avec S44'!$C:$BQ,39,0)</f>
        <v>119</v>
      </c>
      <c r="D4" s="107">
        <f>VLOOKUP($A4,'S0 remplacer avec S44'!$C:$BQ,40,0)</f>
        <v>235</v>
      </c>
      <c r="E4" s="107">
        <f>VLOOKUP($A4,'S0 remplacer avec S44'!$C:$BQ,22,0)</f>
        <v>5839.916295</v>
      </c>
      <c r="F4" s="115">
        <f>VLOOKUP($A4,'S0 remplacer avec S44'!$C:$BQ,29,0)</f>
        <v>0</v>
      </c>
      <c r="G4" s="115">
        <f>VLOOKUP($A4,'S0 remplacer avec S44'!$C:$BQ,30,0)</f>
        <v>481</v>
      </c>
      <c r="H4" s="115">
        <f>VLOOKUP($A4,'S0 remplacer avec S44'!$C:$BQ,52,0)</f>
        <v>369</v>
      </c>
      <c r="I4" s="115">
        <f>VLOOKUP($A4,'S0 remplacer avec S44'!$C:$BQ,59,0)</f>
        <v>0</v>
      </c>
      <c r="J4" s="115">
        <f>VLOOKUP($A4,'S0 remplacer avec S44'!$C:$BQ,60,0)</f>
        <v>0</v>
      </c>
      <c r="K4" s="107" t="e">
        <f>VLOOKUP($A4,'S45'!$C:$BQ,32,0)</f>
        <v>#N/A</v>
      </c>
      <c r="L4" s="107" t="e">
        <f>VLOOKUP($A4,'S45'!$C:$BQ,39,0)</f>
        <v>#N/A</v>
      </c>
      <c r="M4" s="107" t="e">
        <f>VLOOKUP($A4,'S45'!$C:$BQ,40,0)</f>
        <v>#N/A</v>
      </c>
      <c r="N4" s="107" t="e">
        <f>VLOOKUP($A4,'S45'!$C:$BQ,22,0)</f>
        <v>#N/A</v>
      </c>
      <c r="O4" s="115" t="e">
        <f>VLOOKUP($A4,'S45'!$C:$BQ,29,0)</f>
        <v>#N/A</v>
      </c>
      <c r="P4" s="115" t="e">
        <f>VLOOKUP($A4,'S45'!$C:$BQ,30,0)</f>
        <v>#N/A</v>
      </c>
      <c r="Q4" s="115" t="e">
        <f>VLOOKUP($A4,'S45'!$C:$BQ,52,0)</f>
        <v>#N/A</v>
      </c>
      <c r="R4" s="115" t="e">
        <f>VLOOKUP($A4,'S45'!$C:$BQ,59,0)</f>
        <v>#N/A</v>
      </c>
      <c r="S4" s="115" t="e">
        <f>VLOOKUP($A4,'S45'!$C:$BQ,60,0)</f>
        <v>#N/A</v>
      </c>
      <c r="T4" s="107" t="e">
        <f>VLOOKUP($A4,'S46'!$C:$BQ,32,0)</f>
        <v>#N/A</v>
      </c>
      <c r="U4" s="107" t="e">
        <f>VLOOKUP($A4,'S46'!$C:$BQ,39,0)</f>
        <v>#N/A</v>
      </c>
      <c r="V4" s="107" t="e">
        <f>VLOOKUP($A4,'S46'!$C:$BQ,40,0)</f>
        <v>#N/A</v>
      </c>
      <c r="W4" s="107" t="e">
        <f>VLOOKUP($A4,'S46'!$C:$BQ,22,0)</f>
        <v>#N/A</v>
      </c>
      <c r="X4" s="115" t="e">
        <f>VLOOKUP($A4,'S46'!$C:$BQ,29,0)</f>
        <v>#N/A</v>
      </c>
      <c r="Y4" s="115" t="e">
        <f>VLOOKUP($A4,'S46'!$C:$BQ,30,0)</f>
        <v>#N/A</v>
      </c>
      <c r="Z4" s="115" t="e">
        <f>VLOOKUP($A4,'S46'!$C:$BQ,52,0)</f>
        <v>#N/A</v>
      </c>
      <c r="AA4" s="115" t="e">
        <f>VLOOKUP($A4,'S46'!$C:$BQ,59,0)</f>
        <v>#N/A</v>
      </c>
      <c r="AB4" s="115" t="e">
        <f>VLOOKUP($A4,'S46'!$C:$BQ,60,0)</f>
        <v>#N/A</v>
      </c>
      <c r="AC4" s="107" t="e">
        <f>VLOOKUP($A4,'S47'!$C:$BQ,32,0)</f>
        <v>#N/A</v>
      </c>
      <c r="AD4" s="107" t="e">
        <f>VLOOKUP($A4,'S47'!$C:$BQ,39,0)</f>
        <v>#N/A</v>
      </c>
      <c r="AE4" s="107" t="e">
        <f>VLOOKUP($A4,'S47'!$C:$BQ,40,0)</f>
        <v>#N/A</v>
      </c>
      <c r="AF4" s="107" t="e">
        <f>VLOOKUP($A4,'S47'!$C:$BQ,22,0)</f>
        <v>#N/A</v>
      </c>
      <c r="AG4" s="115" t="e">
        <f>VLOOKUP($A4,'S47'!$C:$BQ,29,0)</f>
        <v>#N/A</v>
      </c>
      <c r="AH4" s="115" t="e">
        <f>VLOOKUP($A4,'S47'!$C:$BQ,30,0)</f>
        <v>#N/A</v>
      </c>
      <c r="AI4" s="115" t="e">
        <f>VLOOKUP($A4,'S47'!$C:$BQ,52,0)</f>
        <v>#N/A</v>
      </c>
      <c r="AJ4" s="115" t="e">
        <f>VLOOKUP($A4,'S47'!$C:$BQ,59,0)</f>
        <v>#N/A</v>
      </c>
      <c r="AK4" s="115" t="e">
        <f>VLOOKUP($A4,'S47'!$C:$BQ,60,0)</f>
        <v>#N/A</v>
      </c>
      <c r="AL4" s="107" t="e">
        <f>VLOOKUP($A4,'S48'!$C:$BQ,32,0)</f>
        <v>#N/A</v>
      </c>
      <c r="AM4" s="107" t="e">
        <f>VLOOKUP($A4,'S48'!$C:$BQ,39,0)</f>
        <v>#N/A</v>
      </c>
      <c r="AN4" s="107" t="e">
        <f>VLOOKUP($A4,'S48'!$C:$BQ,40,0)</f>
        <v>#N/A</v>
      </c>
      <c r="AO4" s="107" t="e">
        <f>VLOOKUP($A4,'S48'!$C:$BQ,22,0)</f>
        <v>#N/A</v>
      </c>
      <c r="AP4" s="115" t="e">
        <f>VLOOKUP($A4,'S48'!$C:$BQ,29,0)</f>
        <v>#N/A</v>
      </c>
      <c r="AQ4" s="115" t="e">
        <f>VLOOKUP($A4,'S48'!$C:$BQ,30,0)</f>
        <v>#N/A</v>
      </c>
      <c r="AR4" s="115" t="e">
        <f>VLOOKUP($A4,'S48'!$C:$BQ,52,0)</f>
        <v>#N/A</v>
      </c>
      <c r="AS4" s="115" t="e">
        <f>VLOOKUP($A4,'S48'!$C:$BQ,59,0)</f>
        <v>#N/A</v>
      </c>
      <c r="AT4" s="115" t="e">
        <f>VLOOKUP($A4,'S48'!$C:$BQ,60,0)</f>
        <v>#N/A</v>
      </c>
      <c r="AU4" s="107" t="e">
        <f>VLOOKUP($A4,'S49'!$C:$BQ,32,0)</f>
        <v>#N/A</v>
      </c>
      <c r="AV4" s="107" t="e">
        <f>VLOOKUP($A4,'S49'!$C:$BQ,39,0)</f>
        <v>#N/A</v>
      </c>
      <c r="AW4" s="107" t="e">
        <f>VLOOKUP($A4,'S49'!$C:$BQ,40,0)</f>
        <v>#N/A</v>
      </c>
      <c r="AX4" s="107" t="e">
        <f>VLOOKUP($A4,'S49'!$C:$BQ,22,0)</f>
        <v>#N/A</v>
      </c>
      <c r="AY4" s="115" t="e">
        <f>VLOOKUP($A4,'S49'!$C:$BQ,29,0)</f>
        <v>#N/A</v>
      </c>
      <c r="AZ4" s="115" t="e">
        <f>VLOOKUP($A4,'S49'!$C:$BQ,30,0)</f>
        <v>#N/A</v>
      </c>
      <c r="BA4" s="115" t="e">
        <f>VLOOKUP($A4,'S49'!$C:$BQ,52,0)</f>
        <v>#N/A</v>
      </c>
      <c r="BB4" s="115" t="e">
        <f>VLOOKUP($A4,'S49'!$C:$BQ,59,0)</f>
        <v>#N/A</v>
      </c>
      <c r="BC4" s="115" t="e">
        <f>VLOOKUP($A4,'S49'!$C:$BQ,60,0)</f>
        <v>#N/A</v>
      </c>
      <c r="BD4" s="107" t="e">
        <f>VLOOKUP($A4,'S50'!$C:$BQ,32,0)</f>
        <v>#N/A</v>
      </c>
      <c r="BE4" s="107" t="e">
        <f>VLOOKUP($A4,'S50'!$C:$BQ,39,0)</f>
        <v>#N/A</v>
      </c>
      <c r="BF4" s="107" t="e">
        <f>VLOOKUP($A4,'S50'!$C:$BQ,40,0)</f>
        <v>#N/A</v>
      </c>
      <c r="BG4" s="107" t="e">
        <f>VLOOKUP($A4,'S50'!$C:$BQ,22,0)</f>
        <v>#N/A</v>
      </c>
      <c r="BH4" s="115" t="e">
        <f>VLOOKUP($A4,'S50'!$C:$BQ,29,0)</f>
        <v>#N/A</v>
      </c>
      <c r="BI4" s="115" t="e">
        <f>VLOOKUP($A4,'S50'!$C:$BQ,30,0)</f>
        <v>#N/A</v>
      </c>
      <c r="BJ4" s="115" t="e">
        <f>VLOOKUP($A4,'S50'!$C:$BQ,52,0)</f>
        <v>#N/A</v>
      </c>
      <c r="BK4" s="115" t="e">
        <f>VLOOKUP($A4,'S50'!$C:$BQ,59,0)</f>
        <v>#N/A</v>
      </c>
      <c r="BL4" s="115" t="e">
        <f>VLOOKUP($A4,'S50'!$C:$BQ,60,0)</f>
        <v>#N/A</v>
      </c>
    </row>
    <row r="5" spans="1:127" x14ac:dyDescent="0.2">
      <c r="A5" s="106" t="s">
        <v>58</v>
      </c>
      <c r="B5" s="107">
        <f>VLOOKUP($A5,'S0 remplacer avec S44'!$C:$BQ,32,0)</f>
        <v>102.85</v>
      </c>
      <c r="C5" s="107">
        <f>VLOOKUP($A5,'S0 remplacer avec S44'!$C:$BQ,39,0)</f>
        <v>50</v>
      </c>
      <c r="D5" s="107">
        <f>VLOOKUP($A5,'S0 remplacer avec S44'!$C:$BQ,40,0)</f>
        <v>80</v>
      </c>
      <c r="E5" s="107">
        <f>VLOOKUP($A5,'S0 remplacer avec S44'!$C:$BQ,22,0)</f>
        <v>2162.5623449999998</v>
      </c>
      <c r="F5" s="115">
        <f>VLOOKUP($A5,'S0 remplacer avec S44'!$C:$BQ,29,0)</f>
        <v>0</v>
      </c>
      <c r="G5" s="115">
        <f>VLOOKUP($A5,'S0 remplacer avec S44'!$C:$BQ,30,0)</f>
        <v>0</v>
      </c>
      <c r="H5" s="115">
        <f>VLOOKUP($A5,'S0 remplacer avec S44'!$C:$BQ,52,0)</f>
        <v>104.8</v>
      </c>
      <c r="I5" s="115">
        <f>VLOOKUP($A5,'S0 remplacer avec S44'!$C:$BQ,59,0)</f>
        <v>0</v>
      </c>
      <c r="J5" s="115">
        <f>VLOOKUP($A5,'S0 remplacer avec S44'!$C:$BQ,60,0)</f>
        <v>0</v>
      </c>
      <c r="K5" s="107" t="e">
        <f>VLOOKUP($A5,'S45'!$C:$BQ,32,0)</f>
        <v>#N/A</v>
      </c>
      <c r="L5" s="107" t="e">
        <f>VLOOKUP($A5,'S45'!$C:$BQ,39,0)</f>
        <v>#N/A</v>
      </c>
      <c r="M5" s="107" t="e">
        <f>VLOOKUP($A5,'S45'!$C:$BQ,40,0)</f>
        <v>#N/A</v>
      </c>
      <c r="N5" s="107" t="e">
        <f>VLOOKUP($A5,'S45'!$C:$BQ,22,0)</f>
        <v>#N/A</v>
      </c>
      <c r="O5" s="115" t="e">
        <f>VLOOKUP($A5,'S45'!$C:$BQ,29,0)</f>
        <v>#N/A</v>
      </c>
      <c r="P5" s="115" t="e">
        <f>VLOOKUP($A5,'S45'!$C:$BQ,30,0)</f>
        <v>#N/A</v>
      </c>
      <c r="Q5" s="115" t="e">
        <f>VLOOKUP($A5,'S45'!$C:$BQ,52,0)</f>
        <v>#N/A</v>
      </c>
      <c r="R5" s="115" t="e">
        <f>VLOOKUP($A5,'S45'!$C:$BQ,59,0)</f>
        <v>#N/A</v>
      </c>
      <c r="S5" s="115" t="e">
        <f>VLOOKUP($A5,'S45'!$C:$BQ,60,0)</f>
        <v>#N/A</v>
      </c>
      <c r="T5" s="107" t="e">
        <f>VLOOKUP($A5,'S46'!$C:$BQ,32,0)</f>
        <v>#N/A</v>
      </c>
      <c r="U5" s="107" t="e">
        <f>VLOOKUP($A5,'S46'!$C:$BQ,39,0)</f>
        <v>#N/A</v>
      </c>
      <c r="V5" s="107" t="e">
        <f>VLOOKUP($A5,'S46'!$C:$BQ,40,0)</f>
        <v>#N/A</v>
      </c>
      <c r="W5" s="107" t="e">
        <f>VLOOKUP($A5,'S46'!$C:$BQ,22,0)</f>
        <v>#N/A</v>
      </c>
      <c r="X5" s="115" t="e">
        <f>VLOOKUP($A5,'S46'!$C:$BQ,29,0)</f>
        <v>#N/A</v>
      </c>
      <c r="Y5" s="115" t="e">
        <f>VLOOKUP($A5,'S46'!$C:$BQ,30,0)</f>
        <v>#N/A</v>
      </c>
      <c r="Z5" s="115" t="e">
        <f>VLOOKUP($A5,'S46'!$C:$BQ,52,0)</f>
        <v>#N/A</v>
      </c>
      <c r="AA5" s="115" t="e">
        <f>VLOOKUP($A5,'S46'!$C:$BQ,59,0)</f>
        <v>#N/A</v>
      </c>
      <c r="AB5" s="115" t="e">
        <f>VLOOKUP($A5,'S46'!$C:$BQ,60,0)</f>
        <v>#N/A</v>
      </c>
      <c r="AC5" s="107" t="e">
        <f>VLOOKUP($A5,'S47'!$C:$BQ,32,0)</f>
        <v>#N/A</v>
      </c>
      <c r="AD5" s="107" t="e">
        <f>VLOOKUP($A5,'S47'!$C:$BQ,39,0)</f>
        <v>#N/A</v>
      </c>
      <c r="AE5" s="107" t="e">
        <f>VLOOKUP($A5,'S47'!$C:$BQ,40,0)</f>
        <v>#N/A</v>
      </c>
      <c r="AF5" s="107" t="e">
        <f>VLOOKUP($A5,'S47'!$C:$BQ,22,0)</f>
        <v>#N/A</v>
      </c>
      <c r="AG5" s="115" t="e">
        <f>VLOOKUP($A5,'S47'!$C:$BQ,29,0)</f>
        <v>#N/A</v>
      </c>
      <c r="AH5" s="115" t="e">
        <f>VLOOKUP($A5,'S47'!$C:$BQ,30,0)</f>
        <v>#N/A</v>
      </c>
      <c r="AI5" s="115" t="e">
        <f>VLOOKUP($A5,'S47'!$C:$BQ,52,0)</f>
        <v>#N/A</v>
      </c>
      <c r="AJ5" s="115" t="e">
        <f>VLOOKUP($A5,'S47'!$C:$BQ,59,0)</f>
        <v>#N/A</v>
      </c>
      <c r="AK5" s="115" t="e">
        <f>VLOOKUP($A5,'S47'!$C:$BQ,60,0)</f>
        <v>#N/A</v>
      </c>
      <c r="AL5" s="107" t="e">
        <f>VLOOKUP($A5,'S48'!$C:$BQ,32,0)</f>
        <v>#N/A</v>
      </c>
      <c r="AM5" s="107" t="e">
        <f>VLOOKUP($A5,'S48'!$C:$BQ,39,0)</f>
        <v>#N/A</v>
      </c>
      <c r="AN5" s="107" t="e">
        <f>VLOOKUP($A5,'S48'!$C:$BQ,40,0)</f>
        <v>#N/A</v>
      </c>
      <c r="AO5" s="107" t="e">
        <f>VLOOKUP($A5,'S48'!$C:$BQ,22,0)</f>
        <v>#N/A</v>
      </c>
      <c r="AP5" s="115" t="e">
        <f>VLOOKUP($A5,'S48'!$C:$BQ,29,0)</f>
        <v>#N/A</v>
      </c>
      <c r="AQ5" s="115" t="e">
        <f>VLOOKUP($A5,'S48'!$C:$BQ,30,0)</f>
        <v>#N/A</v>
      </c>
      <c r="AR5" s="115" t="e">
        <f>VLOOKUP($A5,'S48'!$C:$BQ,52,0)</f>
        <v>#N/A</v>
      </c>
      <c r="AS5" s="115" t="e">
        <f>VLOOKUP($A5,'S48'!$C:$BQ,59,0)</f>
        <v>#N/A</v>
      </c>
      <c r="AT5" s="115" t="e">
        <f>VLOOKUP($A5,'S48'!$C:$BQ,60,0)</f>
        <v>#N/A</v>
      </c>
      <c r="AU5" s="107" t="e">
        <f>VLOOKUP($A5,'S49'!$C:$BQ,32,0)</f>
        <v>#N/A</v>
      </c>
      <c r="AV5" s="107" t="e">
        <f>VLOOKUP($A5,'S49'!$C:$BQ,39,0)</f>
        <v>#N/A</v>
      </c>
      <c r="AW5" s="107" t="e">
        <f>VLOOKUP($A5,'S49'!$C:$BQ,40,0)</f>
        <v>#N/A</v>
      </c>
      <c r="AX5" s="107" t="e">
        <f>VLOOKUP($A5,'S49'!$C:$BQ,22,0)</f>
        <v>#N/A</v>
      </c>
      <c r="AY5" s="115" t="e">
        <f>VLOOKUP($A5,'S49'!$C:$BQ,29,0)</f>
        <v>#N/A</v>
      </c>
      <c r="AZ5" s="115" t="e">
        <f>VLOOKUP($A5,'S49'!$C:$BQ,30,0)</f>
        <v>#N/A</v>
      </c>
      <c r="BA5" s="115" t="e">
        <f>VLOOKUP($A5,'S49'!$C:$BQ,52,0)</f>
        <v>#N/A</v>
      </c>
      <c r="BB5" s="115" t="e">
        <f>VLOOKUP($A5,'S49'!$C:$BQ,59,0)</f>
        <v>#N/A</v>
      </c>
      <c r="BC5" s="115" t="e">
        <f>VLOOKUP($A5,'S49'!$C:$BQ,60,0)</f>
        <v>#N/A</v>
      </c>
      <c r="BD5" s="107" t="e">
        <f>VLOOKUP($A5,'S50'!$C:$BQ,32,0)</f>
        <v>#N/A</v>
      </c>
      <c r="BE5" s="107" t="e">
        <f>VLOOKUP($A5,'S50'!$C:$BQ,39,0)</f>
        <v>#N/A</v>
      </c>
      <c r="BF5" s="107" t="e">
        <f>VLOOKUP($A5,'S50'!$C:$BQ,40,0)</f>
        <v>#N/A</v>
      </c>
      <c r="BG5" s="107" t="e">
        <f>VLOOKUP($A5,'S50'!$C:$BQ,22,0)</f>
        <v>#N/A</v>
      </c>
      <c r="BH5" s="115" t="e">
        <f>VLOOKUP($A5,'S50'!$C:$BQ,29,0)</f>
        <v>#N/A</v>
      </c>
      <c r="BI5" s="115" t="e">
        <f>VLOOKUP($A5,'S50'!$C:$BQ,30,0)</f>
        <v>#N/A</v>
      </c>
      <c r="BJ5" s="115" t="e">
        <f>VLOOKUP($A5,'S50'!$C:$BQ,52,0)</f>
        <v>#N/A</v>
      </c>
      <c r="BK5" s="115" t="e">
        <f>VLOOKUP($A5,'S50'!$C:$BQ,59,0)</f>
        <v>#N/A</v>
      </c>
      <c r="BL5" s="115" t="e">
        <f>VLOOKUP($A5,'S50'!$C:$BQ,60,0)</f>
        <v>#N/A</v>
      </c>
    </row>
    <row r="6" spans="1:127" x14ac:dyDescent="0.2">
      <c r="A6" s="106" t="s">
        <v>59</v>
      </c>
      <c r="B6" s="107">
        <f>VLOOKUP($A6,'S0 remplacer avec S44'!$C:$BQ,32,0)</f>
        <v>96</v>
      </c>
      <c r="C6" s="107">
        <f>VLOOKUP($A6,'S0 remplacer avec S44'!$C:$BQ,39,0)</f>
        <v>82</v>
      </c>
      <c r="D6" s="107">
        <f>VLOOKUP($A6,'S0 remplacer avec S44'!$C:$BQ,40,0)</f>
        <v>117</v>
      </c>
      <c r="E6" s="107">
        <f>VLOOKUP($A6,'S0 remplacer avec S44'!$C:$BQ,22,0)</f>
        <v>1484.1061400000001</v>
      </c>
      <c r="F6" s="115">
        <f>VLOOKUP($A6,'S0 remplacer avec S44'!$C:$BQ,29,0)</f>
        <v>130</v>
      </c>
      <c r="G6" s="115">
        <f>VLOOKUP($A6,'S0 remplacer avec S44'!$C:$BQ,30,0)</f>
        <v>452</v>
      </c>
      <c r="H6" s="115">
        <f>VLOOKUP($A6,'S0 remplacer avec S44'!$C:$BQ,52,0)</f>
        <v>81</v>
      </c>
      <c r="I6" s="115">
        <f>VLOOKUP($A6,'S0 remplacer avec S44'!$C:$BQ,59,0)</f>
        <v>10</v>
      </c>
      <c r="J6" s="115">
        <f>VLOOKUP($A6,'S0 remplacer avec S44'!$C:$BQ,60,0)</f>
        <v>28</v>
      </c>
      <c r="K6" s="107" t="e">
        <f>VLOOKUP($A6,'S45'!$C:$BQ,32,0)</f>
        <v>#N/A</v>
      </c>
      <c r="L6" s="107" t="e">
        <f>VLOOKUP($A6,'S45'!$C:$BQ,39,0)</f>
        <v>#N/A</v>
      </c>
      <c r="M6" s="107" t="e">
        <f>VLOOKUP($A6,'S45'!$C:$BQ,40,0)</f>
        <v>#N/A</v>
      </c>
      <c r="N6" s="107" t="e">
        <f>VLOOKUP($A6,'S45'!$C:$BQ,22,0)</f>
        <v>#N/A</v>
      </c>
      <c r="O6" s="115" t="e">
        <f>VLOOKUP($A6,'S45'!$C:$BQ,29,0)</f>
        <v>#N/A</v>
      </c>
      <c r="P6" s="115" t="e">
        <f>VLOOKUP($A6,'S45'!$C:$BQ,30,0)</f>
        <v>#N/A</v>
      </c>
      <c r="Q6" s="115" t="e">
        <f>VLOOKUP($A6,'S45'!$C:$BQ,52,0)</f>
        <v>#N/A</v>
      </c>
      <c r="R6" s="115" t="e">
        <f>VLOOKUP($A6,'S45'!$C:$BQ,59,0)</f>
        <v>#N/A</v>
      </c>
      <c r="S6" s="115" t="e">
        <f>VLOOKUP($A6,'S45'!$C:$BQ,60,0)</f>
        <v>#N/A</v>
      </c>
      <c r="T6" s="107" t="e">
        <f>VLOOKUP($A6,'S46'!$C:$BQ,32,0)</f>
        <v>#N/A</v>
      </c>
      <c r="U6" s="107" t="e">
        <f>VLOOKUP($A6,'S46'!$C:$BQ,39,0)</f>
        <v>#N/A</v>
      </c>
      <c r="V6" s="107" t="e">
        <f>VLOOKUP($A6,'S46'!$C:$BQ,40,0)</f>
        <v>#N/A</v>
      </c>
      <c r="W6" s="107" t="e">
        <f>VLOOKUP($A6,'S46'!$C:$BQ,22,0)</f>
        <v>#N/A</v>
      </c>
      <c r="X6" s="115" t="e">
        <f>VLOOKUP($A6,'S46'!$C:$BQ,29,0)</f>
        <v>#N/A</v>
      </c>
      <c r="Y6" s="115" t="e">
        <f>VLOOKUP($A6,'S46'!$C:$BQ,30,0)</f>
        <v>#N/A</v>
      </c>
      <c r="Z6" s="115" t="e">
        <f>VLOOKUP($A6,'S46'!$C:$BQ,52,0)</f>
        <v>#N/A</v>
      </c>
      <c r="AA6" s="115" t="e">
        <f>VLOOKUP($A6,'S46'!$C:$BQ,59,0)</f>
        <v>#N/A</v>
      </c>
      <c r="AB6" s="115" t="e">
        <f>VLOOKUP($A6,'S46'!$C:$BQ,60,0)</f>
        <v>#N/A</v>
      </c>
      <c r="AC6" s="107" t="e">
        <f>VLOOKUP($A6,'S47'!$C:$BQ,32,0)</f>
        <v>#N/A</v>
      </c>
      <c r="AD6" s="107" t="e">
        <f>VLOOKUP($A6,'S47'!$C:$BQ,39,0)</f>
        <v>#N/A</v>
      </c>
      <c r="AE6" s="107" t="e">
        <f>VLOOKUP($A6,'S47'!$C:$BQ,40,0)</f>
        <v>#N/A</v>
      </c>
      <c r="AF6" s="107" t="e">
        <f>VLOOKUP($A6,'S47'!$C:$BQ,22,0)</f>
        <v>#N/A</v>
      </c>
      <c r="AG6" s="115" t="e">
        <f>VLOOKUP($A6,'S47'!$C:$BQ,29,0)</f>
        <v>#N/A</v>
      </c>
      <c r="AH6" s="115" t="e">
        <f>VLOOKUP($A6,'S47'!$C:$BQ,30,0)</f>
        <v>#N/A</v>
      </c>
      <c r="AI6" s="115" t="e">
        <f>VLOOKUP($A6,'S47'!$C:$BQ,52,0)</f>
        <v>#N/A</v>
      </c>
      <c r="AJ6" s="115" t="e">
        <f>VLOOKUP($A6,'S47'!$C:$BQ,59,0)</f>
        <v>#N/A</v>
      </c>
      <c r="AK6" s="115" t="e">
        <f>VLOOKUP($A6,'S47'!$C:$BQ,60,0)</f>
        <v>#N/A</v>
      </c>
      <c r="AL6" s="107" t="e">
        <f>VLOOKUP($A6,'S48'!$C:$BQ,32,0)</f>
        <v>#N/A</v>
      </c>
      <c r="AM6" s="107" t="e">
        <f>VLOOKUP($A6,'S48'!$C:$BQ,39,0)</f>
        <v>#N/A</v>
      </c>
      <c r="AN6" s="107" t="e">
        <f>VLOOKUP($A6,'S48'!$C:$BQ,40,0)</f>
        <v>#N/A</v>
      </c>
      <c r="AO6" s="107" t="e">
        <f>VLOOKUP($A6,'S48'!$C:$BQ,22,0)</f>
        <v>#N/A</v>
      </c>
      <c r="AP6" s="115" t="e">
        <f>VLOOKUP($A6,'S48'!$C:$BQ,29,0)</f>
        <v>#N/A</v>
      </c>
      <c r="AQ6" s="115" t="e">
        <f>VLOOKUP($A6,'S48'!$C:$BQ,30,0)</f>
        <v>#N/A</v>
      </c>
      <c r="AR6" s="115" t="e">
        <f>VLOOKUP($A6,'S48'!$C:$BQ,52,0)</f>
        <v>#N/A</v>
      </c>
      <c r="AS6" s="115" t="e">
        <f>VLOOKUP($A6,'S48'!$C:$BQ,59,0)</f>
        <v>#N/A</v>
      </c>
      <c r="AT6" s="115" t="e">
        <f>VLOOKUP($A6,'S48'!$C:$BQ,60,0)</f>
        <v>#N/A</v>
      </c>
      <c r="AU6" s="107" t="e">
        <f>VLOOKUP($A6,'S49'!$C:$BQ,32,0)</f>
        <v>#N/A</v>
      </c>
      <c r="AV6" s="107" t="e">
        <f>VLOOKUP($A6,'S49'!$C:$BQ,39,0)</f>
        <v>#N/A</v>
      </c>
      <c r="AW6" s="107" t="e">
        <f>VLOOKUP($A6,'S49'!$C:$BQ,40,0)</f>
        <v>#N/A</v>
      </c>
      <c r="AX6" s="107" t="e">
        <f>VLOOKUP($A6,'S49'!$C:$BQ,22,0)</f>
        <v>#N/A</v>
      </c>
      <c r="AY6" s="115" t="e">
        <f>VLOOKUP($A6,'S49'!$C:$BQ,29,0)</f>
        <v>#N/A</v>
      </c>
      <c r="AZ6" s="115" t="e">
        <f>VLOOKUP($A6,'S49'!$C:$BQ,30,0)</f>
        <v>#N/A</v>
      </c>
      <c r="BA6" s="115" t="e">
        <f>VLOOKUP($A6,'S49'!$C:$BQ,52,0)</f>
        <v>#N/A</v>
      </c>
      <c r="BB6" s="115" t="e">
        <f>VLOOKUP($A6,'S49'!$C:$BQ,59,0)</f>
        <v>#N/A</v>
      </c>
      <c r="BC6" s="115" t="e">
        <f>VLOOKUP($A6,'S49'!$C:$BQ,60,0)</f>
        <v>#N/A</v>
      </c>
      <c r="BD6" s="107" t="e">
        <f>VLOOKUP($A6,'S50'!$C:$BQ,32,0)</f>
        <v>#N/A</v>
      </c>
      <c r="BE6" s="107" t="e">
        <f>VLOOKUP($A6,'S50'!$C:$BQ,39,0)</f>
        <v>#N/A</v>
      </c>
      <c r="BF6" s="107" t="e">
        <f>VLOOKUP($A6,'S50'!$C:$BQ,40,0)</f>
        <v>#N/A</v>
      </c>
      <c r="BG6" s="107" t="e">
        <f>VLOOKUP($A6,'S50'!$C:$BQ,22,0)</f>
        <v>#N/A</v>
      </c>
      <c r="BH6" s="115" t="e">
        <f>VLOOKUP($A6,'S50'!$C:$BQ,29,0)</f>
        <v>#N/A</v>
      </c>
      <c r="BI6" s="115" t="e">
        <f>VLOOKUP($A6,'S50'!$C:$BQ,30,0)</f>
        <v>#N/A</v>
      </c>
      <c r="BJ6" s="115" t="e">
        <f>VLOOKUP($A6,'S50'!$C:$BQ,52,0)</f>
        <v>#N/A</v>
      </c>
      <c r="BK6" s="115" t="e">
        <f>VLOOKUP($A6,'S50'!$C:$BQ,59,0)</f>
        <v>#N/A</v>
      </c>
      <c r="BL6" s="115" t="e">
        <f>VLOOKUP($A6,'S50'!$C:$BQ,60,0)</f>
        <v>#N/A</v>
      </c>
    </row>
    <row r="7" spans="1:127" x14ac:dyDescent="0.2">
      <c r="A7" s="106" t="s">
        <v>60</v>
      </c>
      <c r="B7" s="107">
        <f>VLOOKUP($A7,'S0 remplacer avec S44'!$C:$BQ,32,0)</f>
        <v>409.2</v>
      </c>
      <c r="C7" s="107">
        <f>VLOOKUP($A7,'S0 remplacer avec S44'!$C:$BQ,39,0)</f>
        <v>12</v>
      </c>
      <c r="D7" s="107">
        <f>VLOOKUP($A7,'S0 remplacer avec S44'!$C:$BQ,40,0)</f>
        <v>96</v>
      </c>
      <c r="E7" s="107">
        <f>VLOOKUP($A7,'S0 remplacer avec S44'!$C:$BQ,22,0)</f>
        <v>4894.3292799999999</v>
      </c>
      <c r="F7" s="115">
        <f>VLOOKUP($A7,'S0 remplacer avec S44'!$C:$BQ,29,0)</f>
        <v>0</v>
      </c>
      <c r="G7" s="115">
        <f>VLOOKUP($A7,'S0 remplacer avec S44'!$C:$BQ,30,0)</f>
        <v>0</v>
      </c>
      <c r="H7" s="115">
        <f>VLOOKUP($A7,'S0 remplacer avec S44'!$C:$BQ,52,0)</f>
        <v>235.8</v>
      </c>
      <c r="I7" s="115">
        <f>VLOOKUP($A7,'S0 remplacer avec S44'!$C:$BQ,59,0)</f>
        <v>0</v>
      </c>
      <c r="J7" s="115">
        <f>VLOOKUP($A7,'S0 remplacer avec S44'!$C:$BQ,60,0)</f>
        <v>21</v>
      </c>
      <c r="K7" s="107" t="e">
        <f>VLOOKUP($A7,'S45'!$C:$BQ,32,0)</f>
        <v>#N/A</v>
      </c>
      <c r="L7" s="107" t="e">
        <f>VLOOKUP($A7,'S45'!$C:$BQ,39,0)</f>
        <v>#N/A</v>
      </c>
      <c r="M7" s="107" t="e">
        <f>VLOOKUP($A7,'S45'!$C:$BQ,40,0)</f>
        <v>#N/A</v>
      </c>
      <c r="N7" s="107" t="e">
        <f>VLOOKUP($A7,'S45'!$C:$BQ,22,0)</f>
        <v>#N/A</v>
      </c>
      <c r="O7" s="115" t="e">
        <f>VLOOKUP($A7,'S45'!$C:$BQ,29,0)</f>
        <v>#N/A</v>
      </c>
      <c r="P7" s="115" t="e">
        <f>VLOOKUP($A7,'S45'!$C:$BQ,30,0)</f>
        <v>#N/A</v>
      </c>
      <c r="Q7" s="115" t="e">
        <f>VLOOKUP($A7,'S45'!$C:$BQ,52,0)</f>
        <v>#N/A</v>
      </c>
      <c r="R7" s="115" t="e">
        <f>VLOOKUP($A7,'S45'!$C:$BQ,59,0)</f>
        <v>#N/A</v>
      </c>
      <c r="S7" s="115" t="e">
        <f>VLOOKUP($A7,'S45'!$C:$BQ,60,0)</f>
        <v>#N/A</v>
      </c>
      <c r="T7" s="107" t="e">
        <f>VLOOKUP($A7,'S46'!$C:$BQ,32,0)</f>
        <v>#N/A</v>
      </c>
      <c r="U7" s="107" t="e">
        <f>VLOOKUP($A7,'S46'!$C:$BQ,39,0)</f>
        <v>#N/A</v>
      </c>
      <c r="V7" s="107" t="e">
        <f>VLOOKUP($A7,'S46'!$C:$BQ,40,0)</f>
        <v>#N/A</v>
      </c>
      <c r="W7" s="107" t="e">
        <f>VLOOKUP($A7,'S46'!$C:$BQ,22,0)</f>
        <v>#N/A</v>
      </c>
      <c r="X7" s="115" t="e">
        <f>VLOOKUP($A7,'S46'!$C:$BQ,29,0)</f>
        <v>#N/A</v>
      </c>
      <c r="Y7" s="115" t="e">
        <f>VLOOKUP($A7,'S46'!$C:$BQ,30,0)</f>
        <v>#N/A</v>
      </c>
      <c r="Z7" s="115" t="e">
        <f>VLOOKUP($A7,'S46'!$C:$BQ,52,0)</f>
        <v>#N/A</v>
      </c>
      <c r="AA7" s="115" t="e">
        <f>VLOOKUP($A7,'S46'!$C:$BQ,59,0)</f>
        <v>#N/A</v>
      </c>
      <c r="AB7" s="115" t="e">
        <f>VLOOKUP($A7,'S46'!$C:$BQ,60,0)</f>
        <v>#N/A</v>
      </c>
      <c r="AC7" s="107" t="e">
        <f>VLOOKUP($A7,'S47'!$C:$BQ,32,0)</f>
        <v>#N/A</v>
      </c>
      <c r="AD7" s="107" t="e">
        <f>VLOOKUP($A7,'S47'!$C:$BQ,39,0)</f>
        <v>#N/A</v>
      </c>
      <c r="AE7" s="107" t="e">
        <f>VLOOKUP($A7,'S47'!$C:$BQ,40,0)</f>
        <v>#N/A</v>
      </c>
      <c r="AF7" s="107" t="e">
        <f>VLOOKUP($A7,'S47'!$C:$BQ,22,0)</f>
        <v>#N/A</v>
      </c>
      <c r="AG7" s="115" t="e">
        <f>VLOOKUP($A7,'S47'!$C:$BQ,29,0)</f>
        <v>#N/A</v>
      </c>
      <c r="AH7" s="115" t="e">
        <f>VLOOKUP($A7,'S47'!$C:$BQ,30,0)</f>
        <v>#N/A</v>
      </c>
      <c r="AI7" s="115" t="e">
        <f>VLOOKUP($A7,'S47'!$C:$BQ,52,0)</f>
        <v>#N/A</v>
      </c>
      <c r="AJ7" s="115" t="e">
        <f>VLOOKUP($A7,'S47'!$C:$BQ,59,0)</f>
        <v>#N/A</v>
      </c>
      <c r="AK7" s="115" t="e">
        <f>VLOOKUP($A7,'S47'!$C:$BQ,60,0)</f>
        <v>#N/A</v>
      </c>
      <c r="AL7" s="107" t="e">
        <f>VLOOKUP($A7,'S48'!$C:$BQ,32,0)</f>
        <v>#N/A</v>
      </c>
      <c r="AM7" s="107" t="e">
        <f>VLOOKUP($A7,'S48'!$C:$BQ,39,0)</f>
        <v>#N/A</v>
      </c>
      <c r="AN7" s="107" t="e">
        <f>VLOOKUP($A7,'S48'!$C:$BQ,40,0)</f>
        <v>#N/A</v>
      </c>
      <c r="AO7" s="107" t="e">
        <f>VLOOKUP($A7,'S48'!$C:$BQ,22,0)</f>
        <v>#N/A</v>
      </c>
      <c r="AP7" s="115" t="e">
        <f>VLOOKUP($A7,'S48'!$C:$BQ,29,0)</f>
        <v>#N/A</v>
      </c>
      <c r="AQ7" s="115" t="e">
        <f>VLOOKUP($A7,'S48'!$C:$BQ,30,0)</f>
        <v>#N/A</v>
      </c>
      <c r="AR7" s="115" t="e">
        <f>VLOOKUP($A7,'S48'!$C:$BQ,52,0)</f>
        <v>#N/A</v>
      </c>
      <c r="AS7" s="115" t="e">
        <f>VLOOKUP($A7,'S48'!$C:$BQ,59,0)</f>
        <v>#N/A</v>
      </c>
      <c r="AT7" s="115" t="e">
        <f>VLOOKUP($A7,'S48'!$C:$BQ,60,0)</f>
        <v>#N/A</v>
      </c>
      <c r="AU7" s="107" t="e">
        <f>VLOOKUP($A7,'S49'!$C:$BQ,32,0)</f>
        <v>#N/A</v>
      </c>
      <c r="AV7" s="107" t="e">
        <f>VLOOKUP($A7,'S49'!$C:$BQ,39,0)</f>
        <v>#N/A</v>
      </c>
      <c r="AW7" s="107" t="e">
        <f>VLOOKUP($A7,'S49'!$C:$BQ,40,0)</f>
        <v>#N/A</v>
      </c>
      <c r="AX7" s="107" t="e">
        <f>VLOOKUP($A7,'S49'!$C:$BQ,22,0)</f>
        <v>#N/A</v>
      </c>
      <c r="AY7" s="115" t="e">
        <f>VLOOKUP($A7,'S49'!$C:$BQ,29,0)</f>
        <v>#N/A</v>
      </c>
      <c r="AZ7" s="115" t="e">
        <f>VLOOKUP($A7,'S49'!$C:$BQ,30,0)</f>
        <v>#N/A</v>
      </c>
      <c r="BA7" s="115" t="e">
        <f>VLOOKUP($A7,'S49'!$C:$BQ,52,0)</f>
        <v>#N/A</v>
      </c>
      <c r="BB7" s="115" t="e">
        <f>VLOOKUP($A7,'S49'!$C:$BQ,59,0)</f>
        <v>#N/A</v>
      </c>
      <c r="BC7" s="115" t="e">
        <f>VLOOKUP($A7,'S49'!$C:$BQ,60,0)</f>
        <v>#N/A</v>
      </c>
      <c r="BD7" s="107" t="e">
        <f>VLOOKUP($A7,'S50'!$C:$BQ,32,0)</f>
        <v>#N/A</v>
      </c>
      <c r="BE7" s="107" t="e">
        <f>VLOOKUP($A7,'S50'!$C:$BQ,39,0)</f>
        <v>#N/A</v>
      </c>
      <c r="BF7" s="107" t="e">
        <f>VLOOKUP($A7,'S50'!$C:$BQ,40,0)</f>
        <v>#N/A</v>
      </c>
      <c r="BG7" s="107" t="e">
        <f>VLOOKUP($A7,'S50'!$C:$BQ,22,0)</f>
        <v>#N/A</v>
      </c>
      <c r="BH7" s="115" t="e">
        <f>VLOOKUP($A7,'S50'!$C:$BQ,29,0)</f>
        <v>#N/A</v>
      </c>
      <c r="BI7" s="115" t="e">
        <f>VLOOKUP($A7,'S50'!$C:$BQ,30,0)</f>
        <v>#N/A</v>
      </c>
      <c r="BJ7" s="115" t="e">
        <f>VLOOKUP($A7,'S50'!$C:$BQ,52,0)</f>
        <v>#N/A</v>
      </c>
      <c r="BK7" s="115" t="e">
        <f>VLOOKUP($A7,'S50'!$C:$BQ,59,0)</f>
        <v>#N/A</v>
      </c>
      <c r="BL7" s="115" t="e">
        <f>VLOOKUP($A7,'S50'!$C:$BQ,60,0)</f>
        <v>#N/A</v>
      </c>
    </row>
    <row r="8" spans="1:127" x14ac:dyDescent="0.2">
      <c r="A8" s="106" t="s">
        <v>61</v>
      </c>
      <c r="B8" s="107">
        <f>VLOOKUP($A8,'S0 remplacer avec S44'!$C:$BQ,32,0)</f>
        <v>128.5</v>
      </c>
      <c r="C8" s="107">
        <f>VLOOKUP($A8,'S0 remplacer avec S44'!$C:$BQ,39,0)</f>
        <v>3</v>
      </c>
      <c r="D8" s="107">
        <f>VLOOKUP($A8,'S0 remplacer avec S44'!$C:$BQ,40,0)</f>
        <v>29</v>
      </c>
      <c r="E8" s="107">
        <f>VLOOKUP($A8,'S0 remplacer avec S44'!$C:$BQ,22,0)</f>
        <v>1240.9584500000001</v>
      </c>
      <c r="F8" s="115">
        <f>VLOOKUP($A8,'S0 remplacer avec S44'!$C:$BQ,29,0)</f>
        <v>0</v>
      </c>
      <c r="G8" s="115">
        <f>VLOOKUP($A8,'S0 remplacer avec S44'!$C:$BQ,30,0)</f>
        <v>189</v>
      </c>
      <c r="H8" s="115">
        <f>VLOOKUP($A8,'S0 remplacer avec S44'!$C:$BQ,52,0)</f>
        <v>81.8</v>
      </c>
      <c r="I8" s="115">
        <f>VLOOKUP($A8,'S0 remplacer avec S44'!$C:$BQ,59,0)</f>
        <v>0</v>
      </c>
      <c r="J8" s="115">
        <f>VLOOKUP($A8,'S0 remplacer avec S44'!$C:$BQ,60,0)</f>
        <v>0</v>
      </c>
      <c r="K8" s="107" t="e">
        <f>VLOOKUP($A8,'S45'!$C:$BQ,32,0)</f>
        <v>#N/A</v>
      </c>
      <c r="L8" s="107" t="e">
        <f>VLOOKUP($A8,'S45'!$C:$BQ,39,0)</f>
        <v>#N/A</v>
      </c>
      <c r="M8" s="107" t="e">
        <f>VLOOKUP($A8,'S45'!$C:$BQ,40,0)</f>
        <v>#N/A</v>
      </c>
      <c r="N8" s="107" t="e">
        <f>VLOOKUP($A8,'S45'!$C:$BQ,22,0)</f>
        <v>#N/A</v>
      </c>
      <c r="O8" s="115" t="e">
        <f>VLOOKUP($A8,'S45'!$C:$BQ,29,0)</f>
        <v>#N/A</v>
      </c>
      <c r="P8" s="115" t="e">
        <f>VLOOKUP($A8,'S45'!$C:$BQ,30,0)</f>
        <v>#N/A</v>
      </c>
      <c r="Q8" s="115" t="e">
        <f>VLOOKUP($A8,'S45'!$C:$BQ,52,0)</f>
        <v>#N/A</v>
      </c>
      <c r="R8" s="115" t="e">
        <f>VLOOKUP($A8,'S45'!$C:$BQ,59,0)</f>
        <v>#N/A</v>
      </c>
      <c r="S8" s="115" t="e">
        <f>VLOOKUP($A8,'S45'!$C:$BQ,60,0)</f>
        <v>#N/A</v>
      </c>
      <c r="T8" s="107" t="e">
        <f>VLOOKUP($A8,'S46'!$C:$BQ,32,0)</f>
        <v>#N/A</v>
      </c>
      <c r="U8" s="107" t="e">
        <f>VLOOKUP($A8,'S46'!$C:$BQ,39,0)</f>
        <v>#N/A</v>
      </c>
      <c r="V8" s="107" t="e">
        <f>VLOOKUP($A8,'S46'!$C:$BQ,40,0)</f>
        <v>#N/A</v>
      </c>
      <c r="W8" s="107" t="e">
        <f>VLOOKUP($A8,'S46'!$C:$BQ,22,0)</f>
        <v>#N/A</v>
      </c>
      <c r="X8" s="115" t="e">
        <f>VLOOKUP($A8,'S46'!$C:$BQ,29,0)</f>
        <v>#N/A</v>
      </c>
      <c r="Y8" s="115" t="e">
        <f>VLOOKUP($A8,'S46'!$C:$BQ,30,0)</f>
        <v>#N/A</v>
      </c>
      <c r="Z8" s="115" t="e">
        <f>VLOOKUP($A8,'S46'!$C:$BQ,52,0)</f>
        <v>#N/A</v>
      </c>
      <c r="AA8" s="115" t="e">
        <f>VLOOKUP($A8,'S46'!$C:$BQ,59,0)</f>
        <v>#N/A</v>
      </c>
      <c r="AB8" s="115" t="e">
        <f>VLOOKUP($A8,'S46'!$C:$BQ,60,0)</f>
        <v>#N/A</v>
      </c>
      <c r="AC8" s="107" t="e">
        <f>VLOOKUP($A8,'S47'!$C:$BQ,32,0)</f>
        <v>#N/A</v>
      </c>
      <c r="AD8" s="107" t="e">
        <f>VLOOKUP($A8,'S47'!$C:$BQ,39,0)</f>
        <v>#N/A</v>
      </c>
      <c r="AE8" s="107" t="e">
        <f>VLOOKUP($A8,'S47'!$C:$BQ,40,0)</f>
        <v>#N/A</v>
      </c>
      <c r="AF8" s="107" t="e">
        <f>VLOOKUP($A8,'S47'!$C:$BQ,22,0)</f>
        <v>#N/A</v>
      </c>
      <c r="AG8" s="115" t="e">
        <f>VLOOKUP($A8,'S47'!$C:$BQ,29,0)</f>
        <v>#N/A</v>
      </c>
      <c r="AH8" s="115" t="e">
        <f>VLOOKUP($A8,'S47'!$C:$BQ,30,0)</f>
        <v>#N/A</v>
      </c>
      <c r="AI8" s="115" t="e">
        <f>VLOOKUP($A8,'S47'!$C:$BQ,52,0)</f>
        <v>#N/A</v>
      </c>
      <c r="AJ8" s="115" t="e">
        <f>VLOOKUP($A8,'S47'!$C:$BQ,59,0)</f>
        <v>#N/A</v>
      </c>
      <c r="AK8" s="115" t="e">
        <f>VLOOKUP($A8,'S47'!$C:$BQ,60,0)</f>
        <v>#N/A</v>
      </c>
      <c r="AL8" s="107" t="e">
        <f>VLOOKUP($A8,'S48'!$C:$BQ,32,0)</f>
        <v>#N/A</v>
      </c>
      <c r="AM8" s="107" t="e">
        <f>VLOOKUP($A8,'S48'!$C:$BQ,39,0)</f>
        <v>#N/A</v>
      </c>
      <c r="AN8" s="107" t="e">
        <f>VLOOKUP($A8,'S48'!$C:$BQ,40,0)</f>
        <v>#N/A</v>
      </c>
      <c r="AO8" s="107" t="e">
        <f>VLOOKUP($A8,'S48'!$C:$BQ,22,0)</f>
        <v>#N/A</v>
      </c>
      <c r="AP8" s="115" t="e">
        <f>VLOOKUP($A8,'S48'!$C:$BQ,29,0)</f>
        <v>#N/A</v>
      </c>
      <c r="AQ8" s="115" t="e">
        <f>VLOOKUP($A8,'S48'!$C:$BQ,30,0)</f>
        <v>#N/A</v>
      </c>
      <c r="AR8" s="115" t="e">
        <f>VLOOKUP($A8,'S48'!$C:$BQ,52,0)</f>
        <v>#N/A</v>
      </c>
      <c r="AS8" s="115" t="e">
        <f>VLOOKUP($A8,'S48'!$C:$BQ,59,0)</f>
        <v>#N/A</v>
      </c>
      <c r="AT8" s="115" t="e">
        <f>VLOOKUP($A8,'S48'!$C:$BQ,60,0)</f>
        <v>#N/A</v>
      </c>
      <c r="AU8" s="107" t="e">
        <f>VLOOKUP($A8,'S49'!$C:$BQ,32,0)</f>
        <v>#N/A</v>
      </c>
      <c r="AV8" s="107" t="e">
        <f>VLOOKUP($A8,'S49'!$C:$BQ,39,0)</f>
        <v>#N/A</v>
      </c>
      <c r="AW8" s="107" t="e">
        <f>VLOOKUP($A8,'S49'!$C:$BQ,40,0)</f>
        <v>#N/A</v>
      </c>
      <c r="AX8" s="107" t="e">
        <f>VLOOKUP($A8,'S49'!$C:$BQ,22,0)</f>
        <v>#N/A</v>
      </c>
      <c r="AY8" s="115" t="e">
        <f>VLOOKUP($A8,'S49'!$C:$BQ,29,0)</f>
        <v>#N/A</v>
      </c>
      <c r="AZ8" s="115" t="e">
        <f>VLOOKUP($A8,'S49'!$C:$BQ,30,0)</f>
        <v>#N/A</v>
      </c>
      <c r="BA8" s="115" t="e">
        <f>VLOOKUP($A8,'S49'!$C:$BQ,52,0)</f>
        <v>#N/A</v>
      </c>
      <c r="BB8" s="115" t="e">
        <f>VLOOKUP($A8,'S49'!$C:$BQ,59,0)</f>
        <v>#N/A</v>
      </c>
      <c r="BC8" s="115" t="e">
        <f>VLOOKUP($A8,'S49'!$C:$BQ,60,0)</f>
        <v>#N/A</v>
      </c>
      <c r="BD8" s="107" t="e">
        <f>VLOOKUP($A8,'S50'!$C:$BQ,32,0)</f>
        <v>#N/A</v>
      </c>
      <c r="BE8" s="107" t="e">
        <f>VLOOKUP($A8,'S50'!$C:$BQ,39,0)</f>
        <v>#N/A</v>
      </c>
      <c r="BF8" s="107" t="e">
        <f>VLOOKUP($A8,'S50'!$C:$BQ,40,0)</f>
        <v>#N/A</v>
      </c>
      <c r="BG8" s="107" t="e">
        <f>VLOOKUP($A8,'S50'!$C:$BQ,22,0)</f>
        <v>#N/A</v>
      </c>
      <c r="BH8" s="115" t="e">
        <f>VLOOKUP($A8,'S50'!$C:$BQ,29,0)</f>
        <v>#N/A</v>
      </c>
      <c r="BI8" s="115" t="e">
        <f>VLOOKUP($A8,'S50'!$C:$BQ,30,0)</f>
        <v>#N/A</v>
      </c>
      <c r="BJ8" s="115" t="e">
        <f>VLOOKUP($A8,'S50'!$C:$BQ,52,0)</f>
        <v>#N/A</v>
      </c>
      <c r="BK8" s="115" t="e">
        <f>VLOOKUP($A8,'S50'!$C:$BQ,59,0)</f>
        <v>#N/A</v>
      </c>
      <c r="BL8" s="115" t="e">
        <f>VLOOKUP($A8,'S50'!$C:$BQ,60,0)</f>
        <v>#N/A</v>
      </c>
    </row>
    <row r="9" spans="1:127" x14ac:dyDescent="0.2">
      <c r="A9" s="106" t="s">
        <v>62</v>
      </c>
      <c r="B9" s="107">
        <f>VLOOKUP($A9,'S0 remplacer avec S44'!$C:$BQ,32,0)</f>
        <v>290.89999999999998</v>
      </c>
      <c r="C9" s="107">
        <f>VLOOKUP($A9,'S0 remplacer avec S44'!$C:$BQ,39,0)</f>
        <v>51</v>
      </c>
      <c r="D9" s="107">
        <f>VLOOKUP($A9,'S0 remplacer avec S44'!$C:$BQ,40,0)</f>
        <v>119</v>
      </c>
      <c r="E9" s="107">
        <f>VLOOKUP($A9,'S0 remplacer avec S44'!$C:$BQ,22,0)</f>
        <v>3185.6837999999998</v>
      </c>
      <c r="F9" s="115">
        <f>VLOOKUP($A9,'S0 remplacer avec S44'!$C:$BQ,29,0)</f>
        <v>0</v>
      </c>
      <c r="G9" s="115">
        <f>VLOOKUP($A9,'S0 remplacer avec S44'!$C:$BQ,30,0)</f>
        <v>539</v>
      </c>
      <c r="H9" s="115">
        <f>VLOOKUP($A9,'S0 remplacer avec S44'!$C:$BQ,52,0)</f>
        <v>198.2</v>
      </c>
      <c r="I9" s="115">
        <f>VLOOKUP($A9,'S0 remplacer avec S44'!$C:$BQ,59,0)</f>
        <v>0</v>
      </c>
      <c r="J9" s="115">
        <f>VLOOKUP($A9,'S0 remplacer avec S44'!$C:$BQ,60,0)</f>
        <v>10</v>
      </c>
      <c r="K9" s="107" t="e">
        <f>VLOOKUP($A9,'S45'!$C:$BQ,32,0)</f>
        <v>#N/A</v>
      </c>
      <c r="L9" s="107" t="e">
        <f>VLOOKUP($A9,'S45'!$C:$BQ,39,0)</f>
        <v>#N/A</v>
      </c>
      <c r="M9" s="107" t="e">
        <f>VLOOKUP($A9,'S45'!$C:$BQ,40,0)</f>
        <v>#N/A</v>
      </c>
      <c r="N9" s="107" t="e">
        <f>VLOOKUP($A9,'S45'!$C:$BQ,22,0)</f>
        <v>#N/A</v>
      </c>
      <c r="O9" s="115" t="e">
        <f>VLOOKUP($A9,'S45'!$C:$BQ,29,0)</f>
        <v>#N/A</v>
      </c>
      <c r="P9" s="115" t="e">
        <f>VLOOKUP($A9,'S45'!$C:$BQ,30,0)</f>
        <v>#N/A</v>
      </c>
      <c r="Q9" s="115" t="e">
        <f>VLOOKUP($A9,'S45'!$C:$BQ,52,0)</f>
        <v>#N/A</v>
      </c>
      <c r="R9" s="115" t="e">
        <f>VLOOKUP($A9,'S45'!$C:$BQ,59,0)</f>
        <v>#N/A</v>
      </c>
      <c r="S9" s="115" t="e">
        <f>VLOOKUP($A9,'S45'!$C:$BQ,60,0)</f>
        <v>#N/A</v>
      </c>
      <c r="T9" s="107" t="e">
        <f>VLOOKUP($A9,'S46'!$C:$BQ,32,0)</f>
        <v>#N/A</v>
      </c>
      <c r="U9" s="107" t="e">
        <f>VLOOKUP($A9,'S46'!$C:$BQ,39,0)</f>
        <v>#N/A</v>
      </c>
      <c r="V9" s="107" t="e">
        <f>VLOOKUP($A9,'S46'!$C:$BQ,40,0)</f>
        <v>#N/A</v>
      </c>
      <c r="W9" s="107" t="e">
        <f>VLOOKUP($A9,'S46'!$C:$BQ,22,0)</f>
        <v>#N/A</v>
      </c>
      <c r="X9" s="115" t="e">
        <f>VLOOKUP($A9,'S46'!$C:$BQ,29,0)</f>
        <v>#N/A</v>
      </c>
      <c r="Y9" s="115" t="e">
        <f>VLOOKUP($A9,'S46'!$C:$BQ,30,0)</f>
        <v>#N/A</v>
      </c>
      <c r="Z9" s="115" t="e">
        <f>VLOOKUP($A9,'S46'!$C:$BQ,52,0)</f>
        <v>#N/A</v>
      </c>
      <c r="AA9" s="115" t="e">
        <f>VLOOKUP($A9,'S46'!$C:$BQ,59,0)</f>
        <v>#N/A</v>
      </c>
      <c r="AB9" s="115" t="e">
        <f>VLOOKUP($A9,'S46'!$C:$BQ,60,0)</f>
        <v>#N/A</v>
      </c>
      <c r="AC9" s="107" t="e">
        <f>VLOOKUP($A9,'S47'!$C:$BQ,32,0)</f>
        <v>#N/A</v>
      </c>
      <c r="AD9" s="107" t="e">
        <f>VLOOKUP($A9,'S47'!$C:$BQ,39,0)</f>
        <v>#N/A</v>
      </c>
      <c r="AE9" s="107" t="e">
        <f>VLOOKUP($A9,'S47'!$C:$BQ,40,0)</f>
        <v>#N/A</v>
      </c>
      <c r="AF9" s="107" t="e">
        <f>VLOOKUP($A9,'S47'!$C:$BQ,22,0)</f>
        <v>#N/A</v>
      </c>
      <c r="AG9" s="115" t="e">
        <f>VLOOKUP($A9,'S47'!$C:$BQ,29,0)</f>
        <v>#N/A</v>
      </c>
      <c r="AH9" s="115" t="e">
        <f>VLOOKUP($A9,'S47'!$C:$BQ,30,0)</f>
        <v>#N/A</v>
      </c>
      <c r="AI9" s="115" t="e">
        <f>VLOOKUP($A9,'S47'!$C:$BQ,52,0)</f>
        <v>#N/A</v>
      </c>
      <c r="AJ9" s="115" t="e">
        <f>VLOOKUP($A9,'S47'!$C:$BQ,59,0)</f>
        <v>#N/A</v>
      </c>
      <c r="AK9" s="115" t="e">
        <f>VLOOKUP($A9,'S47'!$C:$BQ,60,0)</f>
        <v>#N/A</v>
      </c>
      <c r="AL9" s="107" t="e">
        <f>VLOOKUP($A9,'S48'!$C:$BQ,32,0)</f>
        <v>#N/A</v>
      </c>
      <c r="AM9" s="107" t="e">
        <f>VLOOKUP($A9,'S48'!$C:$BQ,39,0)</f>
        <v>#N/A</v>
      </c>
      <c r="AN9" s="107" t="e">
        <f>VLOOKUP($A9,'S48'!$C:$BQ,40,0)</f>
        <v>#N/A</v>
      </c>
      <c r="AO9" s="107" t="e">
        <f>VLOOKUP($A9,'S48'!$C:$BQ,22,0)</f>
        <v>#N/A</v>
      </c>
      <c r="AP9" s="115" t="e">
        <f>VLOOKUP($A9,'S48'!$C:$BQ,29,0)</f>
        <v>#N/A</v>
      </c>
      <c r="AQ9" s="115" t="e">
        <f>VLOOKUP($A9,'S48'!$C:$BQ,30,0)</f>
        <v>#N/A</v>
      </c>
      <c r="AR9" s="115" t="e">
        <f>VLOOKUP($A9,'S48'!$C:$BQ,52,0)</f>
        <v>#N/A</v>
      </c>
      <c r="AS9" s="115" t="e">
        <f>VLOOKUP($A9,'S48'!$C:$BQ,59,0)</f>
        <v>#N/A</v>
      </c>
      <c r="AT9" s="115" t="e">
        <f>VLOOKUP($A9,'S48'!$C:$BQ,60,0)</f>
        <v>#N/A</v>
      </c>
      <c r="AU9" s="107" t="e">
        <f>VLOOKUP($A9,'S49'!$C:$BQ,32,0)</f>
        <v>#N/A</v>
      </c>
      <c r="AV9" s="107" t="e">
        <f>VLOOKUP($A9,'S49'!$C:$BQ,39,0)</f>
        <v>#N/A</v>
      </c>
      <c r="AW9" s="107" t="e">
        <f>VLOOKUP($A9,'S49'!$C:$BQ,40,0)</f>
        <v>#N/A</v>
      </c>
      <c r="AX9" s="107" t="e">
        <f>VLOOKUP($A9,'S49'!$C:$BQ,22,0)</f>
        <v>#N/A</v>
      </c>
      <c r="AY9" s="115" t="e">
        <f>VLOOKUP($A9,'S49'!$C:$BQ,29,0)</f>
        <v>#N/A</v>
      </c>
      <c r="AZ9" s="115" t="e">
        <f>VLOOKUP($A9,'S49'!$C:$BQ,30,0)</f>
        <v>#N/A</v>
      </c>
      <c r="BA9" s="115" t="e">
        <f>VLOOKUP($A9,'S49'!$C:$BQ,52,0)</f>
        <v>#N/A</v>
      </c>
      <c r="BB9" s="115" t="e">
        <f>VLOOKUP($A9,'S49'!$C:$BQ,59,0)</f>
        <v>#N/A</v>
      </c>
      <c r="BC9" s="115" t="e">
        <f>VLOOKUP($A9,'S49'!$C:$BQ,60,0)</f>
        <v>#N/A</v>
      </c>
      <c r="BD9" s="107" t="e">
        <f>VLOOKUP($A9,'S50'!$C:$BQ,32,0)</f>
        <v>#N/A</v>
      </c>
      <c r="BE9" s="107" t="e">
        <f>VLOOKUP($A9,'S50'!$C:$BQ,39,0)</f>
        <v>#N/A</v>
      </c>
      <c r="BF9" s="107" t="e">
        <f>VLOOKUP($A9,'S50'!$C:$BQ,40,0)</f>
        <v>#N/A</v>
      </c>
      <c r="BG9" s="107" t="e">
        <f>VLOOKUP($A9,'S50'!$C:$BQ,22,0)</f>
        <v>#N/A</v>
      </c>
      <c r="BH9" s="115" t="e">
        <f>VLOOKUP($A9,'S50'!$C:$BQ,29,0)</f>
        <v>#N/A</v>
      </c>
      <c r="BI9" s="115" t="e">
        <f>VLOOKUP($A9,'S50'!$C:$BQ,30,0)</f>
        <v>#N/A</v>
      </c>
      <c r="BJ9" s="115" t="e">
        <f>VLOOKUP($A9,'S50'!$C:$BQ,52,0)</f>
        <v>#N/A</v>
      </c>
      <c r="BK9" s="115" t="e">
        <f>VLOOKUP($A9,'S50'!$C:$BQ,59,0)</f>
        <v>#N/A</v>
      </c>
      <c r="BL9" s="115" t="e">
        <f>VLOOKUP($A9,'S50'!$C:$BQ,60,0)</f>
        <v>#N/A</v>
      </c>
    </row>
    <row r="10" spans="1:127" x14ac:dyDescent="0.2">
      <c r="A10" s="106" t="s">
        <v>63</v>
      </c>
      <c r="B10" s="107">
        <f>VLOOKUP($A10,'S0 remplacer avec S44'!$C:$BQ,32,0)</f>
        <v>170.85</v>
      </c>
      <c r="C10" s="107">
        <f>VLOOKUP($A10,'S0 remplacer avec S44'!$C:$BQ,39,0)</f>
        <v>0</v>
      </c>
      <c r="D10" s="107">
        <f>VLOOKUP($A10,'S0 remplacer avec S44'!$C:$BQ,40,0)</f>
        <v>21</v>
      </c>
      <c r="E10" s="107">
        <f>VLOOKUP($A10,'S0 remplacer avec S44'!$C:$BQ,22,0)</f>
        <v>2257.7160600000002</v>
      </c>
      <c r="F10" s="115">
        <f>VLOOKUP($A10,'S0 remplacer avec S44'!$C:$BQ,29,0)</f>
        <v>0</v>
      </c>
      <c r="G10" s="115">
        <f>VLOOKUP($A10,'S0 remplacer avec S44'!$C:$BQ,30,0)</f>
        <v>0</v>
      </c>
      <c r="H10" s="115">
        <f>VLOOKUP($A10,'S0 remplacer avec S44'!$C:$BQ,52,0)</f>
        <v>146.80000000000001</v>
      </c>
      <c r="I10" s="115">
        <f>VLOOKUP($A10,'S0 remplacer avec S44'!$C:$BQ,59,0)</f>
        <v>0</v>
      </c>
      <c r="J10" s="115">
        <f>VLOOKUP($A10,'S0 remplacer avec S44'!$C:$BQ,60,0)</f>
        <v>0</v>
      </c>
      <c r="K10" s="107" t="e">
        <f>VLOOKUP($A10,'S45'!$C:$BQ,32,0)</f>
        <v>#N/A</v>
      </c>
      <c r="L10" s="107" t="e">
        <f>VLOOKUP($A10,'S45'!$C:$BQ,39,0)</f>
        <v>#N/A</v>
      </c>
      <c r="M10" s="107" t="e">
        <f>VLOOKUP($A10,'S45'!$C:$BQ,40,0)</f>
        <v>#N/A</v>
      </c>
      <c r="N10" s="107" t="e">
        <f>VLOOKUP($A10,'S45'!$C:$BQ,22,0)</f>
        <v>#N/A</v>
      </c>
      <c r="O10" s="115" t="e">
        <f>VLOOKUP($A10,'S45'!$C:$BQ,29,0)</f>
        <v>#N/A</v>
      </c>
      <c r="P10" s="115" t="e">
        <f>VLOOKUP($A10,'S45'!$C:$BQ,30,0)</f>
        <v>#N/A</v>
      </c>
      <c r="Q10" s="115" t="e">
        <f>VLOOKUP($A10,'S45'!$C:$BQ,52,0)</f>
        <v>#N/A</v>
      </c>
      <c r="R10" s="115" t="e">
        <f>VLOOKUP($A10,'S45'!$C:$BQ,59,0)</f>
        <v>#N/A</v>
      </c>
      <c r="S10" s="115" t="e">
        <f>VLOOKUP($A10,'S45'!$C:$BQ,60,0)</f>
        <v>#N/A</v>
      </c>
      <c r="T10" s="107" t="e">
        <f>VLOOKUP($A10,'S46'!$C:$BQ,32,0)</f>
        <v>#N/A</v>
      </c>
      <c r="U10" s="107" t="e">
        <f>VLOOKUP($A10,'S46'!$C:$BQ,39,0)</f>
        <v>#N/A</v>
      </c>
      <c r="V10" s="107" t="e">
        <f>VLOOKUP($A10,'S46'!$C:$BQ,40,0)</f>
        <v>#N/A</v>
      </c>
      <c r="W10" s="107" t="e">
        <f>VLOOKUP($A10,'S46'!$C:$BQ,22,0)</f>
        <v>#N/A</v>
      </c>
      <c r="X10" s="115" t="e">
        <f>VLOOKUP($A10,'S46'!$C:$BQ,29,0)</f>
        <v>#N/A</v>
      </c>
      <c r="Y10" s="115" t="e">
        <f>VLOOKUP($A10,'S46'!$C:$BQ,30,0)</f>
        <v>#N/A</v>
      </c>
      <c r="Z10" s="115" t="e">
        <f>VLOOKUP($A10,'S46'!$C:$BQ,52,0)</f>
        <v>#N/A</v>
      </c>
      <c r="AA10" s="115" t="e">
        <f>VLOOKUP($A10,'S46'!$C:$BQ,59,0)</f>
        <v>#N/A</v>
      </c>
      <c r="AB10" s="115" t="e">
        <f>VLOOKUP($A10,'S46'!$C:$BQ,60,0)</f>
        <v>#N/A</v>
      </c>
      <c r="AC10" s="107" t="e">
        <f>VLOOKUP($A10,'S47'!$C:$BQ,32,0)</f>
        <v>#N/A</v>
      </c>
      <c r="AD10" s="107" t="e">
        <f>VLOOKUP($A10,'S47'!$C:$BQ,39,0)</f>
        <v>#N/A</v>
      </c>
      <c r="AE10" s="107" t="e">
        <f>VLOOKUP($A10,'S47'!$C:$BQ,40,0)</f>
        <v>#N/A</v>
      </c>
      <c r="AF10" s="107" t="e">
        <f>VLOOKUP($A10,'S47'!$C:$BQ,22,0)</f>
        <v>#N/A</v>
      </c>
      <c r="AG10" s="115" t="e">
        <f>VLOOKUP($A10,'S47'!$C:$BQ,29,0)</f>
        <v>#N/A</v>
      </c>
      <c r="AH10" s="115" t="e">
        <f>VLOOKUP($A10,'S47'!$C:$BQ,30,0)</f>
        <v>#N/A</v>
      </c>
      <c r="AI10" s="115" t="e">
        <f>VLOOKUP($A10,'S47'!$C:$BQ,52,0)</f>
        <v>#N/A</v>
      </c>
      <c r="AJ10" s="115" t="e">
        <f>VLOOKUP($A10,'S47'!$C:$BQ,59,0)</f>
        <v>#N/A</v>
      </c>
      <c r="AK10" s="115" t="e">
        <f>VLOOKUP($A10,'S47'!$C:$BQ,60,0)</f>
        <v>#N/A</v>
      </c>
      <c r="AL10" s="107" t="e">
        <f>VLOOKUP($A10,'S48'!$C:$BQ,32,0)</f>
        <v>#N/A</v>
      </c>
      <c r="AM10" s="107" t="e">
        <f>VLOOKUP($A10,'S48'!$C:$BQ,39,0)</f>
        <v>#N/A</v>
      </c>
      <c r="AN10" s="107" t="e">
        <f>VLOOKUP($A10,'S48'!$C:$BQ,40,0)</f>
        <v>#N/A</v>
      </c>
      <c r="AO10" s="107" t="e">
        <f>VLOOKUP($A10,'S48'!$C:$BQ,22,0)</f>
        <v>#N/A</v>
      </c>
      <c r="AP10" s="115" t="e">
        <f>VLOOKUP($A10,'S48'!$C:$BQ,29,0)</f>
        <v>#N/A</v>
      </c>
      <c r="AQ10" s="115" t="e">
        <f>VLOOKUP($A10,'S48'!$C:$BQ,30,0)</f>
        <v>#N/A</v>
      </c>
      <c r="AR10" s="115" t="e">
        <f>VLOOKUP($A10,'S48'!$C:$BQ,52,0)</f>
        <v>#N/A</v>
      </c>
      <c r="AS10" s="115" t="e">
        <f>VLOOKUP($A10,'S48'!$C:$BQ,59,0)</f>
        <v>#N/A</v>
      </c>
      <c r="AT10" s="115" t="e">
        <f>VLOOKUP($A10,'S48'!$C:$BQ,60,0)</f>
        <v>#N/A</v>
      </c>
      <c r="AU10" s="107" t="e">
        <f>VLOOKUP($A10,'S49'!$C:$BQ,32,0)</f>
        <v>#N/A</v>
      </c>
      <c r="AV10" s="107" t="e">
        <f>VLOOKUP($A10,'S49'!$C:$BQ,39,0)</f>
        <v>#N/A</v>
      </c>
      <c r="AW10" s="107" t="e">
        <f>VLOOKUP($A10,'S49'!$C:$BQ,40,0)</f>
        <v>#N/A</v>
      </c>
      <c r="AX10" s="107" t="e">
        <f>VLOOKUP($A10,'S49'!$C:$BQ,22,0)</f>
        <v>#N/A</v>
      </c>
      <c r="AY10" s="115" t="e">
        <f>VLOOKUP($A10,'S49'!$C:$BQ,29,0)</f>
        <v>#N/A</v>
      </c>
      <c r="AZ10" s="115" t="e">
        <f>VLOOKUP($A10,'S49'!$C:$BQ,30,0)</f>
        <v>#N/A</v>
      </c>
      <c r="BA10" s="115" t="e">
        <f>VLOOKUP($A10,'S49'!$C:$BQ,52,0)</f>
        <v>#N/A</v>
      </c>
      <c r="BB10" s="115" t="e">
        <f>VLOOKUP($A10,'S49'!$C:$BQ,59,0)</f>
        <v>#N/A</v>
      </c>
      <c r="BC10" s="115" t="e">
        <f>VLOOKUP($A10,'S49'!$C:$BQ,60,0)</f>
        <v>#N/A</v>
      </c>
      <c r="BD10" s="107" t="e">
        <f>VLOOKUP($A10,'S50'!$C:$BQ,32,0)</f>
        <v>#N/A</v>
      </c>
      <c r="BE10" s="107" t="e">
        <f>VLOOKUP($A10,'S50'!$C:$BQ,39,0)</f>
        <v>#N/A</v>
      </c>
      <c r="BF10" s="107" t="e">
        <f>VLOOKUP($A10,'S50'!$C:$BQ,40,0)</f>
        <v>#N/A</v>
      </c>
      <c r="BG10" s="107" t="e">
        <f>VLOOKUP($A10,'S50'!$C:$BQ,22,0)</f>
        <v>#N/A</v>
      </c>
      <c r="BH10" s="115" t="e">
        <f>VLOOKUP($A10,'S50'!$C:$BQ,29,0)</f>
        <v>#N/A</v>
      </c>
      <c r="BI10" s="115" t="e">
        <f>VLOOKUP($A10,'S50'!$C:$BQ,30,0)</f>
        <v>#N/A</v>
      </c>
      <c r="BJ10" s="115" t="e">
        <f>VLOOKUP($A10,'S50'!$C:$BQ,52,0)</f>
        <v>#N/A</v>
      </c>
      <c r="BK10" s="115" t="e">
        <f>VLOOKUP($A10,'S50'!$C:$BQ,59,0)</f>
        <v>#N/A</v>
      </c>
      <c r="BL10" s="115" t="e">
        <f>VLOOKUP($A10,'S50'!$C:$BQ,60,0)</f>
        <v>#N/A</v>
      </c>
    </row>
    <row r="11" spans="1:127" x14ac:dyDescent="0.2">
      <c r="A11" s="106" t="s">
        <v>64</v>
      </c>
      <c r="B11" s="107">
        <f>VLOOKUP($A11,'S0 remplacer avec S44'!$C:$BQ,32,0)</f>
        <v>148.69999999999999</v>
      </c>
      <c r="C11" s="107">
        <f>VLOOKUP($A11,'S0 remplacer avec S44'!$C:$BQ,39,0)</f>
        <v>29</v>
      </c>
      <c r="D11" s="107">
        <f>VLOOKUP($A11,'S0 remplacer avec S44'!$C:$BQ,40,0)</f>
        <v>65</v>
      </c>
      <c r="E11" s="107">
        <f>VLOOKUP($A11,'S0 remplacer avec S44'!$C:$BQ,22,0)</f>
        <v>1957.2544849999999</v>
      </c>
      <c r="F11" s="115">
        <f>VLOOKUP($A11,'S0 remplacer avec S44'!$C:$BQ,29,0)</f>
        <v>0</v>
      </c>
      <c r="G11" s="115">
        <f>VLOOKUP($A11,'S0 remplacer avec S44'!$C:$BQ,30,0)</f>
        <v>0</v>
      </c>
      <c r="H11" s="115">
        <f>VLOOKUP($A11,'S0 remplacer avec S44'!$C:$BQ,52,0)</f>
        <v>63.4</v>
      </c>
      <c r="I11" s="115">
        <f>VLOOKUP($A11,'S0 remplacer avec S44'!$C:$BQ,59,0)</f>
        <v>27</v>
      </c>
      <c r="J11" s="115">
        <f>VLOOKUP($A11,'S0 remplacer avec S44'!$C:$BQ,60,0)</f>
        <v>45</v>
      </c>
      <c r="K11" s="107" t="e">
        <f>VLOOKUP($A11,'S45'!$C:$BQ,32,0)</f>
        <v>#N/A</v>
      </c>
      <c r="L11" s="107" t="e">
        <f>VLOOKUP($A11,'S45'!$C:$BQ,39,0)</f>
        <v>#N/A</v>
      </c>
      <c r="M11" s="107" t="e">
        <f>VLOOKUP($A11,'S45'!$C:$BQ,40,0)</f>
        <v>#N/A</v>
      </c>
      <c r="N11" s="107" t="e">
        <f>VLOOKUP($A11,'S45'!$C:$BQ,22,0)</f>
        <v>#N/A</v>
      </c>
      <c r="O11" s="115" t="e">
        <f>VLOOKUP($A11,'S45'!$C:$BQ,29,0)</f>
        <v>#N/A</v>
      </c>
      <c r="P11" s="115" t="e">
        <f>VLOOKUP($A11,'S45'!$C:$BQ,30,0)</f>
        <v>#N/A</v>
      </c>
      <c r="Q11" s="115" t="e">
        <f>VLOOKUP($A11,'S45'!$C:$BQ,52,0)</f>
        <v>#N/A</v>
      </c>
      <c r="R11" s="115" t="e">
        <f>VLOOKUP($A11,'S45'!$C:$BQ,59,0)</f>
        <v>#N/A</v>
      </c>
      <c r="S11" s="115" t="e">
        <f>VLOOKUP($A11,'S45'!$C:$BQ,60,0)</f>
        <v>#N/A</v>
      </c>
      <c r="T11" s="107" t="e">
        <f>VLOOKUP($A11,'S46'!$C:$BQ,32,0)</f>
        <v>#N/A</v>
      </c>
      <c r="U11" s="107" t="e">
        <f>VLOOKUP($A11,'S46'!$C:$BQ,39,0)</f>
        <v>#N/A</v>
      </c>
      <c r="V11" s="107" t="e">
        <f>VLOOKUP($A11,'S46'!$C:$BQ,40,0)</f>
        <v>#N/A</v>
      </c>
      <c r="W11" s="107" t="e">
        <f>VLOOKUP($A11,'S46'!$C:$BQ,22,0)</f>
        <v>#N/A</v>
      </c>
      <c r="X11" s="115" t="e">
        <f>VLOOKUP($A11,'S46'!$C:$BQ,29,0)</f>
        <v>#N/A</v>
      </c>
      <c r="Y11" s="115" t="e">
        <f>VLOOKUP($A11,'S46'!$C:$BQ,30,0)</f>
        <v>#N/A</v>
      </c>
      <c r="Z11" s="115" t="e">
        <f>VLOOKUP($A11,'S46'!$C:$BQ,52,0)</f>
        <v>#N/A</v>
      </c>
      <c r="AA11" s="115" t="e">
        <f>VLOOKUP($A11,'S46'!$C:$BQ,59,0)</f>
        <v>#N/A</v>
      </c>
      <c r="AB11" s="115" t="e">
        <f>VLOOKUP($A11,'S46'!$C:$BQ,60,0)</f>
        <v>#N/A</v>
      </c>
      <c r="AC11" s="107" t="e">
        <f>VLOOKUP($A11,'S47'!$C:$BQ,32,0)</f>
        <v>#N/A</v>
      </c>
      <c r="AD11" s="107" t="e">
        <f>VLOOKUP($A11,'S47'!$C:$BQ,39,0)</f>
        <v>#N/A</v>
      </c>
      <c r="AE11" s="107" t="e">
        <f>VLOOKUP($A11,'S47'!$C:$BQ,40,0)</f>
        <v>#N/A</v>
      </c>
      <c r="AF11" s="107" t="e">
        <f>VLOOKUP($A11,'S47'!$C:$BQ,22,0)</f>
        <v>#N/A</v>
      </c>
      <c r="AG11" s="115" t="e">
        <f>VLOOKUP($A11,'S47'!$C:$BQ,29,0)</f>
        <v>#N/A</v>
      </c>
      <c r="AH11" s="115" t="e">
        <f>VLOOKUP($A11,'S47'!$C:$BQ,30,0)</f>
        <v>#N/A</v>
      </c>
      <c r="AI11" s="115" t="e">
        <f>VLOOKUP($A11,'S47'!$C:$BQ,52,0)</f>
        <v>#N/A</v>
      </c>
      <c r="AJ11" s="115" t="e">
        <f>VLOOKUP($A11,'S47'!$C:$BQ,59,0)</f>
        <v>#N/A</v>
      </c>
      <c r="AK11" s="115" t="e">
        <f>VLOOKUP($A11,'S47'!$C:$BQ,60,0)</f>
        <v>#N/A</v>
      </c>
      <c r="AL11" s="107" t="e">
        <f>VLOOKUP($A11,'S48'!$C:$BQ,32,0)</f>
        <v>#N/A</v>
      </c>
      <c r="AM11" s="107" t="e">
        <f>VLOOKUP($A11,'S48'!$C:$BQ,39,0)</f>
        <v>#N/A</v>
      </c>
      <c r="AN11" s="107" t="e">
        <f>VLOOKUP($A11,'S48'!$C:$BQ,40,0)</f>
        <v>#N/A</v>
      </c>
      <c r="AO11" s="107" t="e">
        <f>VLOOKUP($A11,'S48'!$C:$BQ,22,0)</f>
        <v>#N/A</v>
      </c>
      <c r="AP11" s="115" t="e">
        <f>VLOOKUP($A11,'S48'!$C:$BQ,29,0)</f>
        <v>#N/A</v>
      </c>
      <c r="AQ11" s="115" t="e">
        <f>VLOOKUP($A11,'S48'!$C:$BQ,30,0)</f>
        <v>#N/A</v>
      </c>
      <c r="AR11" s="115" t="e">
        <f>VLOOKUP($A11,'S48'!$C:$BQ,52,0)</f>
        <v>#N/A</v>
      </c>
      <c r="AS11" s="115" t="e">
        <f>VLOOKUP($A11,'S48'!$C:$BQ,59,0)</f>
        <v>#N/A</v>
      </c>
      <c r="AT11" s="115" t="e">
        <f>VLOOKUP($A11,'S48'!$C:$BQ,60,0)</f>
        <v>#N/A</v>
      </c>
      <c r="AU11" s="107" t="e">
        <f>VLOOKUP($A11,'S49'!$C:$BQ,32,0)</f>
        <v>#N/A</v>
      </c>
      <c r="AV11" s="107" t="e">
        <f>VLOOKUP($A11,'S49'!$C:$BQ,39,0)</f>
        <v>#N/A</v>
      </c>
      <c r="AW11" s="107" t="e">
        <f>VLOOKUP($A11,'S49'!$C:$BQ,40,0)</f>
        <v>#N/A</v>
      </c>
      <c r="AX11" s="107" t="e">
        <f>VLOOKUP($A11,'S49'!$C:$BQ,22,0)</f>
        <v>#N/A</v>
      </c>
      <c r="AY11" s="115" t="e">
        <f>VLOOKUP($A11,'S49'!$C:$BQ,29,0)</f>
        <v>#N/A</v>
      </c>
      <c r="AZ11" s="115" t="e">
        <f>VLOOKUP($A11,'S49'!$C:$BQ,30,0)</f>
        <v>#N/A</v>
      </c>
      <c r="BA11" s="115" t="e">
        <f>VLOOKUP($A11,'S49'!$C:$BQ,52,0)</f>
        <v>#N/A</v>
      </c>
      <c r="BB11" s="115" t="e">
        <f>VLOOKUP($A11,'S49'!$C:$BQ,59,0)</f>
        <v>#N/A</v>
      </c>
      <c r="BC11" s="115" t="e">
        <f>VLOOKUP($A11,'S49'!$C:$BQ,60,0)</f>
        <v>#N/A</v>
      </c>
      <c r="BD11" s="107" t="e">
        <f>VLOOKUP($A11,'S50'!$C:$BQ,32,0)</f>
        <v>#N/A</v>
      </c>
      <c r="BE11" s="107" t="e">
        <f>VLOOKUP($A11,'S50'!$C:$BQ,39,0)</f>
        <v>#N/A</v>
      </c>
      <c r="BF11" s="107" t="e">
        <f>VLOOKUP($A11,'S50'!$C:$BQ,40,0)</f>
        <v>#N/A</v>
      </c>
      <c r="BG11" s="107" t="e">
        <f>VLOOKUP($A11,'S50'!$C:$BQ,22,0)</f>
        <v>#N/A</v>
      </c>
      <c r="BH11" s="115" t="e">
        <f>VLOOKUP($A11,'S50'!$C:$BQ,29,0)</f>
        <v>#N/A</v>
      </c>
      <c r="BI11" s="115" t="e">
        <f>VLOOKUP($A11,'S50'!$C:$BQ,30,0)</f>
        <v>#N/A</v>
      </c>
      <c r="BJ11" s="115" t="e">
        <f>VLOOKUP($A11,'S50'!$C:$BQ,52,0)</f>
        <v>#N/A</v>
      </c>
      <c r="BK11" s="115" t="e">
        <f>VLOOKUP($A11,'S50'!$C:$BQ,59,0)</f>
        <v>#N/A</v>
      </c>
      <c r="BL11" s="115" t="e">
        <f>VLOOKUP($A11,'S50'!$C:$BQ,60,0)</f>
        <v>#N/A</v>
      </c>
    </row>
    <row r="12" spans="1:127" x14ac:dyDescent="0.2">
      <c r="A12" s="106" t="s">
        <v>66</v>
      </c>
      <c r="B12" s="107">
        <f>VLOOKUP($A12,'S0 remplacer avec S44'!$C:$BQ,32,0)</f>
        <v>170</v>
      </c>
      <c r="C12" s="107">
        <f>VLOOKUP($A12,'S0 remplacer avec S44'!$C:$BQ,39,0)</f>
        <v>63</v>
      </c>
      <c r="D12" s="107">
        <f>VLOOKUP($A12,'S0 remplacer avec S44'!$C:$BQ,40,0)</f>
        <v>109</v>
      </c>
      <c r="E12" s="107">
        <f>VLOOKUP($A12,'S0 remplacer avec S44'!$C:$BQ,22,0)</f>
        <v>2035.4282450000001</v>
      </c>
      <c r="F12" s="115">
        <f>VLOOKUP($A12,'S0 remplacer avec S44'!$C:$BQ,29,0)</f>
        <v>77</v>
      </c>
      <c r="G12" s="115">
        <f>VLOOKUP($A12,'S0 remplacer avec S44'!$C:$BQ,30,0)</f>
        <v>499</v>
      </c>
      <c r="H12" s="115">
        <f>VLOOKUP($A12,'S0 remplacer avec S44'!$C:$BQ,52,0)</f>
        <v>95.4</v>
      </c>
      <c r="I12" s="115">
        <f>VLOOKUP($A12,'S0 remplacer avec S44'!$C:$BQ,59,0)</f>
        <v>23</v>
      </c>
      <c r="J12" s="115">
        <f>VLOOKUP($A12,'S0 remplacer avec S44'!$C:$BQ,60,0)</f>
        <v>47</v>
      </c>
      <c r="K12" s="107" t="e">
        <f>VLOOKUP($A12,'S45'!$C:$BQ,32,0)</f>
        <v>#N/A</v>
      </c>
      <c r="L12" s="107" t="e">
        <f>VLOOKUP($A12,'S45'!$C:$BQ,39,0)</f>
        <v>#N/A</v>
      </c>
      <c r="M12" s="107" t="e">
        <f>VLOOKUP($A12,'S45'!$C:$BQ,40,0)</f>
        <v>#N/A</v>
      </c>
      <c r="N12" s="107" t="e">
        <f>VLOOKUP($A12,'S45'!$C:$BQ,22,0)</f>
        <v>#N/A</v>
      </c>
      <c r="O12" s="115" t="e">
        <f>VLOOKUP($A12,'S45'!$C:$BQ,29,0)</f>
        <v>#N/A</v>
      </c>
      <c r="P12" s="115" t="e">
        <f>VLOOKUP($A12,'S45'!$C:$BQ,30,0)</f>
        <v>#N/A</v>
      </c>
      <c r="Q12" s="115" t="e">
        <f>VLOOKUP($A12,'S45'!$C:$BQ,52,0)</f>
        <v>#N/A</v>
      </c>
      <c r="R12" s="115" t="e">
        <f>VLOOKUP($A12,'S45'!$C:$BQ,59,0)</f>
        <v>#N/A</v>
      </c>
      <c r="S12" s="115" t="e">
        <f>VLOOKUP($A12,'S45'!$C:$BQ,60,0)</f>
        <v>#N/A</v>
      </c>
      <c r="T12" s="107" t="e">
        <f>VLOOKUP($A12,'S46'!$C:$BQ,32,0)</f>
        <v>#N/A</v>
      </c>
      <c r="U12" s="107" t="e">
        <f>VLOOKUP($A12,'S46'!$C:$BQ,39,0)</f>
        <v>#N/A</v>
      </c>
      <c r="V12" s="107" t="e">
        <f>VLOOKUP($A12,'S46'!$C:$BQ,40,0)</f>
        <v>#N/A</v>
      </c>
      <c r="W12" s="107" t="e">
        <f>VLOOKUP($A12,'S46'!$C:$BQ,22,0)</f>
        <v>#N/A</v>
      </c>
      <c r="X12" s="115" t="e">
        <f>VLOOKUP($A12,'S46'!$C:$BQ,29,0)</f>
        <v>#N/A</v>
      </c>
      <c r="Y12" s="115" t="e">
        <f>VLOOKUP($A12,'S46'!$C:$BQ,30,0)</f>
        <v>#N/A</v>
      </c>
      <c r="Z12" s="115" t="e">
        <f>VLOOKUP($A12,'S46'!$C:$BQ,52,0)</f>
        <v>#N/A</v>
      </c>
      <c r="AA12" s="115" t="e">
        <f>VLOOKUP($A12,'S46'!$C:$BQ,59,0)</f>
        <v>#N/A</v>
      </c>
      <c r="AB12" s="115" t="e">
        <f>VLOOKUP($A12,'S46'!$C:$BQ,60,0)</f>
        <v>#N/A</v>
      </c>
      <c r="AC12" s="107" t="e">
        <f>VLOOKUP($A12,'S47'!$C:$BQ,32,0)</f>
        <v>#N/A</v>
      </c>
      <c r="AD12" s="107" t="e">
        <f>VLOOKUP($A12,'S47'!$C:$BQ,39,0)</f>
        <v>#N/A</v>
      </c>
      <c r="AE12" s="107" t="e">
        <f>VLOOKUP($A12,'S47'!$C:$BQ,40,0)</f>
        <v>#N/A</v>
      </c>
      <c r="AF12" s="107" t="e">
        <f>VLOOKUP($A12,'S47'!$C:$BQ,22,0)</f>
        <v>#N/A</v>
      </c>
      <c r="AG12" s="115" t="e">
        <f>VLOOKUP($A12,'S47'!$C:$BQ,29,0)</f>
        <v>#N/A</v>
      </c>
      <c r="AH12" s="115" t="e">
        <f>VLOOKUP($A12,'S47'!$C:$BQ,30,0)</f>
        <v>#N/A</v>
      </c>
      <c r="AI12" s="115" t="e">
        <f>VLOOKUP($A12,'S47'!$C:$BQ,52,0)</f>
        <v>#N/A</v>
      </c>
      <c r="AJ12" s="115" t="e">
        <f>VLOOKUP($A12,'S47'!$C:$BQ,59,0)</f>
        <v>#N/A</v>
      </c>
      <c r="AK12" s="115" t="e">
        <f>VLOOKUP($A12,'S47'!$C:$BQ,60,0)</f>
        <v>#N/A</v>
      </c>
      <c r="AL12" s="107" t="e">
        <f>VLOOKUP($A12,'S48'!$C:$BQ,32,0)</f>
        <v>#N/A</v>
      </c>
      <c r="AM12" s="107" t="e">
        <f>VLOOKUP($A12,'S48'!$C:$BQ,39,0)</f>
        <v>#N/A</v>
      </c>
      <c r="AN12" s="107" t="e">
        <f>VLOOKUP($A12,'S48'!$C:$BQ,40,0)</f>
        <v>#N/A</v>
      </c>
      <c r="AO12" s="107" t="e">
        <f>VLOOKUP($A12,'S48'!$C:$BQ,22,0)</f>
        <v>#N/A</v>
      </c>
      <c r="AP12" s="115" t="e">
        <f>VLOOKUP($A12,'S48'!$C:$BQ,29,0)</f>
        <v>#N/A</v>
      </c>
      <c r="AQ12" s="115" t="e">
        <f>VLOOKUP($A12,'S48'!$C:$BQ,30,0)</f>
        <v>#N/A</v>
      </c>
      <c r="AR12" s="115" t="e">
        <f>VLOOKUP($A12,'S48'!$C:$BQ,52,0)</f>
        <v>#N/A</v>
      </c>
      <c r="AS12" s="115" t="e">
        <f>VLOOKUP($A12,'S48'!$C:$BQ,59,0)</f>
        <v>#N/A</v>
      </c>
      <c r="AT12" s="115" t="e">
        <f>VLOOKUP($A12,'S48'!$C:$BQ,60,0)</f>
        <v>#N/A</v>
      </c>
      <c r="AU12" s="107" t="e">
        <f>VLOOKUP($A12,'S49'!$C:$BQ,32,0)</f>
        <v>#N/A</v>
      </c>
      <c r="AV12" s="107" t="e">
        <f>VLOOKUP($A12,'S49'!$C:$BQ,39,0)</f>
        <v>#N/A</v>
      </c>
      <c r="AW12" s="107" t="e">
        <f>VLOOKUP($A12,'S49'!$C:$BQ,40,0)</f>
        <v>#N/A</v>
      </c>
      <c r="AX12" s="107" t="e">
        <f>VLOOKUP($A12,'S49'!$C:$BQ,22,0)</f>
        <v>#N/A</v>
      </c>
      <c r="AY12" s="115" t="e">
        <f>VLOOKUP($A12,'S49'!$C:$BQ,29,0)</f>
        <v>#N/A</v>
      </c>
      <c r="AZ12" s="115" t="e">
        <f>VLOOKUP($A12,'S49'!$C:$BQ,30,0)</f>
        <v>#N/A</v>
      </c>
      <c r="BA12" s="115" t="e">
        <f>VLOOKUP($A12,'S49'!$C:$BQ,52,0)</f>
        <v>#N/A</v>
      </c>
      <c r="BB12" s="115" t="e">
        <f>VLOOKUP($A12,'S49'!$C:$BQ,59,0)</f>
        <v>#N/A</v>
      </c>
      <c r="BC12" s="115" t="e">
        <f>VLOOKUP($A12,'S49'!$C:$BQ,60,0)</f>
        <v>#N/A</v>
      </c>
      <c r="BD12" s="107" t="e">
        <f>VLOOKUP($A12,'S50'!$C:$BQ,32,0)</f>
        <v>#N/A</v>
      </c>
      <c r="BE12" s="107" t="e">
        <f>VLOOKUP($A12,'S50'!$C:$BQ,39,0)</f>
        <v>#N/A</v>
      </c>
      <c r="BF12" s="107" t="e">
        <f>VLOOKUP($A12,'S50'!$C:$BQ,40,0)</f>
        <v>#N/A</v>
      </c>
      <c r="BG12" s="107" t="e">
        <f>VLOOKUP($A12,'S50'!$C:$BQ,22,0)</f>
        <v>#N/A</v>
      </c>
      <c r="BH12" s="115" t="e">
        <f>VLOOKUP($A12,'S50'!$C:$BQ,29,0)</f>
        <v>#N/A</v>
      </c>
      <c r="BI12" s="115" t="e">
        <f>VLOOKUP($A12,'S50'!$C:$BQ,30,0)</f>
        <v>#N/A</v>
      </c>
      <c r="BJ12" s="115" t="e">
        <f>VLOOKUP($A12,'S50'!$C:$BQ,52,0)</f>
        <v>#N/A</v>
      </c>
      <c r="BK12" s="115" t="e">
        <f>VLOOKUP($A12,'S50'!$C:$BQ,59,0)</f>
        <v>#N/A</v>
      </c>
      <c r="BL12" s="115" t="e">
        <f>VLOOKUP($A12,'S50'!$C:$BQ,60,0)</f>
        <v>#N/A</v>
      </c>
    </row>
    <row r="13" spans="1:127" x14ac:dyDescent="0.2">
      <c r="A13" s="106" t="s">
        <v>67</v>
      </c>
      <c r="B13" s="107">
        <f>VLOOKUP($A13,'S0 remplacer avec S44'!$C:$BQ,32,0)</f>
        <v>166.55</v>
      </c>
      <c r="C13" s="107">
        <f>VLOOKUP($A13,'S0 remplacer avec S44'!$C:$BQ,39,0)</f>
        <v>22</v>
      </c>
      <c r="D13" s="107">
        <f>VLOOKUP($A13,'S0 remplacer avec S44'!$C:$BQ,40,0)</f>
        <v>60</v>
      </c>
      <c r="E13" s="107">
        <f>VLOOKUP($A13,'S0 remplacer avec S44'!$C:$BQ,22,0)</f>
        <v>2110.064245</v>
      </c>
      <c r="F13" s="115">
        <f>VLOOKUP($A13,'S0 remplacer avec S44'!$C:$BQ,29,0)</f>
        <v>0</v>
      </c>
      <c r="G13" s="115">
        <f>VLOOKUP($A13,'S0 remplacer avec S44'!$C:$BQ,30,0)</f>
        <v>0</v>
      </c>
      <c r="H13" s="115">
        <f>VLOOKUP($A13,'S0 remplacer avec S44'!$C:$BQ,52,0)</f>
        <v>103.8</v>
      </c>
      <c r="I13" s="115">
        <f>VLOOKUP($A13,'S0 remplacer avec S44'!$C:$BQ,59,0)</f>
        <v>0</v>
      </c>
      <c r="J13" s="115">
        <f>VLOOKUP($A13,'S0 remplacer avec S44'!$C:$BQ,60,0)</f>
        <v>11</v>
      </c>
      <c r="K13" s="107" t="e">
        <f>VLOOKUP($A13,'S45'!$C:$BQ,32,0)</f>
        <v>#N/A</v>
      </c>
      <c r="L13" s="107" t="e">
        <f>VLOOKUP($A13,'S45'!$C:$BQ,39,0)</f>
        <v>#N/A</v>
      </c>
      <c r="M13" s="107" t="e">
        <f>VLOOKUP($A13,'S45'!$C:$BQ,40,0)</f>
        <v>#N/A</v>
      </c>
      <c r="N13" s="107" t="e">
        <f>VLOOKUP($A13,'S45'!$C:$BQ,22,0)</f>
        <v>#N/A</v>
      </c>
      <c r="O13" s="115" t="e">
        <f>VLOOKUP($A13,'S45'!$C:$BQ,29,0)</f>
        <v>#N/A</v>
      </c>
      <c r="P13" s="115" t="e">
        <f>VLOOKUP($A13,'S45'!$C:$BQ,30,0)</f>
        <v>#N/A</v>
      </c>
      <c r="Q13" s="115" t="e">
        <f>VLOOKUP($A13,'S45'!$C:$BQ,52,0)</f>
        <v>#N/A</v>
      </c>
      <c r="R13" s="115" t="e">
        <f>VLOOKUP($A13,'S45'!$C:$BQ,59,0)</f>
        <v>#N/A</v>
      </c>
      <c r="S13" s="115" t="e">
        <f>VLOOKUP($A13,'S45'!$C:$BQ,60,0)</f>
        <v>#N/A</v>
      </c>
      <c r="T13" s="107" t="e">
        <f>VLOOKUP($A13,'S46'!$C:$BQ,32,0)</f>
        <v>#N/A</v>
      </c>
      <c r="U13" s="107" t="e">
        <f>VLOOKUP($A13,'S46'!$C:$BQ,39,0)</f>
        <v>#N/A</v>
      </c>
      <c r="V13" s="107" t="e">
        <f>VLOOKUP($A13,'S46'!$C:$BQ,40,0)</f>
        <v>#N/A</v>
      </c>
      <c r="W13" s="107" t="e">
        <f>VLOOKUP($A13,'S46'!$C:$BQ,22,0)</f>
        <v>#N/A</v>
      </c>
      <c r="X13" s="115" t="e">
        <f>VLOOKUP($A13,'S46'!$C:$BQ,29,0)</f>
        <v>#N/A</v>
      </c>
      <c r="Y13" s="115" t="e">
        <f>VLOOKUP($A13,'S46'!$C:$BQ,30,0)</f>
        <v>#N/A</v>
      </c>
      <c r="Z13" s="115" t="e">
        <f>VLOOKUP($A13,'S46'!$C:$BQ,52,0)</f>
        <v>#N/A</v>
      </c>
      <c r="AA13" s="115" t="e">
        <f>VLOOKUP($A13,'S46'!$C:$BQ,59,0)</f>
        <v>#N/A</v>
      </c>
      <c r="AB13" s="115" t="e">
        <f>VLOOKUP($A13,'S46'!$C:$BQ,60,0)</f>
        <v>#N/A</v>
      </c>
      <c r="AC13" s="107" t="e">
        <f>VLOOKUP($A13,'S47'!$C:$BQ,32,0)</f>
        <v>#N/A</v>
      </c>
      <c r="AD13" s="107" t="e">
        <f>VLOOKUP($A13,'S47'!$C:$BQ,39,0)</f>
        <v>#N/A</v>
      </c>
      <c r="AE13" s="107" t="e">
        <f>VLOOKUP($A13,'S47'!$C:$BQ,40,0)</f>
        <v>#N/A</v>
      </c>
      <c r="AF13" s="107" t="e">
        <f>VLOOKUP($A13,'S47'!$C:$BQ,22,0)</f>
        <v>#N/A</v>
      </c>
      <c r="AG13" s="115" t="e">
        <f>VLOOKUP($A13,'S47'!$C:$BQ,29,0)</f>
        <v>#N/A</v>
      </c>
      <c r="AH13" s="115" t="e">
        <f>VLOOKUP($A13,'S47'!$C:$BQ,30,0)</f>
        <v>#N/A</v>
      </c>
      <c r="AI13" s="115" t="e">
        <f>VLOOKUP($A13,'S47'!$C:$BQ,52,0)</f>
        <v>#N/A</v>
      </c>
      <c r="AJ13" s="115" t="e">
        <f>VLOOKUP($A13,'S47'!$C:$BQ,59,0)</f>
        <v>#N/A</v>
      </c>
      <c r="AK13" s="115" t="e">
        <f>VLOOKUP($A13,'S47'!$C:$BQ,60,0)</f>
        <v>#N/A</v>
      </c>
      <c r="AL13" s="107" t="e">
        <f>VLOOKUP($A13,'S48'!$C:$BQ,32,0)</f>
        <v>#N/A</v>
      </c>
      <c r="AM13" s="107" t="e">
        <f>VLOOKUP($A13,'S48'!$C:$BQ,39,0)</f>
        <v>#N/A</v>
      </c>
      <c r="AN13" s="107" t="e">
        <f>VLOOKUP($A13,'S48'!$C:$BQ,40,0)</f>
        <v>#N/A</v>
      </c>
      <c r="AO13" s="107" t="e">
        <f>VLOOKUP($A13,'S48'!$C:$BQ,22,0)</f>
        <v>#N/A</v>
      </c>
      <c r="AP13" s="115" t="e">
        <f>VLOOKUP($A13,'S48'!$C:$BQ,29,0)</f>
        <v>#N/A</v>
      </c>
      <c r="AQ13" s="115" t="e">
        <f>VLOOKUP($A13,'S48'!$C:$BQ,30,0)</f>
        <v>#N/A</v>
      </c>
      <c r="AR13" s="115" t="e">
        <f>VLOOKUP($A13,'S48'!$C:$BQ,52,0)</f>
        <v>#N/A</v>
      </c>
      <c r="AS13" s="115" t="e">
        <f>VLOOKUP($A13,'S48'!$C:$BQ,59,0)</f>
        <v>#N/A</v>
      </c>
      <c r="AT13" s="115" t="e">
        <f>VLOOKUP($A13,'S48'!$C:$BQ,60,0)</f>
        <v>#N/A</v>
      </c>
      <c r="AU13" s="107" t="e">
        <f>VLOOKUP($A13,'S49'!$C:$BQ,32,0)</f>
        <v>#N/A</v>
      </c>
      <c r="AV13" s="107" t="e">
        <f>VLOOKUP($A13,'S49'!$C:$BQ,39,0)</f>
        <v>#N/A</v>
      </c>
      <c r="AW13" s="107" t="e">
        <f>VLOOKUP($A13,'S49'!$C:$BQ,40,0)</f>
        <v>#N/A</v>
      </c>
      <c r="AX13" s="107" t="e">
        <f>VLOOKUP($A13,'S49'!$C:$BQ,22,0)</f>
        <v>#N/A</v>
      </c>
      <c r="AY13" s="115" t="e">
        <f>VLOOKUP($A13,'S49'!$C:$BQ,29,0)</f>
        <v>#N/A</v>
      </c>
      <c r="AZ13" s="115" t="e">
        <f>VLOOKUP($A13,'S49'!$C:$BQ,30,0)</f>
        <v>#N/A</v>
      </c>
      <c r="BA13" s="115" t="e">
        <f>VLOOKUP($A13,'S49'!$C:$BQ,52,0)</f>
        <v>#N/A</v>
      </c>
      <c r="BB13" s="115" t="e">
        <f>VLOOKUP($A13,'S49'!$C:$BQ,59,0)</f>
        <v>#N/A</v>
      </c>
      <c r="BC13" s="115" t="e">
        <f>VLOOKUP($A13,'S49'!$C:$BQ,60,0)</f>
        <v>#N/A</v>
      </c>
      <c r="BD13" s="107" t="e">
        <f>VLOOKUP($A13,'S50'!$C:$BQ,32,0)</f>
        <v>#N/A</v>
      </c>
      <c r="BE13" s="107" t="e">
        <f>VLOOKUP($A13,'S50'!$C:$BQ,39,0)</f>
        <v>#N/A</v>
      </c>
      <c r="BF13" s="107" t="e">
        <f>VLOOKUP($A13,'S50'!$C:$BQ,40,0)</f>
        <v>#N/A</v>
      </c>
      <c r="BG13" s="107" t="e">
        <f>VLOOKUP($A13,'S50'!$C:$BQ,22,0)</f>
        <v>#N/A</v>
      </c>
      <c r="BH13" s="115" t="e">
        <f>VLOOKUP($A13,'S50'!$C:$BQ,29,0)</f>
        <v>#N/A</v>
      </c>
      <c r="BI13" s="115" t="e">
        <f>VLOOKUP($A13,'S50'!$C:$BQ,30,0)</f>
        <v>#N/A</v>
      </c>
      <c r="BJ13" s="115" t="e">
        <f>VLOOKUP($A13,'S50'!$C:$BQ,52,0)</f>
        <v>#N/A</v>
      </c>
      <c r="BK13" s="115" t="e">
        <f>VLOOKUP($A13,'S50'!$C:$BQ,59,0)</f>
        <v>#N/A</v>
      </c>
      <c r="BL13" s="115" t="e">
        <f>VLOOKUP($A13,'S50'!$C:$BQ,60,0)</f>
        <v>#N/A</v>
      </c>
    </row>
    <row r="14" spans="1:127" x14ac:dyDescent="0.2">
      <c r="A14" s="106" t="s">
        <v>68</v>
      </c>
      <c r="B14" s="107">
        <f>VLOOKUP($A14,'S0 remplacer avec S44'!$C:$BQ,32,0)</f>
        <v>146.6</v>
      </c>
      <c r="C14" s="107">
        <f>VLOOKUP($A14,'S0 remplacer avec S44'!$C:$BQ,39,0)</f>
        <v>89</v>
      </c>
      <c r="D14" s="107">
        <f>VLOOKUP($A14,'S0 remplacer avec S44'!$C:$BQ,40,0)</f>
        <v>136</v>
      </c>
      <c r="E14" s="107">
        <f>VLOOKUP($A14,'S0 remplacer avec S44'!$C:$BQ,22,0)</f>
        <v>2687.8429900000001</v>
      </c>
      <c r="F14" s="115">
        <f>VLOOKUP($A14,'S0 remplacer avec S44'!$C:$BQ,29,0)</f>
        <v>0</v>
      </c>
      <c r="G14" s="115">
        <f>VLOOKUP($A14,'S0 remplacer avec S44'!$C:$BQ,30,0)</f>
        <v>0</v>
      </c>
      <c r="H14" s="115">
        <f>VLOOKUP($A14,'S0 remplacer avec S44'!$C:$BQ,52,0)</f>
        <v>131.19999999999999</v>
      </c>
      <c r="I14" s="115">
        <f>VLOOKUP($A14,'S0 remplacer avec S44'!$C:$BQ,59,0)</f>
        <v>0</v>
      </c>
      <c r="J14" s="115">
        <f>VLOOKUP($A14,'S0 remplacer avec S44'!$C:$BQ,60,0)</f>
        <v>13</v>
      </c>
      <c r="K14" s="107" t="e">
        <f>VLOOKUP($A14,'S45'!$C:$BQ,32,0)</f>
        <v>#N/A</v>
      </c>
      <c r="L14" s="107" t="e">
        <f>VLOOKUP($A14,'S45'!$C:$BQ,39,0)</f>
        <v>#N/A</v>
      </c>
      <c r="M14" s="107" t="e">
        <f>VLOOKUP($A14,'S45'!$C:$BQ,40,0)</f>
        <v>#N/A</v>
      </c>
      <c r="N14" s="107" t="e">
        <f>VLOOKUP($A14,'S45'!$C:$BQ,22,0)</f>
        <v>#N/A</v>
      </c>
      <c r="O14" s="115" t="e">
        <f>VLOOKUP($A14,'S45'!$C:$BQ,29,0)</f>
        <v>#N/A</v>
      </c>
      <c r="P14" s="115" t="e">
        <f>VLOOKUP($A14,'S45'!$C:$BQ,30,0)</f>
        <v>#N/A</v>
      </c>
      <c r="Q14" s="115" t="e">
        <f>VLOOKUP($A14,'S45'!$C:$BQ,52,0)</f>
        <v>#N/A</v>
      </c>
      <c r="R14" s="115" t="e">
        <f>VLOOKUP($A14,'S45'!$C:$BQ,59,0)</f>
        <v>#N/A</v>
      </c>
      <c r="S14" s="115" t="e">
        <f>VLOOKUP($A14,'S45'!$C:$BQ,60,0)</f>
        <v>#N/A</v>
      </c>
      <c r="T14" s="107" t="e">
        <f>VLOOKUP($A14,'S46'!$C:$BQ,32,0)</f>
        <v>#N/A</v>
      </c>
      <c r="U14" s="107" t="e">
        <f>VLOOKUP($A14,'S46'!$C:$BQ,39,0)</f>
        <v>#N/A</v>
      </c>
      <c r="V14" s="107" t="e">
        <f>VLOOKUP($A14,'S46'!$C:$BQ,40,0)</f>
        <v>#N/A</v>
      </c>
      <c r="W14" s="107" t="e">
        <f>VLOOKUP($A14,'S46'!$C:$BQ,22,0)</f>
        <v>#N/A</v>
      </c>
      <c r="X14" s="115" t="e">
        <f>VLOOKUP($A14,'S46'!$C:$BQ,29,0)</f>
        <v>#N/A</v>
      </c>
      <c r="Y14" s="115" t="e">
        <f>VLOOKUP($A14,'S46'!$C:$BQ,30,0)</f>
        <v>#N/A</v>
      </c>
      <c r="Z14" s="115" t="e">
        <f>VLOOKUP($A14,'S46'!$C:$BQ,52,0)</f>
        <v>#N/A</v>
      </c>
      <c r="AA14" s="115" t="e">
        <f>VLOOKUP($A14,'S46'!$C:$BQ,59,0)</f>
        <v>#N/A</v>
      </c>
      <c r="AB14" s="115" t="e">
        <f>VLOOKUP($A14,'S46'!$C:$BQ,60,0)</f>
        <v>#N/A</v>
      </c>
      <c r="AC14" s="107" t="e">
        <f>VLOOKUP($A14,'S47'!$C:$BQ,32,0)</f>
        <v>#N/A</v>
      </c>
      <c r="AD14" s="107" t="e">
        <f>VLOOKUP($A14,'S47'!$C:$BQ,39,0)</f>
        <v>#N/A</v>
      </c>
      <c r="AE14" s="107" t="e">
        <f>VLOOKUP($A14,'S47'!$C:$BQ,40,0)</f>
        <v>#N/A</v>
      </c>
      <c r="AF14" s="107" t="e">
        <f>VLOOKUP($A14,'S47'!$C:$BQ,22,0)</f>
        <v>#N/A</v>
      </c>
      <c r="AG14" s="115" t="e">
        <f>VLOOKUP($A14,'S47'!$C:$BQ,29,0)</f>
        <v>#N/A</v>
      </c>
      <c r="AH14" s="115" t="e">
        <f>VLOOKUP($A14,'S47'!$C:$BQ,30,0)</f>
        <v>#N/A</v>
      </c>
      <c r="AI14" s="115" t="e">
        <f>VLOOKUP($A14,'S47'!$C:$BQ,52,0)</f>
        <v>#N/A</v>
      </c>
      <c r="AJ14" s="115" t="e">
        <f>VLOOKUP($A14,'S47'!$C:$BQ,59,0)</f>
        <v>#N/A</v>
      </c>
      <c r="AK14" s="115" t="e">
        <f>VLOOKUP($A14,'S47'!$C:$BQ,60,0)</f>
        <v>#N/A</v>
      </c>
      <c r="AL14" s="107" t="e">
        <f>VLOOKUP($A14,'S48'!$C:$BQ,32,0)</f>
        <v>#N/A</v>
      </c>
      <c r="AM14" s="107" t="e">
        <f>VLOOKUP($A14,'S48'!$C:$BQ,39,0)</f>
        <v>#N/A</v>
      </c>
      <c r="AN14" s="107" t="e">
        <f>VLOOKUP($A14,'S48'!$C:$BQ,40,0)</f>
        <v>#N/A</v>
      </c>
      <c r="AO14" s="107" t="e">
        <f>VLOOKUP($A14,'S48'!$C:$BQ,22,0)</f>
        <v>#N/A</v>
      </c>
      <c r="AP14" s="115" t="e">
        <f>VLOOKUP($A14,'S48'!$C:$BQ,29,0)</f>
        <v>#N/A</v>
      </c>
      <c r="AQ14" s="115" t="e">
        <f>VLOOKUP($A14,'S48'!$C:$BQ,30,0)</f>
        <v>#N/A</v>
      </c>
      <c r="AR14" s="115" t="e">
        <f>VLOOKUP($A14,'S48'!$C:$BQ,52,0)</f>
        <v>#N/A</v>
      </c>
      <c r="AS14" s="115" t="e">
        <f>VLOOKUP($A14,'S48'!$C:$BQ,59,0)</f>
        <v>#N/A</v>
      </c>
      <c r="AT14" s="115" t="e">
        <f>VLOOKUP($A14,'S48'!$C:$BQ,60,0)</f>
        <v>#N/A</v>
      </c>
      <c r="AU14" s="107" t="e">
        <f>VLOOKUP($A14,'S49'!$C:$BQ,32,0)</f>
        <v>#N/A</v>
      </c>
      <c r="AV14" s="107" t="e">
        <f>VLOOKUP($A14,'S49'!$C:$BQ,39,0)</f>
        <v>#N/A</v>
      </c>
      <c r="AW14" s="107" t="e">
        <f>VLOOKUP($A14,'S49'!$C:$BQ,40,0)</f>
        <v>#N/A</v>
      </c>
      <c r="AX14" s="107" t="e">
        <f>VLOOKUP($A14,'S49'!$C:$BQ,22,0)</f>
        <v>#N/A</v>
      </c>
      <c r="AY14" s="115" t="e">
        <f>VLOOKUP($A14,'S49'!$C:$BQ,29,0)</f>
        <v>#N/A</v>
      </c>
      <c r="AZ14" s="115" t="e">
        <f>VLOOKUP($A14,'S49'!$C:$BQ,30,0)</f>
        <v>#N/A</v>
      </c>
      <c r="BA14" s="115" t="e">
        <f>VLOOKUP($A14,'S49'!$C:$BQ,52,0)</f>
        <v>#N/A</v>
      </c>
      <c r="BB14" s="115" t="e">
        <f>VLOOKUP($A14,'S49'!$C:$BQ,59,0)</f>
        <v>#N/A</v>
      </c>
      <c r="BC14" s="115" t="e">
        <f>VLOOKUP($A14,'S49'!$C:$BQ,60,0)</f>
        <v>#N/A</v>
      </c>
      <c r="BD14" s="107" t="e">
        <f>VLOOKUP($A14,'S50'!$C:$BQ,32,0)</f>
        <v>#N/A</v>
      </c>
      <c r="BE14" s="107" t="e">
        <f>VLOOKUP($A14,'S50'!$C:$BQ,39,0)</f>
        <v>#N/A</v>
      </c>
      <c r="BF14" s="107" t="e">
        <f>VLOOKUP($A14,'S50'!$C:$BQ,40,0)</f>
        <v>#N/A</v>
      </c>
      <c r="BG14" s="107" t="e">
        <f>VLOOKUP($A14,'S50'!$C:$BQ,22,0)</f>
        <v>#N/A</v>
      </c>
      <c r="BH14" s="115" t="e">
        <f>VLOOKUP($A14,'S50'!$C:$BQ,29,0)</f>
        <v>#N/A</v>
      </c>
      <c r="BI14" s="115" t="e">
        <f>VLOOKUP($A14,'S50'!$C:$BQ,30,0)</f>
        <v>#N/A</v>
      </c>
      <c r="BJ14" s="115" t="e">
        <f>VLOOKUP($A14,'S50'!$C:$BQ,52,0)</f>
        <v>#N/A</v>
      </c>
      <c r="BK14" s="115" t="e">
        <f>VLOOKUP($A14,'S50'!$C:$BQ,59,0)</f>
        <v>#N/A</v>
      </c>
      <c r="BL14" s="115" t="e">
        <f>VLOOKUP($A14,'S50'!$C:$BQ,60,0)</f>
        <v>#N/A</v>
      </c>
    </row>
    <row r="15" spans="1:127" x14ac:dyDescent="0.2">
      <c r="A15" s="106" t="s">
        <v>69</v>
      </c>
      <c r="B15" s="107">
        <f>VLOOKUP($A15,'S0 remplacer avec S44'!$C:$BQ,32,0)</f>
        <v>183.6</v>
      </c>
      <c r="C15" s="107">
        <f>VLOOKUP($A15,'S0 remplacer avec S44'!$C:$BQ,39,0)</f>
        <v>0</v>
      </c>
      <c r="D15" s="107">
        <f>VLOOKUP($A15,'S0 remplacer avec S44'!$C:$BQ,40,0)</f>
        <v>0</v>
      </c>
      <c r="E15" s="107">
        <f>VLOOKUP($A15,'S0 remplacer avec S44'!$C:$BQ,22,0)</f>
        <v>1684.98109</v>
      </c>
      <c r="F15" s="115">
        <f>VLOOKUP($A15,'S0 remplacer avec S44'!$C:$BQ,29,0)</f>
        <v>0</v>
      </c>
      <c r="G15" s="115">
        <f>VLOOKUP($A15,'S0 remplacer avec S44'!$C:$BQ,30,0)</f>
        <v>0</v>
      </c>
      <c r="H15" s="115">
        <f>VLOOKUP($A15,'S0 remplacer avec S44'!$C:$BQ,52,0)</f>
        <v>90</v>
      </c>
      <c r="I15" s="115">
        <f>VLOOKUP($A15,'S0 remplacer avec S44'!$C:$BQ,59,0)</f>
        <v>0</v>
      </c>
      <c r="J15" s="115">
        <f>VLOOKUP($A15,'S0 remplacer avec S44'!$C:$BQ,60,0)</f>
        <v>3</v>
      </c>
      <c r="K15" s="107" t="e">
        <f>VLOOKUP($A15,'S45'!$C:$BQ,32,0)</f>
        <v>#N/A</v>
      </c>
      <c r="L15" s="107" t="e">
        <f>VLOOKUP($A15,'S45'!$C:$BQ,39,0)</f>
        <v>#N/A</v>
      </c>
      <c r="M15" s="107" t="e">
        <f>VLOOKUP($A15,'S45'!$C:$BQ,40,0)</f>
        <v>#N/A</v>
      </c>
      <c r="N15" s="107" t="e">
        <f>VLOOKUP($A15,'S45'!$C:$BQ,22,0)</f>
        <v>#N/A</v>
      </c>
      <c r="O15" s="115" t="e">
        <f>VLOOKUP($A15,'S45'!$C:$BQ,29,0)</f>
        <v>#N/A</v>
      </c>
      <c r="P15" s="115" t="e">
        <f>VLOOKUP($A15,'S45'!$C:$BQ,30,0)</f>
        <v>#N/A</v>
      </c>
      <c r="Q15" s="115" t="e">
        <f>VLOOKUP($A15,'S45'!$C:$BQ,52,0)</f>
        <v>#N/A</v>
      </c>
      <c r="R15" s="115" t="e">
        <f>VLOOKUP($A15,'S45'!$C:$BQ,59,0)</f>
        <v>#N/A</v>
      </c>
      <c r="S15" s="115" t="e">
        <f>VLOOKUP($A15,'S45'!$C:$BQ,60,0)</f>
        <v>#N/A</v>
      </c>
      <c r="T15" s="107" t="e">
        <f>VLOOKUP($A15,'S46'!$C:$BQ,32,0)</f>
        <v>#N/A</v>
      </c>
      <c r="U15" s="107" t="e">
        <f>VLOOKUP($A15,'S46'!$C:$BQ,39,0)</f>
        <v>#N/A</v>
      </c>
      <c r="V15" s="107" t="e">
        <f>VLOOKUP($A15,'S46'!$C:$BQ,40,0)</f>
        <v>#N/A</v>
      </c>
      <c r="W15" s="107" t="e">
        <f>VLOOKUP($A15,'S46'!$C:$BQ,22,0)</f>
        <v>#N/A</v>
      </c>
      <c r="X15" s="115" t="e">
        <f>VLOOKUP($A15,'S46'!$C:$BQ,29,0)</f>
        <v>#N/A</v>
      </c>
      <c r="Y15" s="115" t="e">
        <f>VLOOKUP($A15,'S46'!$C:$BQ,30,0)</f>
        <v>#N/A</v>
      </c>
      <c r="Z15" s="115" t="e">
        <f>VLOOKUP($A15,'S46'!$C:$BQ,52,0)</f>
        <v>#N/A</v>
      </c>
      <c r="AA15" s="115" t="e">
        <f>VLOOKUP($A15,'S46'!$C:$BQ,59,0)</f>
        <v>#N/A</v>
      </c>
      <c r="AB15" s="115" t="e">
        <f>VLOOKUP($A15,'S46'!$C:$BQ,60,0)</f>
        <v>#N/A</v>
      </c>
      <c r="AC15" s="107" t="e">
        <f>VLOOKUP($A15,'S47'!$C:$BQ,32,0)</f>
        <v>#N/A</v>
      </c>
      <c r="AD15" s="107" t="e">
        <f>VLOOKUP($A15,'S47'!$C:$BQ,39,0)</f>
        <v>#N/A</v>
      </c>
      <c r="AE15" s="107" t="e">
        <f>VLOOKUP($A15,'S47'!$C:$BQ,40,0)</f>
        <v>#N/A</v>
      </c>
      <c r="AF15" s="107" t="e">
        <f>VLOOKUP($A15,'S47'!$C:$BQ,22,0)</f>
        <v>#N/A</v>
      </c>
      <c r="AG15" s="115" t="e">
        <f>VLOOKUP($A15,'S47'!$C:$BQ,29,0)</f>
        <v>#N/A</v>
      </c>
      <c r="AH15" s="115" t="e">
        <f>VLOOKUP($A15,'S47'!$C:$BQ,30,0)</f>
        <v>#N/A</v>
      </c>
      <c r="AI15" s="115" t="e">
        <f>VLOOKUP($A15,'S47'!$C:$BQ,52,0)</f>
        <v>#N/A</v>
      </c>
      <c r="AJ15" s="115" t="e">
        <f>VLOOKUP($A15,'S47'!$C:$BQ,59,0)</f>
        <v>#N/A</v>
      </c>
      <c r="AK15" s="115" t="e">
        <f>VLOOKUP($A15,'S47'!$C:$BQ,60,0)</f>
        <v>#N/A</v>
      </c>
      <c r="AL15" s="107" t="e">
        <f>VLOOKUP($A15,'S48'!$C:$BQ,32,0)</f>
        <v>#N/A</v>
      </c>
      <c r="AM15" s="107" t="e">
        <f>VLOOKUP($A15,'S48'!$C:$BQ,39,0)</f>
        <v>#N/A</v>
      </c>
      <c r="AN15" s="107" t="e">
        <f>VLOOKUP($A15,'S48'!$C:$BQ,40,0)</f>
        <v>#N/A</v>
      </c>
      <c r="AO15" s="107" t="e">
        <f>VLOOKUP($A15,'S48'!$C:$BQ,22,0)</f>
        <v>#N/A</v>
      </c>
      <c r="AP15" s="115" t="e">
        <f>VLOOKUP($A15,'S48'!$C:$BQ,29,0)</f>
        <v>#N/A</v>
      </c>
      <c r="AQ15" s="115" t="e">
        <f>VLOOKUP($A15,'S48'!$C:$BQ,30,0)</f>
        <v>#N/A</v>
      </c>
      <c r="AR15" s="115" t="e">
        <f>VLOOKUP($A15,'S48'!$C:$BQ,52,0)</f>
        <v>#N/A</v>
      </c>
      <c r="AS15" s="115" t="e">
        <f>VLOOKUP($A15,'S48'!$C:$BQ,59,0)</f>
        <v>#N/A</v>
      </c>
      <c r="AT15" s="115" t="e">
        <f>VLOOKUP($A15,'S48'!$C:$BQ,60,0)</f>
        <v>#N/A</v>
      </c>
      <c r="AU15" s="107" t="e">
        <f>VLOOKUP($A15,'S49'!$C:$BQ,32,0)</f>
        <v>#N/A</v>
      </c>
      <c r="AV15" s="107" t="e">
        <f>VLOOKUP($A15,'S49'!$C:$BQ,39,0)</f>
        <v>#N/A</v>
      </c>
      <c r="AW15" s="107" t="e">
        <f>VLOOKUP($A15,'S49'!$C:$BQ,40,0)</f>
        <v>#N/A</v>
      </c>
      <c r="AX15" s="107" t="e">
        <f>VLOOKUP($A15,'S49'!$C:$BQ,22,0)</f>
        <v>#N/A</v>
      </c>
      <c r="AY15" s="115" t="e">
        <f>VLOOKUP($A15,'S49'!$C:$BQ,29,0)</f>
        <v>#N/A</v>
      </c>
      <c r="AZ15" s="115" t="e">
        <f>VLOOKUP($A15,'S49'!$C:$BQ,30,0)</f>
        <v>#N/A</v>
      </c>
      <c r="BA15" s="115" t="e">
        <f>VLOOKUP($A15,'S49'!$C:$BQ,52,0)</f>
        <v>#N/A</v>
      </c>
      <c r="BB15" s="115" t="e">
        <f>VLOOKUP($A15,'S49'!$C:$BQ,59,0)</f>
        <v>#N/A</v>
      </c>
      <c r="BC15" s="115" t="e">
        <f>VLOOKUP($A15,'S49'!$C:$BQ,60,0)</f>
        <v>#N/A</v>
      </c>
      <c r="BD15" s="107" t="e">
        <f>VLOOKUP($A15,'S50'!$C:$BQ,32,0)</f>
        <v>#N/A</v>
      </c>
      <c r="BE15" s="107" t="e">
        <f>VLOOKUP($A15,'S50'!$C:$BQ,39,0)</f>
        <v>#N/A</v>
      </c>
      <c r="BF15" s="107" t="e">
        <f>VLOOKUP($A15,'S50'!$C:$BQ,40,0)</f>
        <v>#N/A</v>
      </c>
      <c r="BG15" s="107" t="e">
        <f>VLOOKUP($A15,'S50'!$C:$BQ,22,0)</f>
        <v>#N/A</v>
      </c>
      <c r="BH15" s="115" t="e">
        <f>VLOOKUP($A15,'S50'!$C:$BQ,29,0)</f>
        <v>#N/A</v>
      </c>
      <c r="BI15" s="115" t="e">
        <f>VLOOKUP($A15,'S50'!$C:$BQ,30,0)</f>
        <v>#N/A</v>
      </c>
      <c r="BJ15" s="115" t="e">
        <f>VLOOKUP($A15,'S50'!$C:$BQ,52,0)</f>
        <v>#N/A</v>
      </c>
      <c r="BK15" s="115" t="e">
        <f>VLOOKUP($A15,'S50'!$C:$BQ,59,0)</f>
        <v>#N/A</v>
      </c>
      <c r="BL15" s="115" t="e">
        <f>VLOOKUP($A15,'S50'!$C:$BQ,60,0)</f>
        <v>#N/A</v>
      </c>
    </row>
    <row r="16" spans="1:127" x14ac:dyDescent="0.2">
      <c r="A16" s="106" t="s">
        <v>70</v>
      </c>
      <c r="B16" s="107">
        <f>VLOOKUP($A16,'S0 remplacer avec S44'!$C:$BQ,32,0)</f>
        <v>284.89999999999998</v>
      </c>
      <c r="C16" s="107">
        <f>VLOOKUP($A16,'S0 remplacer avec S44'!$C:$BQ,39,0)</f>
        <v>78</v>
      </c>
      <c r="D16" s="107">
        <f>VLOOKUP($A16,'S0 remplacer avec S44'!$C:$BQ,40,0)</f>
        <v>150</v>
      </c>
      <c r="E16" s="107">
        <f>VLOOKUP($A16,'S0 remplacer avec S44'!$C:$BQ,22,0)</f>
        <v>2689.7867350000001</v>
      </c>
      <c r="F16" s="115">
        <f>VLOOKUP($A16,'S0 remplacer avec S44'!$C:$BQ,29,0)</f>
        <v>607</v>
      </c>
      <c r="G16" s="115">
        <f>VLOOKUP($A16,'S0 remplacer avec S44'!$C:$BQ,30,0)</f>
        <v>1266</v>
      </c>
      <c r="H16" s="115">
        <f>VLOOKUP($A16,'S0 remplacer avec S44'!$C:$BQ,52,0)</f>
        <v>147.4</v>
      </c>
      <c r="I16" s="115">
        <f>VLOOKUP($A16,'S0 remplacer avec S44'!$C:$BQ,59,0)</f>
        <v>37</v>
      </c>
      <c r="J16" s="115">
        <f>VLOOKUP($A16,'S0 remplacer avec S44'!$C:$BQ,60,0)</f>
        <v>74</v>
      </c>
      <c r="K16" s="107" t="e">
        <f>VLOOKUP($A16,'S45'!$C:$BQ,32,0)</f>
        <v>#N/A</v>
      </c>
      <c r="L16" s="107" t="e">
        <f>VLOOKUP($A16,'S45'!$C:$BQ,39,0)</f>
        <v>#N/A</v>
      </c>
      <c r="M16" s="107" t="e">
        <f>VLOOKUP($A16,'S45'!$C:$BQ,40,0)</f>
        <v>#N/A</v>
      </c>
      <c r="N16" s="107" t="e">
        <f>VLOOKUP($A16,'S45'!$C:$BQ,22,0)</f>
        <v>#N/A</v>
      </c>
      <c r="O16" s="115" t="e">
        <f>VLOOKUP($A16,'S45'!$C:$BQ,29,0)</f>
        <v>#N/A</v>
      </c>
      <c r="P16" s="115" t="e">
        <f>VLOOKUP($A16,'S45'!$C:$BQ,30,0)</f>
        <v>#N/A</v>
      </c>
      <c r="Q16" s="115" t="e">
        <f>VLOOKUP($A16,'S45'!$C:$BQ,52,0)</f>
        <v>#N/A</v>
      </c>
      <c r="R16" s="115" t="e">
        <f>VLOOKUP($A16,'S45'!$C:$BQ,59,0)</f>
        <v>#N/A</v>
      </c>
      <c r="S16" s="115" t="e">
        <f>VLOOKUP($A16,'S45'!$C:$BQ,60,0)</f>
        <v>#N/A</v>
      </c>
      <c r="T16" s="107" t="e">
        <f>VLOOKUP($A16,'S46'!$C:$BQ,32,0)</f>
        <v>#N/A</v>
      </c>
      <c r="U16" s="107" t="e">
        <f>VLOOKUP($A16,'S46'!$C:$BQ,39,0)</f>
        <v>#N/A</v>
      </c>
      <c r="V16" s="107" t="e">
        <f>VLOOKUP($A16,'S46'!$C:$BQ,40,0)</f>
        <v>#N/A</v>
      </c>
      <c r="W16" s="107" t="e">
        <f>VLOOKUP($A16,'S46'!$C:$BQ,22,0)</f>
        <v>#N/A</v>
      </c>
      <c r="X16" s="115" t="e">
        <f>VLOOKUP($A16,'S46'!$C:$BQ,29,0)</f>
        <v>#N/A</v>
      </c>
      <c r="Y16" s="115" t="e">
        <f>VLOOKUP($A16,'S46'!$C:$BQ,30,0)</f>
        <v>#N/A</v>
      </c>
      <c r="Z16" s="115" t="e">
        <f>VLOOKUP($A16,'S46'!$C:$BQ,52,0)</f>
        <v>#N/A</v>
      </c>
      <c r="AA16" s="115" t="e">
        <f>VLOOKUP($A16,'S46'!$C:$BQ,59,0)</f>
        <v>#N/A</v>
      </c>
      <c r="AB16" s="115" t="e">
        <f>VLOOKUP($A16,'S46'!$C:$BQ,60,0)</f>
        <v>#N/A</v>
      </c>
      <c r="AC16" s="107" t="e">
        <f>VLOOKUP($A16,'S47'!$C:$BQ,32,0)</f>
        <v>#N/A</v>
      </c>
      <c r="AD16" s="107" t="e">
        <f>VLOOKUP($A16,'S47'!$C:$BQ,39,0)</f>
        <v>#N/A</v>
      </c>
      <c r="AE16" s="107" t="e">
        <f>VLOOKUP($A16,'S47'!$C:$BQ,40,0)</f>
        <v>#N/A</v>
      </c>
      <c r="AF16" s="107" t="e">
        <f>VLOOKUP($A16,'S47'!$C:$BQ,22,0)</f>
        <v>#N/A</v>
      </c>
      <c r="AG16" s="115" t="e">
        <f>VLOOKUP($A16,'S47'!$C:$BQ,29,0)</f>
        <v>#N/A</v>
      </c>
      <c r="AH16" s="115" t="e">
        <f>VLOOKUP($A16,'S47'!$C:$BQ,30,0)</f>
        <v>#N/A</v>
      </c>
      <c r="AI16" s="115" t="e">
        <f>VLOOKUP($A16,'S47'!$C:$BQ,52,0)</f>
        <v>#N/A</v>
      </c>
      <c r="AJ16" s="115" t="e">
        <f>VLOOKUP($A16,'S47'!$C:$BQ,59,0)</f>
        <v>#N/A</v>
      </c>
      <c r="AK16" s="115" t="e">
        <f>VLOOKUP($A16,'S47'!$C:$BQ,60,0)</f>
        <v>#N/A</v>
      </c>
      <c r="AL16" s="107" t="e">
        <f>VLOOKUP($A16,'S48'!$C:$BQ,32,0)</f>
        <v>#N/A</v>
      </c>
      <c r="AM16" s="107" t="e">
        <f>VLOOKUP($A16,'S48'!$C:$BQ,39,0)</f>
        <v>#N/A</v>
      </c>
      <c r="AN16" s="107" t="e">
        <f>VLOOKUP($A16,'S48'!$C:$BQ,40,0)</f>
        <v>#N/A</v>
      </c>
      <c r="AO16" s="107" t="e">
        <f>VLOOKUP($A16,'S48'!$C:$BQ,22,0)</f>
        <v>#N/A</v>
      </c>
      <c r="AP16" s="115" t="e">
        <f>VLOOKUP($A16,'S48'!$C:$BQ,29,0)</f>
        <v>#N/A</v>
      </c>
      <c r="AQ16" s="115" t="e">
        <f>VLOOKUP($A16,'S48'!$C:$BQ,30,0)</f>
        <v>#N/A</v>
      </c>
      <c r="AR16" s="115" t="e">
        <f>VLOOKUP($A16,'S48'!$C:$BQ,52,0)</f>
        <v>#N/A</v>
      </c>
      <c r="AS16" s="115" t="e">
        <f>VLOOKUP($A16,'S48'!$C:$BQ,59,0)</f>
        <v>#N/A</v>
      </c>
      <c r="AT16" s="115" t="e">
        <f>VLOOKUP($A16,'S48'!$C:$BQ,60,0)</f>
        <v>#N/A</v>
      </c>
      <c r="AU16" s="107" t="e">
        <f>VLOOKUP($A16,'S49'!$C:$BQ,32,0)</f>
        <v>#N/A</v>
      </c>
      <c r="AV16" s="107" t="e">
        <f>VLOOKUP($A16,'S49'!$C:$BQ,39,0)</f>
        <v>#N/A</v>
      </c>
      <c r="AW16" s="107" t="e">
        <f>VLOOKUP($A16,'S49'!$C:$BQ,40,0)</f>
        <v>#N/A</v>
      </c>
      <c r="AX16" s="107" t="e">
        <f>VLOOKUP($A16,'S49'!$C:$BQ,22,0)</f>
        <v>#N/A</v>
      </c>
      <c r="AY16" s="115" t="e">
        <f>VLOOKUP($A16,'S49'!$C:$BQ,29,0)</f>
        <v>#N/A</v>
      </c>
      <c r="AZ16" s="115" t="e">
        <f>VLOOKUP($A16,'S49'!$C:$BQ,30,0)</f>
        <v>#N/A</v>
      </c>
      <c r="BA16" s="115" t="e">
        <f>VLOOKUP($A16,'S49'!$C:$BQ,52,0)</f>
        <v>#N/A</v>
      </c>
      <c r="BB16" s="115" t="e">
        <f>VLOOKUP($A16,'S49'!$C:$BQ,59,0)</f>
        <v>#N/A</v>
      </c>
      <c r="BC16" s="115" t="e">
        <f>VLOOKUP($A16,'S49'!$C:$BQ,60,0)</f>
        <v>#N/A</v>
      </c>
      <c r="BD16" s="107" t="e">
        <f>VLOOKUP($A16,'S50'!$C:$BQ,32,0)</f>
        <v>#N/A</v>
      </c>
      <c r="BE16" s="107" t="e">
        <f>VLOOKUP($A16,'S50'!$C:$BQ,39,0)</f>
        <v>#N/A</v>
      </c>
      <c r="BF16" s="107" t="e">
        <f>VLOOKUP($A16,'S50'!$C:$BQ,40,0)</f>
        <v>#N/A</v>
      </c>
      <c r="BG16" s="107" t="e">
        <f>VLOOKUP($A16,'S50'!$C:$BQ,22,0)</f>
        <v>#N/A</v>
      </c>
      <c r="BH16" s="115" t="e">
        <f>VLOOKUP($A16,'S50'!$C:$BQ,29,0)</f>
        <v>#N/A</v>
      </c>
      <c r="BI16" s="115" t="e">
        <f>VLOOKUP($A16,'S50'!$C:$BQ,30,0)</f>
        <v>#N/A</v>
      </c>
      <c r="BJ16" s="115" t="e">
        <f>VLOOKUP($A16,'S50'!$C:$BQ,52,0)</f>
        <v>#N/A</v>
      </c>
      <c r="BK16" s="115" t="e">
        <f>VLOOKUP($A16,'S50'!$C:$BQ,59,0)</f>
        <v>#N/A</v>
      </c>
      <c r="BL16" s="115" t="e">
        <f>VLOOKUP($A16,'S50'!$C:$BQ,60,0)</f>
        <v>#N/A</v>
      </c>
    </row>
    <row r="17" spans="1:64" x14ac:dyDescent="0.2">
      <c r="A17" s="106" t="s">
        <v>71</v>
      </c>
      <c r="B17" s="107">
        <f>VLOOKUP($A17,'S0 remplacer avec S44'!$C:$BQ,32,0)</f>
        <v>127.2</v>
      </c>
      <c r="C17" s="107">
        <f>VLOOKUP($A17,'S0 remplacer avec S44'!$C:$BQ,39,0)</f>
        <v>107</v>
      </c>
      <c r="D17" s="107">
        <f>VLOOKUP($A17,'S0 remplacer avec S44'!$C:$BQ,40,0)</f>
        <v>154</v>
      </c>
      <c r="E17" s="107">
        <f>VLOOKUP($A17,'S0 remplacer avec S44'!$C:$BQ,22,0)</f>
        <v>2093.089105</v>
      </c>
      <c r="F17" s="115">
        <f>VLOOKUP($A17,'S0 remplacer avec S44'!$C:$BQ,29,0)</f>
        <v>36</v>
      </c>
      <c r="G17" s="115">
        <f>VLOOKUP($A17,'S0 remplacer avec S44'!$C:$BQ,30,0)</f>
        <v>461</v>
      </c>
      <c r="H17" s="115">
        <f>VLOOKUP($A17,'S0 remplacer avec S44'!$C:$BQ,52,0)</f>
        <v>153.19999999999999</v>
      </c>
      <c r="I17" s="115">
        <f>VLOOKUP($A17,'S0 remplacer avec S44'!$C:$BQ,59,0)</f>
        <v>0</v>
      </c>
      <c r="J17" s="115">
        <f>VLOOKUP($A17,'S0 remplacer avec S44'!$C:$BQ,60,0)</f>
        <v>0</v>
      </c>
      <c r="K17" s="107" t="e">
        <f>VLOOKUP($A17,'S45'!$C:$BQ,32,0)</f>
        <v>#N/A</v>
      </c>
      <c r="L17" s="107" t="e">
        <f>VLOOKUP($A17,'S45'!$C:$BQ,39,0)</f>
        <v>#N/A</v>
      </c>
      <c r="M17" s="107" t="e">
        <f>VLOOKUP($A17,'S45'!$C:$BQ,40,0)</f>
        <v>#N/A</v>
      </c>
      <c r="N17" s="107" t="e">
        <f>VLOOKUP($A17,'S45'!$C:$BQ,22,0)</f>
        <v>#N/A</v>
      </c>
      <c r="O17" s="115" t="e">
        <f>VLOOKUP($A17,'S45'!$C:$BQ,29,0)</f>
        <v>#N/A</v>
      </c>
      <c r="P17" s="115" t="e">
        <f>VLOOKUP($A17,'S45'!$C:$BQ,30,0)</f>
        <v>#N/A</v>
      </c>
      <c r="Q17" s="115" t="e">
        <f>VLOOKUP($A17,'S45'!$C:$BQ,52,0)</f>
        <v>#N/A</v>
      </c>
      <c r="R17" s="115" t="e">
        <f>VLOOKUP($A17,'S45'!$C:$BQ,59,0)</f>
        <v>#N/A</v>
      </c>
      <c r="S17" s="115" t="e">
        <f>VLOOKUP($A17,'S45'!$C:$BQ,60,0)</f>
        <v>#N/A</v>
      </c>
      <c r="T17" s="107" t="e">
        <f>VLOOKUP($A17,'S46'!$C:$BQ,32,0)</f>
        <v>#N/A</v>
      </c>
      <c r="U17" s="107" t="e">
        <f>VLOOKUP($A17,'S46'!$C:$BQ,39,0)</f>
        <v>#N/A</v>
      </c>
      <c r="V17" s="107" t="e">
        <f>VLOOKUP($A17,'S46'!$C:$BQ,40,0)</f>
        <v>#N/A</v>
      </c>
      <c r="W17" s="107" t="e">
        <f>VLOOKUP($A17,'S46'!$C:$BQ,22,0)</f>
        <v>#N/A</v>
      </c>
      <c r="X17" s="115" t="e">
        <f>VLOOKUP($A17,'S46'!$C:$BQ,29,0)</f>
        <v>#N/A</v>
      </c>
      <c r="Y17" s="115" t="e">
        <f>VLOOKUP($A17,'S46'!$C:$BQ,30,0)</f>
        <v>#N/A</v>
      </c>
      <c r="Z17" s="115" t="e">
        <f>VLOOKUP($A17,'S46'!$C:$BQ,52,0)</f>
        <v>#N/A</v>
      </c>
      <c r="AA17" s="115" t="e">
        <f>VLOOKUP($A17,'S46'!$C:$BQ,59,0)</f>
        <v>#N/A</v>
      </c>
      <c r="AB17" s="115" t="e">
        <f>VLOOKUP($A17,'S46'!$C:$BQ,60,0)</f>
        <v>#N/A</v>
      </c>
      <c r="AC17" s="107" t="e">
        <f>VLOOKUP($A17,'S47'!$C:$BQ,32,0)</f>
        <v>#N/A</v>
      </c>
      <c r="AD17" s="107" t="e">
        <f>VLOOKUP($A17,'S47'!$C:$BQ,39,0)</f>
        <v>#N/A</v>
      </c>
      <c r="AE17" s="107" t="e">
        <f>VLOOKUP($A17,'S47'!$C:$BQ,40,0)</f>
        <v>#N/A</v>
      </c>
      <c r="AF17" s="107" t="e">
        <f>VLOOKUP($A17,'S47'!$C:$BQ,22,0)</f>
        <v>#N/A</v>
      </c>
      <c r="AG17" s="115" t="e">
        <f>VLOOKUP($A17,'S47'!$C:$BQ,29,0)</f>
        <v>#N/A</v>
      </c>
      <c r="AH17" s="115" t="e">
        <f>VLOOKUP($A17,'S47'!$C:$BQ,30,0)</f>
        <v>#N/A</v>
      </c>
      <c r="AI17" s="115" t="e">
        <f>VLOOKUP($A17,'S47'!$C:$BQ,52,0)</f>
        <v>#N/A</v>
      </c>
      <c r="AJ17" s="115" t="e">
        <f>VLOOKUP($A17,'S47'!$C:$BQ,59,0)</f>
        <v>#N/A</v>
      </c>
      <c r="AK17" s="115" t="e">
        <f>VLOOKUP($A17,'S47'!$C:$BQ,60,0)</f>
        <v>#N/A</v>
      </c>
      <c r="AL17" s="107" t="e">
        <f>VLOOKUP($A17,'S48'!$C:$BQ,32,0)</f>
        <v>#N/A</v>
      </c>
      <c r="AM17" s="107" t="e">
        <f>VLOOKUP($A17,'S48'!$C:$BQ,39,0)</f>
        <v>#N/A</v>
      </c>
      <c r="AN17" s="107" t="e">
        <f>VLOOKUP($A17,'S48'!$C:$BQ,40,0)</f>
        <v>#N/A</v>
      </c>
      <c r="AO17" s="107" t="e">
        <f>VLOOKUP($A17,'S48'!$C:$BQ,22,0)</f>
        <v>#N/A</v>
      </c>
      <c r="AP17" s="115" t="e">
        <f>VLOOKUP($A17,'S48'!$C:$BQ,29,0)</f>
        <v>#N/A</v>
      </c>
      <c r="AQ17" s="115" t="e">
        <f>VLOOKUP($A17,'S48'!$C:$BQ,30,0)</f>
        <v>#N/A</v>
      </c>
      <c r="AR17" s="115" t="e">
        <f>VLOOKUP($A17,'S48'!$C:$BQ,52,0)</f>
        <v>#N/A</v>
      </c>
      <c r="AS17" s="115" t="e">
        <f>VLOOKUP($A17,'S48'!$C:$BQ,59,0)</f>
        <v>#N/A</v>
      </c>
      <c r="AT17" s="115" t="e">
        <f>VLOOKUP($A17,'S48'!$C:$BQ,60,0)</f>
        <v>#N/A</v>
      </c>
      <c r="AU17" s="107" t="e">
        <f>VLOOKUP($A17,'S49'!$C:$BQ,32,0)</f>
        <v>#N/A</v>
      </c>
      <c r="AV17" s="107" t="e">
        <f>VLOOKUP($A17,'S49'!$C:$BQ,39,0)</f>
        <v>#N/A</v>
      </c>
      <c r="AW17" s="107" t="e">
        <f>VLOOKUP($A17,'S49'!$C:$BQ,40,0)</f>
        <v>#N/A</v>
      </c>
      <c r="AX17" s="107" t="e">
        <f>VLOOKUP($A17,'S49'!$C:$BQ,22,0)</f>
        <v>#N/A</v>
      </c>
      <c r="AY17" s="115" t="e">
        <f>VLOOKUP($A17,'S49'!$C:$BQ,29,0)</f>
        <v>#N/A</v>
      </c>
      <c r="AZ17" s="115" t="e">
        <f>VLOOKUP($A17,'S49'!$C:$BQ,30,0)</f>
        <v>#N/A</v>
      </c>
      <c r="BA17" s="115" t="e">
        <f>VLOOKUP($A17,'S49'!$C:$BQ,52,0)</f>
        <v>#N/A</v>
      </c>
      <c r="BB17" s="115" t="e">
        <f>VLOOKUP($A17,'S49'!$C:$BQ,59,0)</f>
        <v>#N/A</v>
      </c>
      <c r="BC17" s="115" t="e">
        <f>VLOOKUP($A17,'S49'!$C:$BQ,60,0)</f>
        <v>#N/A</v>
      </c>
      <c r="BD17" s="107" t="e">
        <f>VLOOKUP($A17,'S50'!$C:$BQ,32,0)</f>
        <v>#N/A</v>
      </c>
      <c r="BE17" s="107" t="e">
        <f>VLOOKUP($A17,'S50'!$C:$BQ,39,0)</f>
        <v>#N/A</v>
      </c>
      <c r="BF17" s="107" t="e">
        <f>VLOOKUP($A17,'S50'!$C:$BQ,40,0)</f>
        <v>#N/A</v>
      </c>
      <c r="BG17" s="107" t="e">
        <f>VLOOKUP($A17,'S50'!$C:$BQ,22,0)</f>
        <v>#N/A</v>
      </c>
      <c r="BH17" s="115" t="e">
        <f>VLOOKUP($A17,'S50'!$C:$BQ,29,0)</f>
        <v>#N/A</v>
      </c>
      <c r="BI17" s="115" t="e">
        <f>VLOOKUP($A17,'S50'!$C:$BQ,30,0)</f>
        <v>#N/A</v>
      </c>
      <c r="BJ17" s="115" t="e">
        <f>VLOOKUP($A17,'S50'!$C:$BQ,52,0)</f>
        <v>#N/A</v>
      </c>
      <c r="BK17" s="115" t="e">
        <f>VLOOKUP($A17,'S50'!$C:$BQ,59,0)</f>
        <v>#N/A</v>
      </c>
      <c r="BL17" s="115" t="e">
        <f>VLOOKUP($A17,'S50'!$C:$BQ,60,0)</f>
        <v>#N/A</v>
      </c>
    </row>
    <row r="18" spans="1:64" x14ac:dyDescent="0.2">
      <c r="A18" s="106" t="s">
        <v>72</v>
      </c>
      <c r="B18" s="107">
        <f>VLOOKUP($A18,'S0 remplacer avec S44'!$C:$BQ,32,0)</f>
        <v>219.4</v>
      </c>
      <c r="C18" s="107">
        <f>VLOOKUP($A18,'S0 remplacer avec S44'!$C:$BQ,39,0)</f>
        <v>199</v>
      </c>
      <c r="D18" s="107">
        <f>VLOOKUP($A18,'S0 remplacer avec S44'!$C:$BQ,40,0)</f>
        <v>282</v>
      </c>
      <c r="E18" s="107">
        <f>VLOOKUP($A18,'S0 remplacer avec S44'!$C:$BQ,22,0)</f>
        <v>3909.6068</v>
      </c>
      <c r="F18" s="115">
        <f>VLOOKUP($A18,'S0 remplacer avec S44'!$C:$BQ,29,0)</f>
        <v>0</v>
      </c>
      <c r="G18" s="115">
        <f>VLOOKUP($A18,'S0 remplacer avec S44'!$C:$BQ,30,0)</f>
        <v>650</v>
      </c>
      <c r="H18" s="115">
        <f>VLOOKUP($A18,'S0 remplacer avec S44'!$C:$BQ,52,0)</f>
        <v>252.8</v>
      </c>
      <c r="I18" s="115">
        <f>VLOOKUP($A18,'S0 remplacer avec S44'!$C:$BQ,59,0)</f>
        <v>0</v>
      </c>
      <c r="J18" s="115">
        <f>VLOOKUP($A18,'S0 remplacer avec S44'!$C:$BQ,60,0)</f>
        <v>2</v>
      </c>
      <c r="K18" s="107" t="e">
        <f>VLOOKUP($A18,'S45'!$C:$BQ,32,0)</f>
        <v>#N/A</v>
      </c>
      <c r="L18" s="107" t="e">
        <f>VLOOKUP($A18,'S45'!$C:$BQ,39,0)</f>
        <v>#N/A</v>
      </c>
      <c r="M18" s="107" t="e">
        <f>VLOOKUP($A18,'S45'!$C:$BQ,40,0)</f>
        <v>#N/A</v>
      </c>
      <c r="N18" s="107" t="e">
        <f>VLOOKUP($A18,'S45'!$C:$BQ,22,0)</f>
        <v>#N/A</v>
      </c>
      <c r="O18" s="115" t="e">
        <f>VLOOKUP($A18,'S45'!$C:$BQ,29,0)</f>
        <v>#N/A</v>
      </c>
      <c r="P18" s="115" t="e">
        <f>VLOOKUP($A18,'S45'!$C:$BQ,30,0)</f>
        <v>#N/A</v>
      </c>
      <c r="Q18" s="115" t="e">
        <f>VLOOKUP($A18,'S45'!$C:$BQ,52,0)</f>
        <v>#N/A</v>
      </c>
      <c r="R18" s="115" t="e">
        <f>VLOOKUP($A18,'S45'!$C:$BQ,59,0)</f>
        <v>#N/A</v>
      </c>
      <c r="S18" s="115" t="e">
        <f>VLOOKUP($A18,'S45'!$C:$BQ,60,0)</f>
        <v>#N/A</v>
      </c>
      <c r="T18" s="107" t="e">
        <f>VLOOKUP($A18,'S46'!$C:$BQ,32,0)</f>
        <v>#N/A</v>
      </c>
      <c r="U18" s="107" t="e">
        <f>VLOOKUP($A18,'S46'!$C:$BQ,39,0)</f>
        <v>#N/A</v>
      </c>
      <c r="V18" s="107" t="e">
        <f>VLOOKUP($A18,'S46'!$C:$BQ,40,0)</f>
        <v>#N/A</v>
      </c>
      <c r="W18" s="107" t="e">
        <f>VLOOKUP($A18,'S46'!$C:$BQ,22,0)</f>
        <v>#N/A</v>
      </c>
      <c r="X18" s="115" t="e">
        <f>VLOOKUP($A18,'S46'!$C:$BQ,29,0)</f>
        <v>#N/A</v>
      </c>
      <c r="Y18" s="115" t="e">
        <f>VLOOKUP($A18,'S46'!$C:$BQ,30,0)</f>
        <v>#N/A</v>
      </c>
      <c r="Z18" s="115" t="e">
        <f>VLOOKUP($A18,'S46'!$C:$BQ,52,0)</f>
        <v>#N/A</v>
      </c>
      <c r="AA18" s="115" t="e">
        <f>VLOOKUP($A18,'S46'!$C:$BQ,59,0)</f>
        <v>#N/A</v>
      </c>
      <c r="AB18" s="115" t="e">
        <f>VLOOKUP($A18,'S46'!$C:$BQ,60,0)</f>
        <v>#N/A</v>
      </c>
      <c r="AC18" s="107" t="e">
        <f>VLOOKUP($A18,'S47'!$C:$BQ,32,0)</f>
        <v>#N/A</v>
      </c>
      <c r="AD18" s="107" t="e">
        <f>VLOOKUP($A18,'S47'!$C:$BQ,39,0)</f>
        <v>#N/A</v>
      </c>
      <c r="AE18" s="107" t="e">
        <f>VLOOKUP($A18,'S47'!$C:$BQ,40,0)</f>
        <v>#N/A</v>
      </c>
      <c r="AF18" s="107" t="e">
        <f>VLOOKUP($A18,'S47'!$C:$BQ,22,0)</f>
        <v>#N/A</v>
      </c>
      <c r="AG18" s="115" t="e">
        <f>VLOOKUP($A18,'S47'!$C:$BQ,29,0)</f>
        <v>#N/A</v>
      </c>
      <c r="AH18" s="115" t="e">
        <f>VLOOKUP($A18,'S47'!$C:$BQ,30,0)</f>
        <v>#N/A</v>
      </c>
      <c r="AI18" s="115" t="e">
        <f>VLOOKUP($A18,'S47'!$C:$BQ,52,0)</f>
        <v>#N/A</v>
      </c>
      <c r="AJ18" s="115" t="e">
        <f>VLOOKUP($A18,'S47'!$C:$BQ,59,0)</f>
        <v>#N/A</v>
      </c>
      <c r="AK18" s="115" t="e">
        <f>VLOOKUP($A18,'S47'!$C:$BQ,60,0)</f>
        <v>#N/A</v>
      </c>
      <c r="AL18" s="107" t="e">
        <f>VLOOKUP($A18,'S48'!$C:$BQ,32,0)</f>
        <v>#N/A</v>
      </c>
      <c r="AM18" s="107" t="e">
        <f>VLOOKUP($A18,'S48'!$C:$BQ,39,0)</f>
        <v>#N/A</v>
      </c>
      <c r="AN18" s="107" t="e">
        <f>VLOOKUP($A18,'S48'!$C:$BQ,40,0)</f>
        <v>#N/A</v>
      </c>
      <c r="AO18" s="107" t="e">
        <f>VLOOKUP($A18,'S48'!$C:$BQ,22,0)</f>
        <v>#N/A</v>
      </c>
      <c r="AP18" s="115" t="e">
        <f>VLOOKUP($A18,'S48'!$C:$BQ,29,0)</f>
        <v>#N/A</v>
      </c>
      <c r="AQ18" s="115" t="e">
        <f>VLOOKUP($A18,'S48'!$C:$BQ,30,0)</f>
        <v>#N/A</v>
      </c>
      <c r="AR18" s="115" t="e">
        <f>VLOOKUP($A18,'S48'!$C:$BQ,52,0)</f>
        <v>#N/A</v>
      </c>
      <c r="AS18" s="115" t="e">
        <f>VLOOKUP($A18,'S48'!$C:$BQ,59,0)</f>
        <v>#N/A</v>
      </c>
      <c r="AT18" s="115" t="e">
        <f>VLOOKUP($A18,'S48'!$C:$BQ,60,0)</f>
        <v>#N/A</v>
      </c>
      <c r="AU18" s="107" t="e">
        <f>VLOOKUP($A18,'S49'!$C:$BQ,32,0)</f>
        <v>#N/A</v>
      </c>
      <c r="AV18" s="107" t="e">
        <f>VLOOKUP($A18,'S49'!$C:$BQ,39,0)</f>
        <v>#N/A</v>
      </c>
      <c r="AW18" s="107" t="e">
        <f>VLOOKUP($A18,'S49'!$C:$BQ,40,0)</f>
        <v>#N/A</v>
      </c>
      <c r="AX18" s="107" t="e">
        <f>VLOOKUP($A18,'S49'!$C:$BQ,22,0)</f>
        <v>#N/A</v>
      </c>
      <c r="AY18" s="115" t="e">
        <f>VLOOKUP($A18,'S49'!$C:$BQ,29,0)</f>
        <v>#N/A</v>
      </c>
      <c r="AZ18" s="115" t="e">
        <f>VLOOKUP($A18,'S49'!$C:$BQ,30,0)</f>
        <v>#N/A</v>
      </c>
      <c r="BA18" s="115" t="e">
        <f>VLOOKUP($A18,'S49'!$C:$BQ,52,0)</f>
        <v>#N/A</v>
      </c>
      <c r="BB18" s="115" t="e">
        <f>VLOOKUP($A18,'S49'!$C:$BQ,59,0)</f>
        <v>#N/A</v>
      </c>
      <c r="BC18" s="115" t="e">
        <f>VLOOKUP($A18,'S49'!$C:$BQ,60,0)</f>
        <v>#N/A</v>
      </c>
      <c r="BD18" s="107" t="e">
        <f>VLOOKUP($A18,'S50'!$C:$BQ,32,0)</f>
        <v>#N/A</v>
      </c>
      <c r="BE18" s="107" t="e">
        <f>VLOOKUP($A18,'S50'!$C:$BQ,39,0)</f>
        <v>#N/A</v>
      </c>
      <c r="BF18" s="107" t="e">
        <f>VLOOKUP($A18,'S50'!$C:$BQ,40,0)</f>
        <v>#N/A</v>
      </c>
      <c r="BG18" s="107" t="e">
        <f>VLOOKUP($A18,'S50'!$C:$BQ,22,0)</f>
        <v>#N/A</v>
      </c>
      <c r="BH18" s="115" t="e">
        <f>VLOOKUP($A18,'S50'!$C:$BQ,29,0)</f>
        <v>#N/A</v>
      </c>
      <c r="BI18" s="115" t="e">
        <f>VLOOKUP($A18,'S50'!$C:$BQ,30,0)</f>
        <v>#N/A</v>
      </c>
      <c r="BJ18" s="115" t="e">
        <f>VLOOKUP($A18,'S50'!$C:$BQ,52,0)</f>
        <v>#N/A</v>
      </c>
      <c r="BK18" s="115" t="e">
        <f>VLOOKUP($A18,'S50'!$C:$BQ,59,0)</f>
        <v>#N/A</v>
      </c>
      <c r="BL18" s="115" t="e">
        <f>VLOOKUP($A18,'S50'!$C:$BQ,60,0)</f>
        <v>#N/A</v>
      </c>
    </row>
    <row r="19" spans="1:64" x14ac:dyDescent="0.2">
      <c r="A19" s="106" t="s">
        <v>73</v>
      </c>
      <c r="B19" s="107">
        <f>VLOOKUP($A19,'S0 remplacer avec S44'!$C:$BQ,32,0)</f>
        <v>129.5</v>
      </c>
      <c r="C19" s="107">
        <f>VLOOKUP($A19,'S0 remplacer avec S44'!$C:$BQ,39,0)</f>
        <v>143</v>
      </c>
      <c r="D19" s="107">
        <f>VLOOKUP($A19,'S0 remplacer avec S44'!$C:$BQ,40,0)</f>
        <v>197</v>
      </c>
      <c r="E19" s="107">
        <f>VLOOKUP($A19,'S0 remplacer avec S44'!$C:$BQ,22,0)</f>
        <v>2346.31342</v>
      </c>
      <c r="F19" s="115">
        <f>VLOOKUP($A19,'S0 remplacer avec S44'!$C:$BQ,29,0)</f>
        <v>128</v>
      </c>
      <c r="G19" s="115">
        <f>VLOOKUP($A19,'S0 remplacer avec S44'!$C:$BQ,30,0)</f>
        <v>623</v>
      </c>
      <c r="H19" s="115">
        <f>VLOOKUP($A19,'S0 remplacer avec S44'!$C:$BQ,52,0)</f>
        <v>152.4</v>
      </c>
      <c r="I19" s="115">
        <f>VLOOKUP($A19,'S0 remplacer avec S44'!$C:$BQ,59,0)</f>
        <v>0</v>
      </c>
      <c r="J19" s="115">
        <f>VLOOKUP($A19,'S0 remplacer avec S44'!$C:$BQ,60,0)</f>
        <v>14</v>
      </c>
      <c r="K19" s="107" t="e">
        <f>VLOOKUP($A19,'S45'!$C:$BQ,32,0)</f>
        <v>#N/A</v>
      </c>
      <c r="L19" s="107" t="e">
        <f>VLOOKUP($A19,'S45'!$C:$BQ,39,0)</f>
        <v>#N/A</v>
      </c>
      <c r="M19" s="107" t="e">
        <f>VLOOKUP($A19,'S45'!$C:$BQ,40,0)</f>
        <v>#N/A</v>
      </c>
      <c r="N19" s="107" t="e">
        <f>VLOOKUP($A19,'S45'!$C:$BQ,22,0)</f>
        <v>#N/A</v>
      </c>
      <c r="O19" s="115" t="e">
        <f>VLOOKUP($A19,'S45'!$C:$BQ,29,0)</f>
        <v>#N/A</v>
      </c>
      <c r="P19" s="115" t="e">
        <f>VLOOKUP($A19,'S45'!$C:$BQ,30,0)</f>
        <v>#N/A</v>
      </c>
      <c r="Q19" s="115" t="e">
        <f>VLOOKUP($A19,'S45'!$C:$BQ,52,0)</f>
        <v>#N/A</v>
      </c>
      <c r="R19" s="115" t="e">
        <f>VLOOKUP($A19,'S45'!$C:$BQ,59,0)</f>
        <v>#N/A</v>
      </c>
      <c r="S19" s="115" t="e">
        <f>VLOOKUP($A19,'S45'!$C:$BQ,60,0)</f>
        <v>#N/A</v>
      </c>
      <c r="T19" s="107" t="e">
        <f>VLOOKUP($A19,'S46'!$C:$BQ,32,0)</f>
        <v>#N/A</v>
      </c>
      <c r="U19" s="107" t="e">
        <f>VLOOKUP($A19,'S46'!$C:$BQ,39,0)</f>
        <v>#N/A</v>
      </c>
      <c r="V19" s="107" t="e">
        <f>VLOOKUP($A19,'S46'!$C:$BQ,40,0)</f>
        <v>#N/A</v>
      </c>
      <c r="W19" s="107" t="e">
        <f>VLOOKUP($A19,'S46'!$C:$BQ,22,0)</f>
        <v>#N/A</v>
      </c>
      <c r="X19" s="115" t="e">
        <f>VLOOKUP($A19,'S46'!$C:$BQ,29,0)</f>
        <v>#N/A</v>
      </c>
      <c r="Y19" s="115" t="e">
        <f>VLOOKUP($A19,'S46'!$C:$BQ,30,0)</f>
        <v>#N/A</v>
      </c>
      <c r="Z19" s="115" t="e">
        <f>VLOOKUP($A19,'S46'!$C:$BQ,52,0)</f>
        <v>#N/A</v>
      </c>
      <c r="AA19" s="115" t="e">
        <f>VLOOKUP($A19,'S46'!$C:$BQ,59,0)</f>
        <v>#N/A</v>
      </c>
      <c r="AB19" s="115" t="e">
        <f>VLOOKUP($A19,'S46'!$C:$BQ,60,0)</f>
        <v>#N/A</v>
      </c>
      <c r="AC19" s="107" t="e">
        <f>VLOOKUP($A19,'S47'!$C:$BQ,32,0)</f>
        <v>#N/A</v>
      </c>
      <c r="AD19" s="107" t="e">
        <f>VLOOKUP($A19,'S47'!$C:$BQ,39,0)</f>
        <v>#N/A</v>
      </c>
      <c r="AE19" s="107" t="e">
        <f>VLOOKUP($A19,'S47'!$C:$BQ,40,0)</f>
        <v>#N/A</v>
      </c>
      <c r="AF19" s="107" t="e">
        <f>VLOOKUP($A19,'S47'!$C:$BQ,22,0)</f>
        <v>#N/A</v>
      </c>
      <c r="AG19" s="115" t="e">
        <f>VLOOKUP($A19,'S47'!$C:$BQ,29,0)</f>
        <v>#N/A</v>
      </c>
      <c r="AH19" s="115" t="e">
        <f>VLOOKUP($A19,'S47'!$C:$BQ,30,0)</f>
        <v>#N/A</v>
      </c>
      <c r="AI19" s="115" t="e">
        <f>VLOOKUP($A19,'S47'!$C:$BQ,52,0)</f>
        <v>#N/A</v>
      </c>
      <c r="AJ19" s="115" t="e">
        <f>VLOOKUP($A19,'S47'!$C:$BQ,59,0)</f>
        <v>#N/A</v>
      </c>
      <c r="AK19" s="115" t="e">
        <f>VLOOKUP($A19,'S47'!$C:$BQ,60,0)</f>
        <v>#N/A</v>
      </c>
      <c r="AL19" s="107" t="e">
        <f>VLOOKUP($A19,'S48'!$C:$BQ,32,0)</f>
        <v>#N/A</v>
      </c>
      <c r="AM19" s="107" t="e">
        <f>VLOOKUP($A19,'S48'!$C:$BQ,39,0)</f>
        <v>#N/A</v>
      </c>
      <c r="AN19" s="107" t="e">
        <f>VLOOKUP($A19,'S48'!$C:$BQ,40,0)</f>
        <v>#N/A</v>
      </c>
      <c r="AO19" s="107" t="e">
        <f>VLOOKUP($A19,'S48'!$C:$BQ,22,0)</f>
        <v>#N/A</v>
      </c>
      <c r="AP19" s="115" t="e">
        <f>VLOOKUP($A19,'S48'!$C:$BQ,29,0)</f>
        <v>#N/A</v>
      </c>
      <c r="AQ19" s="115" t="e">
        <f>VLOOKUP($A19,'S48'!$C:$BQ,30,0)</f>
        <v>#N/A</v>
      </c>
      <c r="AR19" s="115" t="e">
        <f>VLOOKUP($A19,'S48'!$C:$BQ,52,0)</f>
        <v>#N/A</v>
      </c>
      <c r="AS19" s="115" t="e">
        <f>VLOOKUP($A19,'S48'!$C:$BQ,59,0)</f>
        <v>#N/A</v>
      </c>
      <c r="AT19" s="115" t="e">
        <f>VLOOKUP($A19,'S48'!$C:$BQ,60,0)</f>
        <v>#N/A</v>
      </c>
      <c r="AU19" s="107" t="e">
        <f>VLOOKUP($A19,'S49'!$C:$BQ,32,0)</f>
        <v>#N/A</v>
      </c>
      <c r="AV19" s="107" t="e">
        <f>VLOOKUP($A19,'S49'!$C:$BQ,39,0)</f>
        <v>#N/A</v>
      </c>
      <c r="AW19" s="107" t="e">
        <f>VLOOKUP($A19,'S49'!$C:$BQ,40,0)</f>
        <v>#N/A</v>
      </c>
      <c r="AX19" s="107" t="e">
        <f>VLOOKUP($A19,'S49'!$C:$BQ,22,0)</f>
        <v>#N/A</v>
      </c>
      <c r="AY19" s="115" t="e">
        <f>VLOOKUP($A19,'S49'!$C:$BQ,29,0)</f>
        <v>#N/A</v>
      </c>
      <c r="AZ19" s="115" t="e">
        <f>VLOOKUP($A19,'S49'!$C:$BQ,30,0)</f>
        <v>#N/A</v>
      </c>
      <c r="BA19" s="115" t="e">
        <f>VLOOKUP($A19,'S49'!$C:$BQ,52,0)</f>
        <v>#N/A</v>
      </c>
      <c r="BB19" s="115" t="e">
        <f>VLOOKUP($A19,'S49'!$C:$BQ,59,0)</f>
        <v>#N/A</v>
      </c>
      <c r="BC19" s="115" t="e">
        <f>VLOOKUP($A19,'S49'!$C:$BQ,60,0)</f>
        <v>#N/A</v>
      </c>
      <c r="BD19" s="107" t="e">
        <f>VLOOKUP($A19,'S50'!$C:$BQ,32,0)</f>
        <v>#N/A</v>
      </c>
      <c r="BE19" s="107" t="e">
        <f>VLOOKUP($A19,'S50'!$C:$BQ,39,0)</f>
        <v>#N/A</v>
      </c>
      <c r="BF19" s="107" t="e">
        <f>VLOOKUP($A19,'S50'!$C:$BQ,40,0)</f>
        <v>#N/A</v>
      </c>
      <c r="BG19" s="107" t="e">
        <f>VLOOKUP($A19,'S50'!$C:$BQ,22,0)</f>
        <v>#N/A</v>
      </c>
      <c r="BH19" s="115" t="e">
        <f>VLOOKUP($A19,'S50'!$C:$BQ,29,0)</f>
        <v>#N/A</v>
      </c>
      <c r="BI19" s="115" t="e">
        <f>VLOOKUP($A19,'S50'!$C:$BQ,30,0)</f>
        <v>#N/A</v>
      </c>
      <c r="BJ19" s="115" t="e">
        <f>VLOOKUP($A19,'S50'!$C:$BQ,52,0)</f>
        <v>#N/A</v>
      </c>
      <c r="BK19" s="115" t="e">
        <f>VLOOKUP($A19,'S50'!$C:$BQ,59,0)</f>
        <v>#N/A</v>
      </c>
      <c r="BL19" s="115" t="e">
        <f>VLOOKUP($A19,'S50'!$C:$BQ,60,0)</f>
        <v>#N/A</v>
      </c>
    </row>
    <row r="20" spans="1:64" x14ac:dyDescent="0.2">
      <c r="A20" s="106" t="s">
        <v>74</v>
      </c>
      <c r="B20" s="107">
        <f>VLOOKUP($A20,'S0 remplacer avec S44'!$C:$BQ,32,0)</f>
        <v>89.5</v>
      </c>
      <c r="C20" s="107">
        <f>VLOOKUP($A20,'S0 remplacer avec S44'!$C:$BQ,39,0)</f>
        <v>193</v>
      </c>
      <c r="D20" s="107">
        <f>VLOOKUP($A20,'S0 remplacer avec S44'!$C:$BQ,40,0)</f>
        <v>249</v>
      </c>
      <c r="E20" s="107">
        <f>VLOOKUP($A20,'S0 remplacer avec S44'!$C:$BQ,22,0)</f>
        <v>2122.2380349999999</v>
      </c>
      <c r="F20" s="115">
        <f>VLOOKUP($A20,'S0 remplacer avec S44'!$C:$BQ,29,0)</f>
        <v>443</v>
      </c>
      <c r="G20" s="115">
        <f>VLOOKUP($A20,'S0 remplacer avec S44'!$C:$BQ,30,0)</f>
        <v>956</v>
      </c>
      <c r="H20" s="115">
        <f>VLOOKUP($A20,'S0 remplacer avec S44'!$C:$BQ,52,0)</f>
        <v>115.6</v>
      </c>
      <c r="I20" s="115">
        <f>VLOOKUP($A20,'S0 remplacer avec S44'!$C:$BQ,59,0)</f>
        <v>28</v>
      </c>
      <c r="J20" s="115">
        <f>VLOOKUP($A20,'S0 remplacer avec S44'!$C:$BQ,60,0)</f>
        <v>57</v>
      </c>
      <c r="K20" s="107" t="e">
        <f>VLOOKUP($A20,'S45'!$C:$BQ,32,0)</f>
        <v>#N/A</v>
      </c>
      <c r="L20" s="107" t="e">
        <f>VLOOKUP($A20,'S45'!$C:$BQ,39,0)</f>
        <v>#N/A</v>
      </c>
      <c r="M20" s="107" t="e">
        <f>VLOOKUP($A20,'S45'!$C:$BQ,40,0)</f>
        <v>#N/A</v>
      </c>
      <c r="N20" s="107" t="e">
        <f>VLOOKUP($A20,'S45'!$C:$BQ,22,0)</f>
        <v>#N/A</v>
      </c>
      <c r="O20" s="115" t="e">
        <f>VLOOKUP($A20,'S45'!$C:$BQ,29,0)</f>
        <v>#N/A</v>
      </c>
      <c r="P20" s="115" t="e">
        <f>VLOOKUP($A20,'S45'!$C:$BQ,30,0)</f>
        <v>#N/A</v>
      </c>
      <c r="Q20" s="115" t="e">
        <f>VLOOKUP($A20,'S45'!$C:$BQ,52,0)</f>
        <v>#N/A</v>
      </c>
      <c r="R20" s="115" t="e">
        <f>VLOOKUP($A20,'S45'!$C:$BQ,59,0)</f>
        <v>#N/A</v>
      </c>
      <c r="S20" s="115" t="e">
        <f>VLOOKUP($A20,'S45'!$C:$BQ,60,0)</f>
        <v>#N/A</v>
      </c>
      <c r="T20" s="107" t="e">
        <f>VLOOKUP($A20,'S46'!$C:$BQ,32,0)</f>
        <v>#N/A</v>
      </c>
      <c r="U20" s="107" t="e">
        <f>VLOOKUP($A20,'S46'!$C:$BQ,39,0)</f>
        <v>#N/A</v>
      </c>
      <c r="V20" s="107" t="e">
        <f>VLOOKUP($A20,'S46'!$C:$BQ,40,0)</f>
        <v>#N/A</v>
      </c>
      <c r="W20" s="107" t="e">
        <f>VLOOKUP($A20,'S46'!$C:$BQ,22,0)</f>
        <v>#N/A</v>
      </c>
      <c r="X20" s="115" t="e">
        <f>VLOOKUP($A20,'S46'!$C:$BQ,29,0)</f>
        <v>#N/A</v>
      </c>
      <c r="Y20" s="115" t="e">
        <f>VLOOKUP($A20,'S46'!$C:$BQ,30,0)</f>
        <v>#N/A</v>
      </c>
      <c r="Z20" s="115" t="e">
        <f>VLOOKUP($A20,'S46'!$C:$BQ,52,0)</f>
        <v>#N/A</v>
      </c>
      <c r="AA20" s="115" t="e">
        <f>VLOOKUP($A20,'S46'!$C:$BQ,59,0)</f>
        <v>#N/A</v>
      </c>
      <c r="AB20" s="115" t="e">
        <f>VLOOKUP($A20,'S46'!$C:$BQ,60,0)</f>
        <v>#N/A</v>
      </c>
      <c r="AC20" s="107" t="e">
        <f>VLOOKUP($A20,'S47'!$C:$BQ,32,0)</f>
        <v>#N/A</v>
      </c>
      <c r="AD20" s="107" t="e">
        <f>VLOOKUP($A20,'S47'!$C:$BQ,39,0)</f>
        <v>#N/A</v>
      </c>
      <c r="AE20" s="107" t="e">
        <f>VLOOKUP($A20,'S47'!$C:$BQ,40,0)</f>
        <v>#N/A</v>
      </c>
      <c r="AF20" s="107" t="e">
        <f>VLOOKUP($A20,'S47'!$C:$BQ,22,0)</f>
        <v>#N/A</v>
      </c>
      <c r="AG20" s="115" t="e">
        <f>VLOOKUP($A20,'S47'!$C:$BQ,29,0)</f>
        <v>#N/A</v>
      </c>
      <c r="AH20" s="115" t="e">
        <f>VLOOKUP($A20,'S47'!$C:$BQ,30,0)</f>
        <v>#N/A</v>
      </c>
      <c r="AI20" s="115" t="e">
        <f>VLOOKUP($A20,'S47'!$C:$BQ,52,0)</f>
        <v>#N/A</v>
      </c>
      <c r="AJ20" s="115" t="e">
        <f>VLOOKUP($A20,'S47'!$C:$BQ,59,0)</f>
        <v>#N/A</v>
      </c>
      <c r="AK20" s="115" t="e">
        <f>VLOOKUP($A20,'S47'!$C:$BQ,60,0)</f>
        <v>#N/A</v>
      </c>
      <c r="AL20" s="107" t="e">
        <f>VLOOKUP($A20,'S48'!$C:$BQ,32,0)</f>
        <v>#N/A</v>
      </c>
      <c r="AM20" s="107" t="e">
        <f>VLOOKUP($A20,'S48'!$C:$BQ,39,0)</f>
        <v>#N/A</v>
      </c>
      <c r="AN20" s="107" t="e">
        <f>VLOOKUP($A20,'S48'!$C:$BQ,40,0)</f>
        <v>#N/A</v>
      </c>
      <c r="AO20" s="107" t="e">
        <f>VLOOKUP($A20,'S48'!$C:$BQ,22,0)</f>
        <v>#N/A</v>
      </c>
      <c r="AP20" s="115" t="e">
        <f>VLOOKUP($A20,'S48'!$C:$BQ,29,0)</f>
        <v>#N/A</v>
      </c>
      <c r="AQ20" s="115" t="e">
        <f>VLOOKUP($A20,'S48'!$C:$BQ,30,0)</f>
        <v>#N/A</v>
      </c>
      <c r="AR20" s="115" t="e">
        <f>VLOOKUP($A20,'S48'!$C:$BQ,52,0)</f>
        <v>#N/A</v>
      </c>
      <c r="AS20" s="115" t="e">
        <f>VLOOKUP($A20,'S48'!$C:$BQ,59,0)</f>
        <v>#N/A</v>
      </c>
      <c r="AT20" s="115" t="e">
        <f>VLOOKUP($A20,'S48'!$C:$BQ,60,0)</f>
        <v>#N/A</v>
      </c>
      <c r="AU20" s="107" t="e">
        <f>VLOOKUP($A20,'S49'!$C:$BQ,32,0)</f>
        <v>#N/A</v>
      </c>
      <c r="AV20" s="107" t="e">
        <f>VLOOKUP($A20,'S49'!$C:$BQ,39,0)</f>
        <v>#N/A</v>
      </c>
      <c r="AW20" s="107" t="e">
        <f>VLOOKUP($A20,'S49'!$C:$BQ,40,0)</f>
        <v>#N/A</v>
      </c>
      <c r="AX20" s="107" t="e">
        <f>VLOOKUP($A20,'S49'!$C:$BQ,22,0)</f>
        <v>#N/A</v>
      </c>
      <c r="AY20" s="115" t="e">
        <f>VLOOKUP($A20,'S49'!$C:$BQ,29,0)</f>
        <v>#N/A</v>
      </c>
      <c r="AZ20" s="115" t="e">
        <f>VLOOKUP($A20,'S49'!$C:$BQ,30,0)</f>
        <v>#N/A</v>
      </c>
      <c r="BA20" s="115" t="e">
        <f>VLOOKUP($A20,'S49'!$C:$BQ,52,0)</f>
        <v>#N/A</v>
      </c>
      <c r="BB20" s="115" t="e">
        <f>VLOOKUP($A20,'S49'!$C:$BQ,59,0)</f>
        <v>#N/A</v>
      </c>
      <c r="BC20" s="115" t="e">
        <f>VLOOKUP($A20,'S49'!$C:$BQ,60,0)</f>
        <v>#N/A</v>
      </c>
      <c r="BD20" s="107" t="e">
        <f>VLOOKUP($A20,'S50'!$C:$BQ,32,0)</f>
        <v>#N/A</v>
      </c>
      <c r="BE20" s="107" t="e">
        <f>VLOOKUP($A20,'S50'!$C:$BQ,39,0)</f>
        <v>#N/A</v>
      </c>
      <c r="BF20" s="107" t="e">
        <f>VLOOKUP($A20,'S50'!$C:$BQ,40,0)</f>
        <v>#N/A</v>
      </c>
      <c r="BG20" s="107" t="e">
        <f>VLOOKUP($A20,'S50'!$C:$BQ,22,0)</f>
        <v>#N/A</v>
      </c>
      <c r="BH20" s="115" t="e">
        <f>VLOOKUP($A20,'S50'!$C:$BQ,29,0)</f>
        <v>#N/A</v>
      </c>
      <c r="BI20" s="115" t="e">
        <f>VLOOKUP($A20,'S50'!$C:$BQ,30,0)</f>
        <v>#N/A</v>
      </c>
      <c r="BJ20" s="115" t="e">
        <f>VLOOKUP($A20,'S50'!$C:$BQ,52,0)</f>
        <v>#N/A</v>
      </c>
      <c r="BK20" s="115" t="e">
        <f>VLOOKUP($A20,'S50'!$C:$BQ,59,0)</f>
        <v>#N/A</v>
      </c>
      <c r="BL20" s="115" t="e">
        <f>VLOOKUP($A20,'S50'!$C:$BQ,60,0)</f>
        <v>#N/A</v>
      </c>
    </row>
    <row r="21" spans="1:64" x14ac:dyDescent="0.2">
      <c r="A21" s="106" t="s">
        <v>75</v>
      </c>
      <c r="B21" s="107">
        <f>VLOOKUP($A21,'S0 remplacer avec S44'!$C:$BQ,32,0)</f>
        <v>240.3</v>
      </c>
      <c r="C21" s="107">
        <f>VLOOKUP($A21,'S0 remplacer avec S44'!$C:$BQ,39,0)</f>
        <v>90</v>
      </c>
      <c r="D21" s="107">
        <f>VLOOKUP($A21,'S0 remplacer avec S44'!$C:$BQ,40,0)</f>
        <v>156</v>
      </c>
      <c r="E21" s="107">
        <f>VLOOKUP($A21,'S0 remplacer avec S44'!$C:$BQ,22,0)</f>
        <v>3186.3464250000002</v>
      </c>
      <c r="F21" s="115">
        <f>VLOOKUP($A21,'S0 remplacer avec S44'!$C:$BQ,29,0)</f>
        <v>0</v>
      </c>
      <c r="G21" s="115">
        <f>VLOOKUP($A21,'S0 remplacer avec S44'!$C:$BQ,30,0)</f>
        <v>418</v>
      </c>
      <c r="H21" s="115">
        <f>VLOOKUP($A21,'S0 remplacer avec S44'!$C:$BQ,52,0)</f>
        <v>171.6</v>
      </c>
      <c r="I21" s="115">
        <f>VLOOKUP($A21,'S0 remplacer avec S44'!$C:$BQ,59,0)</f>
        <v>0</v>
      </c>
      <c r="J21" s="115">
        <f>VLOOKUP($A21,'S0 remplacer avec S44'!$C:$BQ,60,0)</f>
        <v>30</v>
      </c>
      <c r="K21" s="107" t="e">
        <f>VLOOKUP($A21,'S45'!$C:$BQ,32,0)</f>
        <v>#N/A</v>
      </c>
      <c r="L21" s="107" t="e">
        <f>VLOOKUP($A21,'S45'!$C:$BQ,39,0)</f>
        <v>#N/A</v>
      </c>
      <c r="M21" s="107" t="e">
        <f>VLOOKUP($A21,'S45'!$C:$BQ,40,0)</f>
        <v>#N/A</v>
      </c>
      <c r="N21" s="107" t="e">
        <f>VLOOKUP($A21,'S45'!$C:$BQ,22,0)</f>
        <v>#N/A</v>
      </c>
      <c r="O21" s="115" t="e">
        <f>VLOOKUP($A21,'S45'!$C:$BQ,29,0)</f>
        <v>#N/A</v>
      </c>
      <c r="P21" s="115" t="e">
        <f>VLOOKUP($A21,'S45'!$C:$BQ,30,0)</f>
        <v>#N/A</v>
      </c>
      <c r="Q21" s="115" t="e">
        <f>VLOOKUP($A21,'S45'!$C:$BQ,52,0)</f>
        <v>#N/A</v>
      </c>
      <c r="R21" s="115" t="e">
        <f>VLOOKUP($A21,'S45'!$C:$BQ,59,0)</f>
        <v>#N/A</v>
      </c>
      <c r="S21" s="115" t="e">
        <f>VLOOKUP($A21,'S45'!$C:$BQ,60,0)</f>
        <v>#N/A</v>
      </c>
      <c r="T21" s="107" t="e">
        <f>VLOOKUP($A21,'S46'!$C:$BQ,32,0)</f>
        <v>#N/A</v>
      </c>
      <c r="U21" s="107" t="e">
        <f>VLOOKUP($A21,'S46'!$C:$BQ,39,0)</f>
        <v>#N/A</v>
      </c>
      <c r="V21" s="107" t="e">
        <f>VLOOKUP($A21,'S46'!$C:$BQ,40,0)</f>
        <v>#N/A</v>
      </c>
      <c r="W21" s="107" t="e">
        <f>VLOOKUP($A21,'S46'!$C:$BQ,22,0)</f>
        <v>#N/A</v>
      </c>
      <c r="X21" s="115" t="e">
        <f>VLOOKUP($A21,'S46'!$C:$BQ,29,0)</f>
        <v>#N/A</v>
      </c>
      <c r="Y21" s="115" t="e">
        <f>VLOOKUP($A21,'S46'!$C:$BQ,30,0)</f>
        <v>#N/A</v>
      </c>
      <c r="Z21" s="115" t="e">
        <f>VLOOKUP($A21,'S46'!$C:$BQ,52,0)</f>
        <v>#N/A</v>
      </c>
      <c r="AA21" s="115" t="e">
        <f>VLOOKUP($A21,'S46'!$C:$BQ,59,0)</f>
        <v>#N/A</v>
      </c>
      <c r="AB21" s="115" t="e">
        <f>VLOOKUP($A21,'S46'!$C:$BQ,60,0)</f>
        <v>#N/A</v>
      </c>
      <c r="AC21" s="107" t="e">
        <f>VLOOKUP($A21,'S47'!$C:$BQ,32,0)</f>
        <v>#N/A</v>
      </c>
      <c r="AD21" s="107" t="e">
        <f>VLOOKUP($A21,'S47'!$C:$BQ,39,0)</f>
        <v>#N/A</v>
      </c>
      <c r="AE21" s="107" t="e">
        <f>VLOOKUP($A21,'S47'!$C:$BQ,40,0)</f>
        <v>#N/A</v>
      </c>
      <c r="AF21" s="107" t="e">
        <f>VLOOKUP($A21,'S47'!$C:$BQ,22,0)</f>
        <v>#N/A</v>
      </c>
      <c r="AG21" s="115" t="e">
        <f>VLOOKUP($A21,'S47'!$C:$BQ,29,0)</f>
        <v>#N/A</v>
      </c>
      <c r="AH21" s="115" t="e">
        <f>VLOOKUP($A21,'S47'!$C:$BQ,30,0)</f>
        <v>#N/A</v>
      </c>
      <c r="AI21" s="115" t="e">
        <f>VLOOKUP($A21,'S47'!$C:$BQ,52,0)</f>
        <v>#N/A</v>
      </c>
      <c r="AJ21" s="115" t="e">
        <f>VLOOKUP($A21,'S47'!$C:$BQ,59,0)</f>
        <v>#N/A</v>
      </c>
      <c r="AK21" s="115" t="e">
        <f>VLOOKUP($A21,'S47'!$C:$BQ,60,0)</f>
        <v>#N/A</v>
      </c>
      <c r="AL21" s="107" t="e">
        <f>VLOOKUP($A21,'S48'!$C:$BQ,32,0)</f>
        <v>#N/A</v>
      </c>
      <c r="AM21" s="107" t="e">
        <f>VLOOKUP($A21,'S48'!$C:$BQ,39,0)</f>
        <v>#N/A</v>
      </c>
      <c r="AN21" s="107" t="e">
        <f>VLOOKUP($A21,'S48'!$C:$BQ,40,0)</f>
        <v>#N/A</v>
      </c>
      <c r="AO21" s="107" t="e">
        <f>VLOOKUP($A21,'S48'!$C:$BQ,22,0)</f>
        <v>#N/A</v>
      </c>
      <c r="AP21" s="115" t="e">
        <f>VLOOKUP($A21,'S48'!$C:$BQ,29,0)</f>
        <v>#N/A</v>
      </c>
      <c r="AQ21" s="115" t="e">
        <f>VLOOKUP($A21,'S48'!$C:$BQ,30,0)</f>
        <v>#N/A</v>
      </c>
      <c r="AR21" s="115" t="e">
        <f>VLOOKUP($A21,'S48'!$C:$BQ,52,0)</f>
        <v>#N/A</v>
      </c>
      <c r="AS21" s="115" t="e">
        <f>VLOOKUP($A21,'S48'!$C:$BQ,59,0)</f>
        <v>#N/A</v>
      </c>
      <c r="AT21" s="115" t="e">
        <f>VLOOKUP($A21,'S48'!$C:$BQ,60,0)</f>
        <v>#N/A</v>
      </c>
      <c r="AU21" s="107" t="e">
        <f>VLOOKUP($A21,'S49'!$C:$BQ,32,0)</f>
        <v>#N/A</v>
      </c>
      <c r="AV21" s="107" t="e">
        <f>VLOOKUP($A21,'S49'!$C:$BQ,39,0)</f>
        <v>#N/A</v>
      </c>
      <c r="AW21" s="107" t="e">
        <f>VLOOKUP($A21,'S49'!$C:$BQ,40,0)</f>
        <v>#N/A</v>
      </c>
      <c r="AX21" s="107" t="e">
        <f>VLOOKUP($A21,'S49'!$C:$BQ,22,0)</f>
        <v>#N/A</v>
      </c>
      <c r="AY21" s="115" t="e">
        <f>VLOOKUP($A21,'S49'!$C:$BQ,29,0)</f>
        <v>#N/A</v>
      </c>
      <c r="AZ21" s="115" t="e">
        <f>VLOOKUP($A21,'S49'!$C:$BQ,30,0)</f>
        <v>#N/A</v>
      </c>
      <c r="BA21" s="115" t="e">
        <f>VLOOKUP($A21,'S49'!$C:$BQ,52,0)</f>
        <v>#N/A</v>
      </c>
      <c r="BB21" s="115" t="e">
        <f>VLOOKUP($A21,'S49'!$C:$BQ,59,0)</f>
        <v>#N/A</v>
      </c>
      <c r="BC21" s="115" t="e">
        <f>VLOOKUP($A21,'S49'!$C:$BQ,60,0)</f>
        <v>#N/A</v>
      </c>
      <c r="BD21" s="107" t="e">
        <f>VLOOKUP($A21,'S50'!$C:$BQ,32,0)</f>
        <v>#N/A</v>
      </c>
      <c r="BE21" s="107" t="e">
        <f>VLOOKUP($A21,'S50'!$C:$BQ,39,0)</f>
        <v>#N/A</v>
      </c>
      <c r="BF21" s="107" t="e">
        <f>VLOOKUP($A21,'S50'!$C:$BQ,40,0)</f>
        <v>#N/A</v>
      </c>
      <c r="BG21" s="107" t="e">
        <f>VLOOKUP($A21,'S50'!$C:$BQ,22,0)</f>
        <v>#N/A</v>
      </c>
      <c r="BH21" s="115" t="e">
        <f>VLOOKUP($A21,'S50'!$C:$BQ,29,0)</f>
        <v>#N/A</v>
      </c>
      <c r="BI21" s="115" t="e">
        <f>VLOOKUP($A21,'S50'!$C:$BQ,30,0)</f>
        <v>#N/A</v>
      </c>
      <c r="BJ21" s="115" t="e">
        <f>VLOOKUP($A21,'S50'!$C:$BQ,52,0)</f>
        <v>#N/A</v>
      </c>
      <c r="BK21" s="115" t="e">
        <f>VLOOKUP($A21,'S50'!$C:$BQ,59,0)</f>
        <v>#N/A</v>
      </c>
      <c r="BL21" s="115" t="e">
        <f>VLOOKUP($A21,'S50'!$C:$BQ,60,0)</f>
        <v>#N/A</v>
      </c>
    </row>
    <row r="22" spans="1:64" x14ac:dyDescent="0.2">
      <c r="A22" s="106" t="s">
        <v>76</v>
      </c>
      <c r="B22" s="107">
        <f>VLOOKUP($A22,'S0 remplacer avec S44'!$C:$BQ,32,0)</f>
        <v>127.35</v>
      </c>
      <c r="C22" s="107">
        <f>VLOOKUP($A22,'S0 remplacer avec S44'!$C:$BQ,39,0)</f>
        <v>139</v>
      </c>
      <c r="D22" s="107">
        <f>VLOOKUP($A22,'S0 remplacer avec S44'!$C:$BQ,40,0)</f>
        <v>192</v>
      </c>
      <c r="E22" s="107">
        <f>VLOOKUP($A22,'S0 remplacer avec S44'!$C:$BQ,22,0)</f>
        <v>1774.6279</v>
      </c>
      <c r="F22" s="115">
        <f>VLOOKUP($A22,'S0 remplacer avec S44'!$C:$BQ,29,0)</f>
        <v>645</v>
      </c>
      <c r="G22" s="115">
        <f>VLOOKUP($A22,'S0 remplacer avec S44'!$C:$BQ,30,0)</f>
        <v>1129</v>
      </c>
      <c r="H22" s="115">
        <f>VLOOKUP($A22,'S0 remplacer avec S44'!$C:$BQ,52,0)</f>
        <v>152.4</v>
      </c>
      <c r="I22" s="115">
        <f>VLOOKUP($A22,'S0 remplacer avec S44'!$C:$BQ,59,0)</f>
        <v>0</v>
      </c>
      <c r="J22" s="115">
        <f>VLOOKUP($A22,'S0 remplacer avec S44'!$C:$BQ,60,0)</f>
        <v>10</v>
      </c>
      <c r="K22" s="107" t="e">
        <f>VLOOKUP($A22,'S45'!$C:$BQ,32,0)</f>
        <v>#N/A</v>
      </c>
      <c r="L22" s="107" t="e">
        <f>VLOOKUP($A22,'S45'!$C:$BQ,39,0)</f>
        <v>#N/A</v>
      </c>
      <c r="M22" s="107" t="e">
        <f>VLOOKUP($A22,'S45'!$C:$BQ,40,0)</f>
        <v>#N/A</v>
      </c>
      <c r="N22" s="107" t="e">
        <f>VLOOKUP($A22,'S45'!$C:$BQ,22,0)</f>
        <v>#N/A</v>
      </c>
      <c r="O22" s="115" t="e">
        <f>VLOOKUP($A22,'S45'!$C:$BQ,29,0)</f>
        <v>#N/A</v>
      </c>
      <c r="P22" s="115" t="e">
        <f>VLOOKUP($A22,'S45'!$C:$BQ,30,0)</f>
        <v>#N/A</v>
      </c>
      <c r="Q22" s="115" t="e">
        <f>VLOOKUP($A22,'S45'!$C:$BQ,52,0)</f>
        <v>#N/A</v>
      </c>
      <c r="R22" s="115" t="e">
        <f>VLOOKUP($A22,'S45'!$C:$BQ,59,0)</f>
        <v>#N/A</v>
      </c>
      <c r="S22" s="115" t="e">
        <f>VLOOKUP($A22,'S45'!$C:$BQ,60,0)</f>
        <v>#N/A</v>
      </c>
      <c r="T22" s="107" t="e">
        <f>VLOOKUP($A22,'S46'!$C:$BQ,32,0)</f>
        <v>#N/A</v>
      </c>
      <c r="U22" s="107" t="e">
        <f>VLOOKUP($A22,'S46'!$C:$BQ,39,0)</f>
        <v>#N/A</v>
      </c>
      <c r="V22" s="107" t="e">
        <f>VLOOKUP($A22,'S46'!$C:$BQ,40,0)</f>
        <v>#N/A</v>
      </c>
      <c r="W22" s="107" t="e">
        <f>VLOOKUP($A22,'S46'!$C:$BQ,22,0)</f>
        <v>#N/A</v>
      </c>
      <c r="X22" s="115" t="e">
        <f>VLOOKUP($A22,'S46'!$C:$BQ,29,0)</f>
        <v>#N/A</v>
      </c>
      <c r="Y22" s="115" t="e">
        <f>VLOOKUP($A22,'S46'!$C:$BQ,30,0)</f>
        <v>#N/A</v>
      </c>
      <c r="Z22" s="115" t="e">
        <f>VLOOKUP($A22,'S46'!$C:$BQ,52,0)</f>
        <v>#N/A</v>
      </c>
      <c r="AA22" s="115" t="e">
        <f>VLOOKUP($A22,'S46'!$C:$BQ,59,0)</f>
        <v>#N/A</v>
      </c>
      <c r="AB22" s="115" t="e">
        <f>VLOOKUP($A22,'S46'!$C:$BQ,60,0)</f>
        <v>#N/A</v>
      </c>
      <c r="AC22" s="107" t="e">
        <f>VLOOKUP($A22,'S47'!$C:$BQ,32,0)</f>
        <v>#N/A</v>
      </c>
      <c r="AD22" s="107" t="e">
        <f>VLOOKUP($A22,'S47'!$C:$BQ,39,0)</f>
        <v>#N/A</v>
      </c>
      <c r="AE22" s="107" t="e">
        <f>VLOOKUP($A22,'S47'!$C:$BQ,40,0)</f>
        <v>#N/A</v>
      </c>
      <c r="AF22" s="107" t="e">
        <f>VLOOKUP($A22,'S47'!$C:$BQ,22,0)</f>
        <v>#N/A</v>
      </c>
      <c r="AG22" s="115" t="e">
        <f>VLOOKUP($A22,'S47'!$C:$BQ,29,0)</f>
        <v>#N/A</v>
      </c>
      <c r="AH22" s="115" t="e">
        <f>VLOOKUP($A22,'S47'!$C:$BQ,30,0)</f>
        <v>#N/A</v>
      </c>
      <c r="AI22" s="115" t="e">
        <f>VLOOKUP($A22,'S47'!$C:$BQ,52,0)</f>
        <v>#N/A</v>
      </c>
      <c r="AJ22" s="115" t="e">
        <f>VLOOKUP($A22,'S47'!$C:$BQ,59,0)</f>
        <v>#N/A</v>
      </c>
      <c r="AK22" s="115" t="e">
        <f>VLOOKUP($A22,'S47'!$C:$BQ,60,0)</f>
        <v>#N/A</v>
      </c>
      <c r="AL22" s="107" t="e">
        <f>VLOOKUP($A22,'S48'!$C:$BQ,32,0)</f>
        <v>#N/A</v>
      </c>
      <c r="AM22" s="107" t="e">
        <f>VLOOKUP($A22,'S48'!$C:$BQ,39,0)</f>
        <v>#N/A</v>
      </c>
      <c r="AN22" s="107" t="e">
        <f>VLOOKUP($A22,'S48'!$C:$BQ,40,0)</f>
        <v>#N/A</v>
      </c>
      <c r="AO22" s="107" t="e">
        <f>VLOOKUP($A22,'S48'!$C:$BQ,22,0)</f>
        <v>#N/A</v>
      </c>
      <c r="AP22" s="115" t="e">
        <f>VLOOKUP($A22,'S48'!$C:$BQ,29,0)</f>
        <v>#N/A</v>
      </c>
      <c r="AQ22" s="115" t="e">
        <f>VLOOKUP($A22,'S48'!$C:$BQ,30,0)</f>
        <v>#N/A</v>
      </c>
      <c r="AR22" s="115" t="e">
        <f>VLOOKUP($A22,'S48'!$C:$BQ,52,0)</f>
        <v>#N/A</v>
      </c>
      <c r="AS22" s="115" t="e">
        <f>VLOOKUP($A22,'S48'!$C:$BQ,59,0)</f>
        <v>#N/A</v>
      </c>
      <c r="AT22" s="115" t="e">
        <f>VLOOKUP($A22,'S48'!$C:$BQ,60,0)</f>
        <v>#N/A</v>
      </c>
      <c r="AU22" s="107" t="e">
        <f>VLOOKUP($A22,'S49'!$C:$BQ,32,0)</f>
        <v>#N/A</v>
      </c>
      <c r="AV22" s="107" t="e">
        <f>VLOOKUP($A22,'S49'!$C:$BQ,39,0)</f>
        <v>#N/A</v>
      </c>
      <c r="AW22" s="107" t="e">
        <f>VLOOKUP($A22,'S49'!$C:$BQ,40,0)</f>
        <v>#N/A</v>
      </c>
      <c r="AX22" s="107" t="e">
        <f>VLOOKUP($A22,'S49'!$C:$BQ,22,0)</f>
        <v>#N/A</v>
      </c>
      <c r="AY22" s="115" t="e">
        <f>VLOOKUP($A22,'S49'!$C:$BQ,29,0)</f>
        <v>#N/A</v>
      </c>
      <c r="AZ22" s="115" t="e">
        <f>VLOOKUP($A22,'S49'!$C:$BQ,30,0)</f>
        <v>#N/A</v>
      </c>
      <c r="BA22" s="115" t="e">
        <f>VLOOKUP($A22,'S49'!$C:$BQ,52,0)</f>
        <v>#N/A</v>
      </c>
      <c r="BB22" s="115" t="e">
        <f>VLOOKUP($A22,'S49'!$C:$BQ,59,0)</f>
        <v>#N/A</v>
      </c>
      <c r="BC22" s="115" t="e">
        <f>VLOOKUP($A22,'S49'!$C:$BQ,60,0)</f>
        <v>#N/A</v>
      </c>
      <c r="BD22" s="107" t="e">
        <f>VLOOKUP($A22,'S50'!$C:$BQ,32,0)</f>
        <v>#N/A</v>
      </c>
      <c r="BE22" s="107" t="e">
        <f>VLOOKUP($A22,'S50'!$C:$BQ,39,0)</f>
        <v>#N/A</v>
      </c>
      <c r="BF22" s="107" t="e">
        <f>VLOOKUP($A22,'S50'!$C:$BQ,40,0)</f>
        <v>#N/A</v>
      </c>
      <c r="BG22" s="107" t="e">
        <f>VLOOKUP($A22,'S50'!$C:$BQ,22,0)</f>
        <v>#N/A</v>
      </c>
      <c r="BH22" s="115" t="e">
        <f>VLOOKUP($A22,'S50'!$C:$BQ,29,0)</f>
        <v>#N/A</v>
      </c>
      <c r="BI22" s="115" t="e">
        <f>VLOOKUP($A22,'S50'!$C:$BQ,30,0)</f>
        <v>#N/A</v>
      </c>
      <c r="BJ22" s="115" t="e">
        <f>VLOOKUP($A22,'S50'!$C:$BQ,52,0)</f>
        <v>#N/A</v>
      </c>
      <c r="BK22" s="115" t="e">
        <f>VLOOKUP($A22,'S50'!$C:$BQ,59,0)</f>
        <v>#N/A</v>
      </c>
      <c r="BL22" s="115" t="e">
        <f>VLOOKUP($A22,'S50'!$C:$BQ,60,0)</f>
        <v>#N/A</v>
      </c>
    </row>
    <row r="23" spans="1:64" x14ac:dyDescent="0.2">
      <c r="A23" s="106" t="s">
        <v>77</v>
      </c>
      <c r="B23" s="107">
        <f>VLOOKUP($A23,'S0 remplacer avec S44'!$C:$BQ,32,0)</f>
        <v>157.9</v>
      </c>
      <c r="C23" s="107">
        <f>VLOOKUP($A23,'S0 remplacer avec S44'!$C:$BQ,39,0)</f>
        <v>47</v>
      </c>
      <c r="D23" s="107">
        <f>VLOOKUP($A23,'S0 remplacer avec S44'!$C:$BQ,40,0)</f>
        <v>88</v>
      </c>
      <c r="E23" s="107">
        <f>VLOOKUP($A23,'S0 remplacer avec S44'!$C:$BQ,22,0)</f>
        <v>1706.43346</v>
      </c>
      <c r="F23" s="115">
        <f>VLOOKUP($A23,'S0 remplacer avec S44'!$C:$BQ,29,0)</f>
        <v>154</v>
      </c>
      <c r="G23" s="115">
        <f>VLOOKUP($A23,'S0 remplacer avec S44'!$C:$BQ,30,0)</f>
        <v>526</v>
      </c>
      <c r="H23" s="115">
        <f>VLOOKUP($A23,'S0 remplacer avec S44'!$C:$BQ,52,0)</f>
        <v>141.6</v>
      </c>
      <c r="I23" s="115">
        <f>VLOOKUP($A23,'S0 remplacer avec S44'!$C:$BQ,59,0)</f>
        <v>0</v>
      </c>
      <c r="J23" s="115">
        <f>VLOOKUP($A23,'S0 remplacer avec S44'!$C:$BQ,60,0)</f>
        <v>0</v>
      </c>
      <c r="K23" s="107" t="e">
        <f>VLOOKUP($A23,'S45'!$C:$BQ,32,0)</f>
        <v>#N/A</v>
      </c>
      <c r="L23" s="107" t="e">
        <f>VLOOKUP($A23,'S45'!$C:$BQ,39,0)</f>
        <v>#N/A</v>
      </c>
      <c r="M23" s="107" t="e">
        <f>VLOOKUP($A23,'S45'!$C:$BQ,40,0)</f>
        <v>#N/A</v>
      </c>
      <c r="N23" s="107" t="e">
        <f>VLOOKUP($A23,'S45'!$C:$BQ,22,0)</f>
        <v>#N/A</v>
      </c>
      <c r="O23" s="115" t="e">
        <f>VLOOKUP($A23,'S45'!$C:$BQ,29,0)</f>
        <v>#N/A</v>
      </c>
      <c r="P23" s="115" t="e">
        <f>VLOOKUP($A23,'S45'!$C:$BQ,30,0)</f>
        <v>#N/A</v>
      </c>
      <c r="Q23" s="115" t="e">
        <f>VLOOKUP($A23,'S45'!$C:$BQ,52,0)</f>
        <v>#N/A</v>
      </c>
      <c r="R23" s="115" t="e">
        <f>VLOOKUP($A23,'S45'!$C:$BQ,59,0)</f>
        <v>#N/A</v>
      </c>
      <c r="S23" s="115" t="e">
        <f>VLOOKUP($A23,'S45'!$C:$BQ,60,0)</f>
        <v>#N/A</v>
      </c>
      <c r="T23" s="107" t="e">
        <f>VLOOKUP($A23,'S46'!$C:$BQ,32,0)</f>
        <v>#N/A</v>
      </c>
      <c r="U23" s="107" t="e">
        <f>VLOOKUP($A23,'S46'!$C:$BQ,39,0)</f>
        <v>#N/A</v>
      </c>
      <c r="V23" s="107" t="e">
        <f>VLOOKUP($A23,'S46'!$C:$BQ,40,0)</f>
        <v>#N/A</v>
      </c>
      <c r="W23" s="107" t="e">
        <f>VLOOKUP($A23,'S46'!$C:$BQ,22,0)</f>
        <v>#N/A</v>
      </c>
      <c r="X23" s="115" t="e">
        <f>VLOOKUP($A23,'S46'!$C:$BQ,29,0)</f>
        <v>#N/A</v>
      </c>
      <c r="Y23" s="115" t="e">
        <f>VLOOKUP($A23,'S46'!$C:$BQ,30,0)</f>
        <v>#N/A</v>
      </c>
      <c r="Z23" s="115" t="e">
        <f>VLOOKUP($A23,'S46'!$C:$BQ,52,0)</f>
        <v>#N/A</v>
      </c>
      <c r="AA23" s="115" t="e">
        <f>VLOOKUP($A23,'S46'!$C:$BQ,59,0)</f>
        <v>#N/A</v>
      </c>
      <c r="AB23" s="115" t="e">
        <f>VLOOKUP($A23,'S46'!$C:$BQ,60,0)</f>
        <v>#N/A</v>
      </c>
      <c r="AC23" s="107" t="e">
        <f>VLOOKUP($A23,'S47'!$C:$BQ,32,0)</f>
        <v>#N/A</v>
      </c>
      <c r="AD23" s="107" t="e">
        <f>VLOOKUP($A23,'S47'!$C:$BQ,39,0)</f>
        <v>#N/A</v>
      </c>
      <c r="AE23" s="107" t="e">
        <f>VLOOKUP($A23,'S47'!$C:$BQ,40,0)</f>
        <v>#N/A</v>
      </c>
      <c r="AF23" s="107" t="e">
        <f>VLOOKUP($A23,'S47'!$C:$BQ,22,0)</f>
        <v>#N/A</v>
      </c>
      <c r="AG23" s="115" t="e">
        <f>VLOOKUP($A23,'S47'!$C:$BQ,29,0)</f>
        <v>#N/A</v>
      </c>
      <c r="AH23" s="115" t="e">
        <f>VLOOKUP($A23,'S47'!$C:$BQ,30,0)</f>
        <v>#N/A</v>
      </c>
      <c r="AI23" s="115" t="e">
        <f>VLOOKUP($A23,'S47'!$C:$BQ,52,0)</f>
        <v>#N/A</v>
      </c>
      <c r="AJ23" s="115" t="e">
        <f>VLOOKUP($A23,'S47'!$C:$BQ,59,0)</f>
        <v>#N/A</v>
      </c>
      <c r="AK23" s="115" t="e">
        <f>VLOOKUP($A23,'S47'!$C:$BQ,60,0)</f>
        <v>#N/A</v>
      </c>
      <c r="AL23" s="107" t="e">
        <f>VLOOKUP($A23,'S48'!$C:$BQ,32,0)</f>
        <v>#N/A</v>
      </c>
      <c r="AM23" s="107" t="e">
        <f>VLOOKUP($A23,'S48'!$C:$BQ,39,0)</f>
        <v>#N/A</v>
      </c>
      <c r="AN23" s="107" t="e">
        <f>VLOOKUP($A23,'S48'!$C:$BQ,40,0)</f>
        <v>#N/A</v>
      </c>
      <c r="AO23" s="107" t="e">
        <f>VLOOKUP($A23,'S48'!$C:$BQ,22,0)</f>
        <v>#N/A</v>
      </c>
      <c r="AP23" s="115" t="e">
        <f>VLOOKUP($A23,'S48'!$C:$BQ,29,0)</f>
        <v>#N/A</v>
      </c>
      <c r="AQ23" s="115" t="e">
        <f>VLOOKUP($A23,'S48'!$C:$BQ,30,0)</f>
        <v>#N/A</v>
      </c>
      <c r="AR23" s="115" t="e">
        <f>VLOOKUP($A23,'S48'!$C:$BQ,52,0)</f>
        <v>#N/A</v>
      </c>
      <c r="AS23" s="115" t="e">
        <f>VLOOKUP($A23,'S48'!$C:$BQ,59,0)</f>
        <v>#N/A</v>
      </c>
      <c r="AT23" s="115" t="e">
        <f>VLOOKUP($A23,'S48'!$C:$BQ,60,0)</f>
        <v>#N/A</v>
      </c>
      <c r="AU23" s="107" t="e">
        <f>VLOOKUP($A23,'S49'!$C:$BQ,32,0)</f>
        <v>#N/A</v>
      </c>
      <c r="AV23" s="107" t="e">
        <f>VLOOKUP($A23,'S49'!$C:$BQ,39,0)</f>
        <v>#N/A</v>
      </c>
      <c r="AW23" s="107" t="e">
        <f>VLOOKUP($A23,'S49'!$C:$BQ,40,0)</f>
        <v>#N/A</v>
      </c>
      <c r="AX23" s="107" t="e">
        <f>VLOOKUP($A23,'S49'!$C:$BQ,22,0)</f>
        <v>#N/A</v>
      </c>
      <c r="AY23" s="115" t="e">
        <f>VLOOKUP($A23,'S49'!$C:$BQ,29,0)</f>
        <v>#N/A</v>
      </c>
      <c r="AZ23" s="115" t="e">
        <f>VLOOKUP($A23,'S49'!$C:$BQ,30,0)</f>
        <v>#N/A</v>
      </c>
      <c r="BA23" s="115" t="e">
        <f>VLOOKUP($A23,'S49'!$C:$BQ,52,0)</f>
        <v>#N/A</v>
      </c>
      <c r="BB23" s="115" t="e">
        <f>VLOOKUP($A23,'S49'!$C:$BQ,59,0)</f>
        <v>#N/A</v>
      </c>
      <c r="BC23" s="115" t="e">
        <f>VLOOKUP($A23,'S49'!$C:$BQ,60,0)</f>
        <v>#N/A</v>
      </c>
      <c r="BD23" s="107" t="e">
        <f>VLOOKUP($A23,'S50'!$C:$BQ,32,0)</f>
        <v>#N/A</v>
      </c>
      <c r="BE23" s="107" t="e">
        <f>VLOOKUP($A23,'S50'!$C:$BQ,39,0)</f>
        <v>#N/A</v>
      </c>
      <c r="BF23" s="107" t="e">
        <f>VLOOKUP($A23,'S50'!$C:$BQ,40,0)</f>
        <v>#N/A</v>
      </c>
      <c r="BG23" s="107" t="e">
        <f>VLOOKUP($A23,'S50'!$C:$BQ,22,0)</f>
        <v>#N/A</v>
      </c>
      <c r="BH23" s="115" t="e">
        <f>VLOOKUP($A23,'S50'!$C:$BQ,29,0)</f>
        <v>#N/A</v>
      </c>
      <c r="BI23" s="115" t="e">
        <f>VLOOKUP($A23,'S50'!$C:$BQ,30,0)</f>
        <v>#N/A</v>
      </c>
      <c r="BJ23" s="115" t="e">
        <f>VLOOKUP($A23,'S50'!$C:$BQ,52,0)</f>
        <v>#N/A</v>
      </c>
      <c r="BK23" s="115" t="e">
        <f>VLOOKUP($A23,'S50'!$C:$BQ,59,0)</f>
        <v>#N/A</v>
      </c>
      <c r="BL23" s="115" t="e">
        <f>VLOOKUP($A23,'S50'!$C:$BQ,60,0)</f>
        <v>#N/A</v>
      </c>
    </row>
    <row r="24" spans="1:64" x14ac:dyDescent="0.2">
      <c r="A24" s="106" t="s">
        <v>78</v>
      </c>
      <c r="B24" s="107">
        <f>VLOOKUP($A24,'S0 remplacer avec S44'!$C:$BQ,32,0)</f>
        <v>138.55000000000001</v>
      </c>
      <c r="C24" s="107">
        <f>VLOOKUP($A24,'S0 remplacer avec S44'!$C:$BQ,39,0)</f>
        <v>25</v>
      </c>
      <c r="D24" s="107">
        <f>VLOOKUP($A24,'S0 remplacer avec S44'!$C:$BQ,40,0)</f>
        <v>57</v>
      </c>
      <c r="E24" s="107">
        <f>VLOOKUP($A24,'S0 remplacer avec S44'!$C:$BQ,22,0)</f>
        <v>1242.4684850000001</v>
      </c>
      <c r="F24" s="115">
        <f>VLOOKUP($A24,'S0 remplacer avec S44'!$C:$BQ,29,0)</f>
        <v>237</v>
      </c>
      <c r="G24" s="115">
        <f>VLOOKUP($A24,'S0 remplacer avec S44'!$C:$BQ,30,0)</f>
        <v>532</v>
      </c>
      <c r="H24" s="115">
        <f>VLOOKUP($A24,'S0 remplacer avec S44'!$C:$BQ,52,0)</f>
        <v>88.4</v>
      </c>
      <c r="I24" s="115">
        <f>VLOOKUP($A24,'S0 remplacer avec S44'!$C:$BQ,59,0)</f>
        <v>0</v>
      </c>
      <c r="J24" s="115">
        <f>VLOOKUP($A24,'S0 remplacer avec S44'!$C:$BQ,60,0)</f>
        <v>11</v>
      </c>
      <c r="K24" s="107" t="e">
        <f>VLOOKUP($A24,'S45'!$C:$BQ,32,0)</f>
        <v>#N/A</v>
      </c>
      <c r="L24" s="107" t="e">
        <f>VLOOKUP($A24,'S45'!$C:$BQ,39,0)</f>
        <v>#N/A</v>
      </c>
      <c r="M24" s="107" t="e">
        <f>VLOOKUP($A24,'S45'!$C:$BQ,40,0)</f>
        <v>#N/A</v>
      </c>
      <c r="N24" s="107" t="e">
        <f>VLOOKUP($A24,'S45'!$C:$BQ,22,0)</f>
        <v>#N/A</v>
      </c>
      <c r="O24" s="115" t="e">
        <f>VLOOKUP($A24,'S45'!$C:$BQ,29,0)</f>
        <v>#N/A</v>
      </c>
      <c r="P24" s="115" t="e">
        <f>VLOOKUP($A24,'S45'!$C:$BQ,30,0)</f>
        <v>#N/A</v>
      </c>
      <c r="Q24" s="115" t="e">
        <f>VLOOKUP($A24,'S45'!$C:$BQ,52,0)</f>
        <v>#N/A</v>
      </c>
      <c r="R24" s="115" t="e">
        <f>VLOOKUP($A24,'S45'!$C:$BQ,59,0)</f>
        <v>#N/A</v>
      </c>
      <c r="S24" s="115" t="e">
        <f>VLOOKUP($A24,'S45'!$C:$BQ,60,0)</f>
        <v>#N/A</v>
      </c>
      <c r="T24" s="107" t="e">
        <f>VLOOKUP($A24,'S46'!$C:$BQ,32,0)</f>
        <v>#N/A</v>
      </c>
      <c r="U24" s="107" t="e">
        <f>VLOOKUP($A24,'S46'!$C:$BQ,39,0)</f>
        <v>#N/A</v>
      </c>
      <c r="V24" s="107" t="e">
        <f>VLOOKUP($A24,'S46'!$C:$BQ,40,0)</f>
        <v>#N/A</v>
      </c>
      <c r="W24" s="107" t="e">
        <f>VLOOKUP($A24,'S46'!$C:$BQ,22,0)</f>
        <v>#N/A</v>
      </c>
      <c r="X24" s="115" t="e">
        <f>VLOOKUP($A24,'S46'!$C:$BQ,29,0)</f>
        <v>#N/A</v>
      </c>
      <c r="Y24" s="115" t="e">
        <f>VLOOKUP($A24,'S46'!$C:$BQ,30,0)</f>
        <v>#N/A</v>
      </c>
      <c r="Z24" s="115" t="e">
        <f>VLOOKUP($A24,'S46'!$C:$BQ,52,0)</f>
        <v>#N/A</v>
      </c>
      <c r="AA24" s="115" t="e">
        <f>VLOOKUP($A24,'S46'!$C:$BQ,59,0)</f>
        <v>#N/A</v>
      </c>
      <c r="AB24" s="115" t="e">
        <f>VLOOKUP($A24,'S46'!$C:$BQ,60,0)</f>
        <v>#N/A</v>
      </c>
      <c r="AC24" s="107" t="e">
        <f>VLOOKUP($A24,'S47'!$C:$BQ,32,0)</f>
        <v>#N/A</v>
      </c>
      <c r="AD24" s="107" t="e">
        <f>VLOOKUP($A24,'S47'!$C:$BQ,39,0)</f>
        <v>#N/A</v>
      </c>
      <c r="AE24" s="107" t="e">
        <f>VLOOKUP($A24,'S47'!$C:$BQ,40,0)</f>
        <v>#N/A</v>
      </c>
      <c r="AF24" s="107" t="e">
        <f>VLOOKUP($A24,'S47'!$C:$BQ,22,0)</f>
        <v>#N/A</v>
      </c>
      <c r="AG24" s="115" t="e">
        <f>VLOOKUP($A24,'S47'!$C:$BQ,29,0)</f>
        <v>#N/A</v>
      </c>
      <c r="AH24" s="115" t="e">
        <f>VLOOKUP($A24,'S47'!$C:$BQ,30,0)</f>
        <v>#N/A</v>
      </c>
      <c r="AI24" s="115" t="e">
        <f>VLOOKUP($A24,'S47'!$C:$BQ,52,0)</f>
        <v>#N/A</v>
      </c>
      <c r="AJ24" s="115" t="e">
        <f>VLOOKUP($A24,'S47'!$C:$BQ,59,0)</f>
        <v>#N/A</v>
      </c>
      <c r="AK24" s="115" t="e">
        <f>VLOOKUP($A24,'S47'!$C:$BQ,60,0)</f>
        <v>#N/A</v>
      </c>
      <c r="AL24" s="107" t="e">
        <f>VLOOKUP($A24,'S48'!$C:$BQ,32,0)</f>
        <v>#N/A</v>
      </c>
      <c r="AM24" s="107" t="e">
        <f>VLOOKUP($A24,'S48'!$C:$BQ,39,0)</f>
        <v>#N/A</v>
      </c>
      <c r="AN24" s="107" t="e">
        <f>VLOOKUP($A24,'S48'!$C:$BQ,40,0)</f>
        <v>#N/A</v>
      </c>
      <c r="AO24" s="107" t="e">
        <f>VLOOKUP($A24,'S48'!$C:$BQ,22,0)</f>
        <v>#N/A</v>
      </c>
      <c r="AP24" s="115" t="e">
        <f>VLOOKUP($A24,'S48'!$C:$BQ,29,0)</f>
        <v>#N/A</v>
      </c>
      <c r="AQ24" s="115" t="e">
        <f>VLOOKUP($A24,'S48'!$C:$BQ,30,0)</f>
        <v>#N/A</v>
      </c>
      <c r="AR24" s="115" t="e">
        <f>VLOOKUP($A24,'S48'!$C:$BQ,52,0)</f>
        <v>#N/A</v>
      </c>
      <c r="AS24" s="115" t="e">
        <f>VLOOKUP($A24,'S48'!$C:$BQ,59,0)</f>
        <v>#N/A</v>
      </c>
      <c r="AT24" s="115" t="e">
        <f>VLOOKUP($A24,'S48'!$C:$BQ,60,0)</f>
        <v>#N/A</v>
      </c>
      <c r="AU24" s="107" t="e">
        <f>VLOOKUP($A24,'S49'!$C:$BQ,32,0)</f>
        <v>#N/A</v>
      </c>
      <c r="AV24" s="107" t="e">
        <f>VLOOKUP($A24,'S49'!$C:$BQ,39,0)</f>
        <v>#N/A</v>
      </c>
      <c r="AW24" s="107" t="e">
        <f>VLOOKUP($A24,'S49'!$C:$BQ,40,0)</f>
        <v>#N/A</v>
      </c>
      <c r="AX24" s="107" t="e">
        <f>VLOOKUP($A24,'S49'!$C:$BQ,22,0)</f>
        <v>#N/A</v>
      </c>
      <c r="AY24" s="115" t="e">
        <f>VLOOKUP($A24,'S49'!$C:$BQ,29,0)</f>
        <v>#N/A</v>
      </c>
      <c r="AZ24" s="115" t="e">
        <f>VLOOKUP($A24,'S49'!$C:$BQ,30,0)</f>
        <v>#N/A</v>
      </c>
      <c r="BA24" s="115" t="e">
        <f>VLOOKUP($A24,'S49'!$C:$BQ,52,0)</f>
        <v>#N/A</v>
      </c>
      <c r="BB24" s="115" t="e">
        <f>VLOOKUP($A24,'S49'!$C:$BQ,59,0)</f>
        <v>#N/A</v>
      </c>
      <c r="BC24" s="115" t="e">
        <f>VLOOKUP($A24,'S49'!$C:$BQ,60,0)</f>
        <v>#N/A</v>
      </c>
      <c r="BD24" s="107" t="e">
        <f>VLOOKUP($A24,'S50'!$C:$BQ,32,0)</f>
        <v>#N/A</v>
      </c>
      <c r="BE24" s="107" t="e">
        <f>VLOOKUP($A24,'S50'!$C:$BQ,39,0)</f>
        <v>#N/A</v>
      </c>
      <c r="BF24" s="107" t="e">
        <f>VLOOKUP($A24,'S50'!$C:$BQ,40,0)</f>
        <v>#N/A</v>
      </c>
      <c r="BG24" s="107" t="e">
        <f>VLOOKUP($A24,'S50'!$C:$BQ,22,0)</f>
        <v>#N/A</v>
      </c>
      <c r="BH24" s="115" t="e">
        <f>VLOOKUP($A24,'S50'!$C:$BQ,29,0)</f>
        <v>#N/A</v>
      </c>
      <c r="BI24" s="115" t="e">
        <f>VLOOKUP($A24,'S50'!$C:$BQ,30,0)</f>
        <v>#N/A</v>
      </c>
      <c r="BJ24" s="115" t="e">
        <f>VLOOKUP($A24,'S50'!$C:$BQ,52,0)</f>
        <v>#N/A</v>
      </c>
      <c r="BK24" s="115" t="e">
        <f>VLOOKUP($A24,'S50'!$C:$BQ,59,0)</f>
        <v>#N/A</v>
      </c>
      <c r="BL24" s="115" t="e">
        <f>VLOOKUP($A24,'S50'!$C:$BQ,60,0)</f>
        <v>#N/A</v>
      </c>
    </row>
    <row r="25" spans="1:64" x14ac:dyDescent="0.2">
      <c r="A25" s="106" t="s">
        <v>79</v>
      </c>
      <c r="B25" s="107">
        <f>VLOOKUP($A25,'S0 remplacer avec S44'!$C:$BQ,32,0)</f>
        <v>389.2</v>
      </c>
      <c r="C25" s="107">
        <f>VLOOKUP($A25,'S0 remplacer avec S44'!$C:$BQ,39,0)</f>
        <v>222</v>
      </c>
      <c r="D25" s="107">
        <f>VLOOKUP($A25,'S0 remplacer avec S44'!$C:$BQ,40,0)</f>
        <v>344</v>
      </c>
      <c r="E25" s="107">
        <f>VLOOKUP($A25,'S0 remplacer avec S44'!$C:$BQ,22,0)</f>
        <v>6743.6315299999997</v>
      </c>
      <c r="F25" s="115">
        <f>VLOOKUP($A25,'S0 remplacer avec S44'!$C:$BQ,29,0)</f>
        <v>0</v>
      </c>
      <c r="G25" s="115">
        <f>VLOOKUP($A25,'S0 remplacer avec S44'!$C:$BQ,30,0)</f>
        <v>0</v>
      </c>
      <c r="H25" s="115">
        <f>VLOOKUP($A25,'S0 remplacer avec S44'!$C:$BQ,52,0)</f>
        <v>430.8</v>
      </c>
      <c r="I25" s="115">
        <f>VLOOKUP($A25,'S0 remplacer avec S44'!$C:$BQ,59,0)</f>
        <v>0</v>
      </c>
      <c r="J25" s="115">
        <f>VLOOKUP($A25,'S0 remplacer avec S44'!$C:$BQ,60,0)</f>
        <v>0</v>
      </c>
      <c r="K25" s="107" t="e">
        <f>VLOOKUP($A25,'S45'!$C:$BQ,32,0)</f>
        <v>#N/A</v>
      </c>
      <c r="L25" s="107" t="e">
        <f>VLOOKUP($A25,'S45'!$C:$BQ,39,0)</f>
        <v>#N/A</v>
      </c>
      <c r="M25" s="107" t="e">
        <f>VLOOKUP($A25,'S45'!$C:$BQ,40,0)</f>
        <v>#N/A</v>
      </c>
      <c r="N25" s="107" t="e">
        <f>VLOOKUP($A25,'S45'!$C:$BQ,22,0)</f>
        <v>#N/A</v>
      </c>
      <c r="O25" s="115" t="e">
        <f>VLOOKUP($A25,'S45'!$C:$BQ,29,0)</f>
        <v>#N/A</v>
      </c>
      <c r="P25" s="115" t="e">
        <f>VLOOKUP($A25,'S45'!$C:$BQ,30,0)</f>
        <v>#N/A</v>
      </c>
      <c r="Q25" s="115" t="e">
        <f>VLOOKUP($A25,'S45'!$C:$BQ,52,0)</f>
        <v>#N/A</v>
      </c>
      <c r="R25" s="115" t="e">
        <f>VLOOKUP($A25,'S45'!$C:$BQ,59,0)</f>
        <v>#N/A</v>
      </c>
      <c r="S25" s="115" t="e">
        <f>VLOOKUP($A25,'S45'!$C:$BQ,60,0)</f>
        <v>#N/A</v>
      </c>
      <c r="T25" s="107" t="e">
        <f>VLOOKUP($A25,'S46'!$C:$BQ,32,0)</f>
        <v>#N/A</v>
      </c>
      <c r="U25" s="107" t="e">
        <f>VLOOKUP($A25,'S46'!$C:$BQ,39,0)</f>
        <v>#N/A</v>
      </c>
      <c r="V25" s="107" t="e">
        <f>VLOOKUP($A25,'S46'!$C:$BQ,40,0)</f>
        <v>#N/A</v>
      </c>
      <c r="W25" s="107" t="e">
        <f>VLOOKUP($A25,'S46'!$C:$BQ,22,0)</f>
        <v>#N/A</v>
      </c>
      <c r="X25" s="115" t="e">
        <f>VLOOKUP($A25,'S46'!$C:$BQ,29,0)</f>
        <v>#N/A</v>
      </c>
      <c r="Y25" s="115" t="e">
        <f>VLOOKUP($A25,'S46'!$C:$BQ,30,0)</f>
        <v>#N/A</v>
      </c>
      <c r="Z25" s="115" t="e">
        <f>VLOOKUP($A25,'S46'!$C:$BQ,52,0)</f>
        <v>#N/A</v>
      </c>
      <c r="AA25" s="115" t="e">
        <f>VLOOKUP($A25,'S46'!$C:$BQ,59,0)</f>
        <v>#N/A</v>
      </c>
      <c r="AB25" s="115" t="e">
        <f>VLOOKUP($A25,'S46'!$C:$BQ,60,0)</f>
        <v>#N/A</v>
      </c>
      <c r="AC25" s="107" t="e">
        <f>VLOOKUP($A25,'S47'!$C:$BQ,32,0)</f>
        <v>#N/A</v>
      </c>
      <c r="AD25" s="107" t="e">
        <f>VLOOKUP($A25,'S47'!$C:$BQ,39,0)</f>
        <v>#N/A</v>
      </c>
      <c r="AE25" s="107" t="e">
        <f>VLOOKUP($A25,'S47'!$C:$BQ,40,0)</f>
        <v>#N/A</v>
      </c>
      <c r="AF25" s="107" t="e">
        <f>VLOOKUP($A25,'S47'!$C:$BQ,22,0)</f>
        <v>#N/A</v>
      </c>
      <c r="AG25" s="115" t="e">
        <f>VLOOKUP($A25,'S47'!$C:$BQ,29,0)</f>
        <v>#N/A</v>
      </c>
      <c r="AH25" s="115" t="e">
        <f>VLOOKUP($A25,'S47'!$C:$BQ,30,0)</f>
        <v>#N/A</v>
      </c>
      <c r="AI25" s="115" t="e">
        <f>VLOOKUP($A25,'S47'!$C:$BQ,52,0)</f>
        <v>#N/A</v>
      </c>
      <c r="AJ25" s="115" t="e">
        <f>VLOOKUP($A25,'S47'!$C:$BQ,59,0)</f>
        <v>#N/A</v>
      </c>
      <c r="AK25" s="115" t="e">
        <f>VLOOKUP($A25,'S47'!$C:$BQ,60,0)</f>
        <v>#N/A</v>
      </c>
      <c r="AL25" s="107" t="e">
        <f>VLOOKUP($A25,'S48'!$C:$BQ,32,0)</f>
        <v>#N/A</v>
      </c>
      <c r="AM25" s="107" t="e">
        <f>VLOOKUP($A25,'S48'!$C:$BQ,39,0)</f>
        <v>#N/A</v>
      </c>
      <c r="AN25" s="107" t="e">
        <f>VLOOKUP($A25,'S48'!$C:$BQ,40,0)</f>
        <v>#N/A</v>
      </c>
      <c r="AO25" s="107" t="e">
        <f>VLOOKUP($A25,'S48'!$C:$BQ,22,0)</f>
        <v>#N/A</v>
      </c>
      <c r="AP25" s="115" t="e">
        <f>VLOOKUP($A25,'S48'!$C:$BQ,29,0)</f>
        <v>#N/A</v>
      </c>
      <c r="AQ25" s="115" t="e">
        <f>VLOOKUP($A25,'S48'!$C:$BQ,30,0)</f>
        <v>#N/A</v>
      </c>
      <c r="AR25" s="115" t="e">
        <f>VLOOKUP($A25,'S48'!$C:$BQ,52,0)</f>
        <v>#N/A</v>
      </c>
      <c r="AS25" s="115" t="e">
        <f>VLOOKUP($A25,'S48'!$C:$BQ,59,0)</f>
        <v>#N/A</v>
      </c>
      <c r="AT25" s="115" t="e">
        <f>VLOOKUP($A25,'S48'!$C:$BQ,60,0)</f>
        <v>#N/A</v>
      </c>
      <c r="AU25" s="107" t="e">
        <f>VLOOKUP($A25,'S49'!$C:$BQ,32,0)</f>
        <v>#N/A</v>
      </c>
      <c r="AV25" s="107" t="e">
        <f>VLOOKUP($A25,'S49'!$C:$BQ,39,0)</f>
        <v>#N/A</v>
      </c>
      <c r="AW25" s="107" t="e">
        <f>VLOOKUP($A25,'S49'!$C:$BQ,40,0)</f>
        <v>#N/A</v>
      </c>
      <c r="AX25" s="107" t="e">
        <f>VLOOKUP($A25,'S49'!$C:$BQ,22,0)</f>
        <v>#N/A</v>
      </c>
      <c r="AY25" s="115" t="e">
        <f>VLOOKUP($A25,'S49'!$C:$BQ,29,0)</f>
        <v>#N/A</v>
      </c>
      <c r="AZ25" s="115" t="e">
        <f>VLOOKUP($A25,'S49'!$C:$BQ,30,0)</f>
        <v>#N/A</v>
      </c>
      <c r="BA25" s="115" t="e">
        <f>VLOOKUP($A25,'S49'!$C:$BQ,52,0)</f>
        <v>#N/A</v>
      </c>
      <c r="BB25" s="115" t="e">
        <f>VLOOKUP($A25,'S49'!$C:$BQ,59,0)</f>
        <v>#N/A</v>
      </c>
      <c r="BC25" s="115" t="e">
        <f>VLOOKUP($A25,'S49'!$C:$BQ,60,0)</f>
        <v>#N/A</v>
      </c>
      <c r="BD25" s="107" t="e">
        <f>VLOOKUP($A25,'S50'!$C:$BQ,32,0)</f>
        <v>#N/A</v>
      </c>
      <c r="BE25" s="107" t="e">
        <f>VLOOKUP($A25,'S50'!$C:$BQ,39,0)</f>
        <v>#N/A</v>
      </c>
      <c r="BF25" s="107" t="e">
        <f>VLOOKUP($A25,'S50'!$C:$BQ,40,0)</f>
        <v>#N/A</v>
      </c>
      <c r="BG25" s="107" t="e">
        <f>VLOOKUP($A25,'S50'!$C:$BQ,22,0)</f>
        <v>#N/A</v>
      </c>
      <c r="BH25" s="115" t="e">
        <f>VLOOKUP($A25,'S50'!$C:$BQ,29,0)</f>
        <v>#N/A</v>
      </c>
      <c r="BI25" s="115" t="e">
        <f>VLOOKUP($A25,'S50'!$C:$BQ,30,0)</f>
        <v>#N/A</v>
      </c>
      <c r="BJ25" s="115" t="e">
        <f>VLOOKUP($A25,'S50'!$C:$BQ,52,0)</f>
        <v>#N/A</v>
      </c>
      <c r="BK25" s="115" t="e">
        <f>VLOOKUP($A25,'S50'!$C:$BQ,59,0)</f>
        <v>#N/A</v>
      </c>
      <c r="BL25" s="115" t="e">
        <f>VLOOKUP($A25,'S50'!$C:$BQ,60,0)</f>
        <v>#N/A</v>
      </c>
    </row>
    <row r="26" spans="1:64" x14ac:dyDescent="0.2">
      <c r="A26" s="106" t="s">
        <v>80</v>
      </c>
      <c r="B26" s="107">
        <f>VLOOKUP($A26,'S0 remplacer avec S44'!$C:$BQ,32,0)</f>
        <v>168.9</v>
      </c>
      <c r="C26" s="107">
        <f>VLOOKUP($A26,'S0 remplacer avec S44'!$C:$BQ,39,0)</f>
        <v>111</v>
      </c>
      <c r="D26" s="107">
        <f>VLOOKUP($A26,'S0 remplacer avec S44'!$C:$BQ,40,0)</f>
        <v>166</v>
      </c>
      <c r="E26" s="107">
        <f>VLOOKUP($A26,'S0 remplacer avec S44'!$C:$BQ,22,0)</f>
        <v>2422.95847</v>
      </c>
      <c r="F26" s="115">
        <f>VLOOKUP($A26,'S0 remplacer avec S44'!$C:$BQ,29,0)</f>
        <v>115</v>
      </c>
      <c r="G26" s="115">
        <f>VLOOKUP($A26,'S0 remplacer avec S44'!$C:$BQ,30,0)</f>
        <v>622</v>
      </c>
      <c r="H26" s="115">
        <f>VLOOKUP($A26,'S0 remplacer avec S44'!$C:$BQ,52,0)</f>
        <v>142.19999999999999</v>
      </c>
      <c r="I26" s="115">
        <f>VLOOKUP($A26,'S0 remplacer avec S44'!$C:$BQ,59,0)</f>
        <v>0</v>
      </c>
      <c r="J26" s="115">
        <f>VLOOKUP($A26,'S0 remplacer avec S44'!$C:$BQ,60,0)</f>
        <v>28</v>
      </c>
      <c r="K26" s="107" t="e">
        <f>VLOOKUP($A26,'S45'!$C:$BQ,32,0)</f>
        <v>#N/A</v>
      </c>
      <c r="L26" s="107" t="e">
        <f>VLOOKUP($A26,'S45'!$C:$BQ,39,0)</f>
        <v>#N/A</v>
      </c>
      <c r="M26" s="107" t="e">
        <f>VLOOKUP($A26,'S45'!$C:$BQ,40,0)</f>
        <v>#N/A</v>
      </c>
      <c r="N26" s="107" t="e">
        <f>VLOOKUP($A26,'S45'!$C:$BQ,22,0)</f>
        <v>#N/A</v>
      </c>
      <c r="O26" s="115" t="e">
        <f>VLOOKUP($A26,'S45'!$C:$BQ,29,0)</f>
        <v>#N/A</v>
      </c>
      <c r="P26" s="115" t="e">
        <f>VLOOKUP($A26,'S45'!$C:$BQ,30,0)</f>
        <v>#N/A</v>
      </c>
      <c r="Q26" s="115" t="e">
        <f>VLOOKUP($A26,'S45'!$C:$BQ,52,0)</f>
        <v>#N/A</v>
      </c>
      <c r="R26" s="115" t="e">
        <f>VLOOKUP($A26,'S45'!$C:$BQ,59,0)</f>
        <v>#N/A</v>
      </c>
      <c r="S26" s="115" t="e">
        <f>VLOOKUP($A26,'S45'!$C:$BQ,60,0)</f>
        <v>#N/A</v>
      </c>
      <c r="T26" s="107" t="e">
        <f>VLOOKUP($A26,'S46'!$C:$BQ,32,0)</f>
        <v>#N/A</v>
      </c>
      <c r="U26" s="107" t="e">
        <f>VLOOKUP($A26,'S46'!$C:$BQ,39,0)</f>
        <v>#N/A</v>
      </c>
      <c r="V26" s="107" t="e">
        <f>VLOOKUP($A26,'S46'!$C:$BQ,40,0)</f>
        <v>#N/A</v>
      </c>
      <c r="W26" s="107" t="e">
        <f>VLOOKUP($A26,'S46'!$C:$BQ,22,0)</f>
        <v>#N/A</v>
      </c>
      <c r="X26" s="115" t="e">
        <f>VLOOKUP($A26,'S46'!$C:$BQ,29,0)</f>
        <v>#N/A</v>
      </c>
      <c r="Y26" s="115" t="e">
        <f>VLOOKUP($A26,'S46'!$C:$BQ,30,0)</f>
        <v>#N/A</v>
      </c>
      <c r="Z26" s="115" t="e">
        <f>VLOOKUP($A26,'S46'!$C:$BQ,52,0)</f>
        <v>#N/A</v>
      </c>
      <c r="AA26" s="115" t="e">
        <f>VLOOKUP($A26,'S46'!$C:$BQ,59,0)</f>
        <v>#N/A</v>
      </c>
      <c r="AB26" s="115" t="e">
        <f>VLOOKUP($A26,'S46'!$C:$BQ,60,0)</f>
        <v>#N/A</v>
      </c>
      <c r="AC26" s="107" t="e">
        <f>VLOOKUP($A26,'S47'!$C:$BQ,32,0)</f>
        <v>#N/A</v>
      </c>
      <c r="AD26" s="107" t="e">
        <f>VLOOKUP($A26,'S47'!$C:$BQ,39,0)</f>
        <v>#N/A</v>
      </c>
      <c r="AE26" s="107" t="e">
        <f>VLOOKUP($A26,'S47'!$C:$BQ,40,0)</f>
        <v>#N/A</v>
      </c>
      <c r="AF26" s="107" t="e">
        <f>VLOOKUP($A26,'S47'!$C:$BQ,22,0)</f>
        <v>#N/A</v>
      </c>
      <c r="AG26" s="115" t="e">
        <f>VLOOKUP($A26,'S47'!$C:$BQ,29,0)</f>
        <v>#N/A</v>
      </c>
      <c r="AH26" s="115" t="e">
        <f>VLOOKUP($A26,'S47'!$C:$BQ,30,0)</f>
        <v>#N/A</v>
      </c>
      <c r="AI26" s="115" t="e">
        <f>VLOOKUP($A26,'S47'!$C:$BQ,52,0)</f>
        <v>#N/A</v>
      </c>
      <c r="AJ26" s="115" t="e">
        <f>VLOOKUP($A26,'S47'!$C:$BQ,59,0)</f>
        <v>#N/A</v>
      </c>
      <c r="AK26" s="115" t="e">
        <f>VLOOKUP($A26,'S47'!$C:$BQ,60,0)</f>
        <v>#N/A</v>
      </c>
      <c r="AL26" s="107" t="e">
        <f>VLOOKUP($A26,'S48'!$C:$BQ,32,0)</f>
        <v>#N/A</v>
      </c>
      <c r="AM26" s="107" t="e">
        <f>VLOOKUP($A26,'S48'!$C:$BQ,39,0)</f>
        <v>#N/A</v>
      </c>
      <c r="AN26" s="107" t="e">
        <f>VLOOKUP($A26,'S48'!$C:$BQ,40,0)</f>
        <v>#N/A</v>
      </c>
      <c r="AO26" s="107" t="e">
        <f>VLOOKUP($A26,'S48'!$C:$BQ,22,0)</f>
        <v>#N/A</v>
      </c>
      <c r="AP26" s="115" t="e">
        <f>VLOOKUP($A26,'S48'!$C:$BQ,29,0)</f>
        <v>#N/A</v>
      </c>
      <c r="AQ26" s="115" t="e">
        <f>VLOOKUP($A26,'S48'!$C:$BQ,30,0)</f>
        <v>#N/A</v>
      </c>
      <c r="AR26" s="115" t="e">
        <f>VLOOKUP($A26,'S48'!$C:$BQ,52,0)</f>
        <v>#N/A</v>
      </c>
      <c r="AS26" s="115" t="e">
        <f>VLOOKUP($A26,'S48'!$C:$BQ,59,0)</f>
        <v>#N/A</v>
      </c>
      <c r="AT26" s="115" t="e">
        <f>VLOOKUP($A26,'S48'!$C:$BQ,60,0)</f>
        <v>#N/A</v>
      </c>
      <c r="AU26" s="107" t="e">
        <f>VLOOKUP($A26,'S49'!$C:$BQ,32,0)</f>
        <v>#N/A</v>
      </c>
      <c r="AV26" s="107" t="e">
        <f>VLOOKUP($A26,'S49'!$C:$BQ,39,0)</f>
        <v>#N/A</v>
      </c>
      <c r="AW26" s="107" t="e">
        <f>VLOOKUP($A26,'S49'!$C:$BQ,40,0)</f>
        <v>#N/A</v>
      </c>
      <c r="AX26" s="107" t="e">
        <f>VLOOKUP($A26,'S49'!$C:$BQ,22,0)</f>
        <v>#N/A</v>
      </c>
      <c r="AY26" s="115" t="e">
        <f>VLOOKUP($A26,'S49'!$C:$BQ,29,0)</f>
        <v>#N/A</v>
      </c>
      <c r="AZ26" s="115" t="e">
        <f>VLOOKUP($A26,'S49'!$C:$BQ,30,0)</f>
        <v>#N/A</v>
      </c>
      <c r="BA26" s="115" t="e">
        <f>VLOOKUP($A26,'S49'!$C:$BQ,52,0)</f>
        <v>#N/A</v>
      </c>
      <c r="BB26" s="115" t="e">
        <f>VLOOKUP($A26,'S49'!$C:$BQ,59,0)</f>
        <v>#N/A</v>
      </c>
      <c r="BC26" s="115" t="e">
        <f>VLOOKUP($A26,'S49'!$C:$BQ,60,0)</f>
        <v>#N/A</v>
      </c>
      <c r="BD26" s="107" t="e">
        <f>VLOOKUP($A26,'S50'!$C:$BQ,32,0)</f>
        <v>#N/A</v>
      </c>
      <c r="BE26" s="107" t="e">
        <f>VLOOKUP($A26,'S50'!$C:$BQ,39,0)</f>
        <v>#N/A</v>
      </c>
      <c r="BF26" s="107" t="e">
        <f>VLOOKUP($A26,'S50'!$C:$BQ,40,0)</f>
        <v>#N/A</v>
      </c>
      <c r="BG26" s="107" t="e">
        <f>VLOOKUP($A26,'S50'!$C:$BQ,22,0)</f>
        <v>#N/A</v>
      </c>
      <c r="BH26" s="115" t="e">
        <f>VLOOKUP($A26,'S50'!$C:$BQ,29,0)</f>
        <v>#N/A</v>
      </c>
      <c r="BI26" s="115" t="e">
        <f>VLOOKUP($A26,'S50'!$C:$BQ,30,0)</f>
        <v>#N/A</v>
      </c>
      <c r="BJ26" s="115" t="e">
        <f>VLOOKUP($A26,'S50'!$C:$BQ,52,0)</f>
        <v>#N/A</v>
      </c>
      <c r="BK26" s="115" t="e">
        <f>VLOOKUP($A26,'S50'!$C:$BQ,59,0)</f>
        <v>#N/A</v>
      </c>
      <c r="BL26" s="115" t="e">
        <f>VLOOKUP($A26,'S50'!$C:$BQ,60,0)</f>
        <v>#N/A</v>
      </c>
    </row>
    <row r="27" spans="1:64" x14ac:dyDescent="0.2">
      <c r="A27" s="106" t="s">
        <v>83</v>
      </c>
      <c r="B27" s="107">
        <f>VLOOKUP($A27,'S0 remplacer avec S44'!$C:$BQ,32,0)</f>
        <v>351.2</v>
      </c>
      <c r="C27" s="107">
        <f>VLOOKUP($A27,'S0 remplacer avec S44'!$C:$BQ,39,0)</f>
        <v>43</v>
      </c>
      <c r="D27" s="107">
        <f>VLOOKUP($A27,'S0 remplacer avec S44'!$C:$BQ,40,0)</f>
        <v>121</v>
      </c>
      <c r="E27" s="107">
        <f>VLOOKUP($A27,'S0 remplacer avec S44'!$C:$BQ,22,0)</f>
        <v>2262.3163599999998</v>
      </c>
      <c r="F27" s="115">
        <f>VLOOKUP($A27,'S0 remplacer avec S44'!$C:$BQ,29,0)</f>
        <v>1316</v>
      </c>
      <c r="G27" s="115">
        <f>VLOOKUP($A27,'S0 remplacer avec S44'!$C:$BQ,30,0)</f>
        <v>2031</v>
      </c>
      <c r="H27" s="115">
        <f>VLOOKUP($A27,'S0 remplacer avec S44'!$C:$BQ,52,0)</f>
        <v>208.4</v>
      </c>
      <c r="I27" s="115">
        <f>VLOOKUP($A27,'S0 remplacer avec S44'!$C:$BQ,59,0)</f>
        <v>0</v>
      </c>
      <c r="J27" s="115">
        <f>VLOOKUP($A27,'S0 remplacer avec S44'!$C:$BQ,60,0)</f>
        <v>32</v>
      </c>
      <c r="K27" s="107" t="e">
        <f>VLOOKUP($A27,'S45'!$C:$BQ,32,0)</f>
        <v>#N/A</v>
      </c>
      <c r="L27" s="107" t="e">
        <f>VLOOKUP($A27,'S45'!$C:$BQ,39,0)</f>
        <v>#N/A</v>
      </c>
      <c r="M27" s="107" t="e">
        <f>VLOOKUP($A27,'S45'!$C:$BQ,40,0)</f>
        <v>#N/A</v>
      </c>
      <c r="N27" s="107" t="e">
        <f>VLOOKUP($A27,'S45'!$C:$BQ,22,0)</f>
        <v>#N/A</v>
      </c>
      <c r="O27" s="115" t="e">
        <f>VLOOKUP($A27,'S45'!$C:$BQ,29,0)</f>
        <v>#N/A</v>
      </c>
      <c r="P27" s="115" t="e">
        <f>VLOOKUP($A27,'S45'!$C:$BQ,30,0)</f>
        <v>#N/A</v>
      </c>
      <c r="Q27" s="115" t="e">
        <f>VLOOKUP($A27,'S45'!$C:$BQ,52,0)</f>
        <v>#N/A</v>
      </c>
      <c r="R27" s="115" t="e">
        <f>VLOOKUP($A27,'S45'!$C:$BQ,59,0)</f>
        <v>#N/A</v>
      </c>
      <c r="S27" s="115" t="e">
        <f>VLOOKUP($A27,'S45'!$C:$BQ,60,0)</f>
        <v>#N/A</v>
      </c>
      <c r="T27" s="107" t="e">
        <f>VLOOKUP($A27,'S46'!$C:$BQ,32,0)</f>
        <v>#N/A</v>
      </c>
      <c r="U27" s="107" t="e">
        <f>VLOOKUP($A27,'S46'!$C:$BQ,39,0)</f>
        <v>#N/A</v>
      </c>
      <c r="V27" s="107" t="e">
        <f>VLOOKUP($A27,'S46'!$C:$BQ,40,0)</f>
        <v>#N/A</v>
      </c>
      <c r="W27" s="107" t="e">
        <f>VLOOKUP($A27,'S46'!$C:$BQ,22,0)</f>
        <v>#N/A</v>
      </c>
      <c r="X27" s="115" t="e">
        <f>VLOOKUP($A27,'S46'!$C:$BQ,29,0)</f>
        <v>#N/A</v>
      </c>
      <c r="Y27" s="115" t="e">
        <f>VLOOKUP($A27,'S46'!$C:$BQ,30,0)</f>
        <v>#N/A</v>
      </c>
      <c r="Z27" s="115" t="e">
        <f>VLOOKUP($A27,'S46'!$C:$BQ,52,0)</f>
        <v>#N/A</v>
      </c>
      <c r="AA27" s="115" t="e">
        <f>VLOOKUP($A27,'S46'!$C:$BQ,59,0)</f>
        <v>#N/A</v>
      </c>
      <c r="AB27" s="115" t="e">
        <f>VLOOKUP($A27,'S46'!$C:$BQ,60,0)</f>
        <v>#N/A</v>
      </c>
      <c r="AC27" s="107" t="e">
        <f>VLOOKUP($A27,'S47'!$C:$BQ,32,0)</f>
        <v>#N/A</v>
      </c>
      <c r="AD27" s="107" t="e">
        <f>VLOOKUP($A27,'S47'!$C:$BQ,39,0)</f>
        <v>#N/A</v>
      </c>
      <c r="AE27" s="107" t="e">
        <f>VLOOKUP($A27,'S47'!$C:$BQ,40,0)</f>
        <v>#N/A</v>
      </c>
      <c r="AF27" s="107" t="e">
        <f>VLOOKUP($A27,'S47'!$C:$BQ,22,0)</f>
        <v>#N/A</v>
      </c>
      <c r="AG27" s="115" t="e">
        <f>VLOOKUP($A27,'S47'!$C:$BQ,29,0)</f>
        <v>#N/A</v>
      </c>
      <c r="AH27" s="115" t="e">
        <f>VLOOKUP($A27,'S47'!$C:$BQ,30,0)</f>
        <v>#N/A</v>
      </c>
      <c r="AI27" s="115" t="e">
        <f>VLOOKUP($A27,'S47'!$C:$BQ,52,0)</f>
        <v>#N/A</v>
      </c>
      <c r="AJ27" s="115" t="e">
        <f>VLOOKUP($A27,'S47'!$C:$BQ,59,0)</f>
        <v>#N/A</v>
      </c>
      <c r="AK27" s="115" t="e">
        <f>VLOOKUP($A27,'S47'!$C:$BQ,60,0)</f>
        <v>#N/A</v>
      </c>
      <c r="AL27" s="107" t="e">
        <f>VLOOKUP($A27,'S48'!$C:$BQ,32,0)</f>
        <v>#N/A</v>
      </c>
      <c r="AM27" s="107" t="e">
        <f>VLOOKUP($A27,'S48'!$C:$BQ,39,0)</f>
        <v>#N/A</v>
      </c>
      <c r="AN27" s="107" t="e">
        <f>VLOOKUP($A27,'S48'!$C:$BQ,40,0)</f>
        <v>#N/A</v>
      </c>
      <c r="AO27" s="107" t="e">
        <f>VLOOKUP($A27,'S48'!$C:$BQ,22,0)</f>
        <v>#N/A</v>
      </c>
      <c r="AP27" s="115" t="e">
        <f>VLOOKUP($A27,'S48'!$C:$BQ,29,0)</f>
        <v>#N/A</v>
      </c>
      <c r="AQ27" s="115" t="e">
        <f>VLOOKUP($A27,'S48'!$C:$BQ,30,0)</f>
        <v>#N/A</v>
      </c>
      <c r="AR27" s="115" t="e">
        <f>VLOOKUP($A27,'S48'!$C:$BQ,52,0)</f>
        <v>#N/A</v>
      </c>
      <c r="AS27" s="115" t="e">
        <f>VLOOKUP($A27,'S48'!$C:$BQ,59,0)</f>
        <v>#N/A</v>
      </c>
      <c r="AT27" s="115" t="e">
        <f>VLOOKUP($A27,'S48'!$C:$BQ,60,0)</f>
        <v>#N/A</v>
      </c>
      <c r="AU27" s="107" t="e">
        <f>VLOOKUP($A27,'S49'!$C:$BQ,32,0)</f>
        <v>#N/A</v>
      </c>
      <c r="AV27" s="107" t="e">
        <f>VLOOKUP($A27,'S49'!$C:$BQ,39,0)</f>
        <v>#N/A</v>
      </c>
      <c r="AW27" s="107" t="e">
        <f>VLOOKUP($A27,'S49'!$C:$BQ,40,0)</f>
        <v>#N/A</v>
      </c>
      <c r="AX27" s="107" t="e">
        <f>VLOOKUP($A27,'S49'!$C:$BQ,22,0)</f>
        <v>#N/A</v>
      </c>
      <c r="AY27" s="115" t="e">
        <f>VLOOKUP($A27,'S49'!$C:$BQ,29,0)</f>
        <v>#N/A</v>
      </c>
      <c r="AZ27" s="115" t="e">
        <f>VLOOKUP($A27,'S49'!$C:$BQ,30,0)</f>
        <v>#N/A</v>
      </c>
      <c r="BA27" s="115" t="e">
        <f>VLOOKUP($A27,'S49'!$C:$BQ,52,0)</f>
        <v>#N/A</v>
      </c>
      <c r="BB27" s="115" t="e">
        <f>VLOOKUP($A27,'S49'!$C:$BQ,59,0)</f>
        <v>#N/A</v>
      </c>
      <c r="BC27" s="115" t="e">
        <f>VLOOKUP($A27,'S49'!$C:$BQ,60,0)</f>
        <v>#N/A</v>
      </c>
      <c r="BD27" s="107" t="e">
        <f>VLOOKUP($A27,'S50'!$C:$BQ,32,0)</f>
        <v>#N/A</v>
      </c>
      <c r="BE27" s="107" t="e">
        <f>VLOOKUP($A27,'S50'!$C:$BQ,39,0)</f>
        <v>#N/A</v>
      </c>
      <c r="BF27" s="107" t="e">
        <f>VLOOKUP($A27,'S50'!$C:$BQ,40,0)</f>
        <v>#N/A</v>
      </c>
      <c r="BG27" s="107" t="e">
        <f>VLOOKUP($A27,'S50'!$C:$BQ,22,0)</f>
        <v>#N/A</v>
      </c>
      <c r="BH27" s="115" t="e">
        <f>VLOOKUP($A27,'S50'!$C:$BQ,29,0)</f>
        <v>#N/A</v>
      </c>
      <c r="BI27" s="115" t="e">
        <f>VLOOKUP($A27,'S50'!$C:$BQ,30,0)</f>
        <v>#N/A</v>
      </c>
      <c r="BJ27" s="115" t="e">
        <f>VLOOKUP($A27,'S50'!$C:$BQ,52,0)</f>
        <v>#N/A</v>
      </c>
      <c r="BK27" s="115" t="e">
        <f>VLOOKUP($A27,'S50'!$C:$BQ,59,0)</f>
        <v>#N/A</v>
      </c>
      <c r="BL27" s="115" t="e">
        <f>VLOOKUP($A27,'S50'!$C:$BQ,60,0)</f>
        <v>#N/A</v>
      </c>
    </row>
    <row r="28" spans="1:64" x14ac:dyDescent="0.2">
      <c r="A28" s="106" t="s">
        <v>84</v>
      </c>
      <c r="B28" s="107">
        <f>VLOOKUP($A28,'S0 remplacer avec S44'!$C:$BQ,32,0)</f>
        <v>171.55</v>
      </c>
      <c r="C28" s="107">
        <f>VLOOKUP($A28,'S0 remplacer avec S44'!$C:$BQ,39,0)</f>
        <v>8</v>
      </c>
      <c r="D28" s="107">
        <f>VLOOKUP($A28,'S0 remplacer avec S44'!$C:$BQ,40,0)</f>
        <v>44</v>
      </c>
      <c r="E28" s="107">
        <f>VLOOKUP($A28,'S0 remplacer avec S44'!$C:$BQ,22,0)</f>
        <v>1935.332085</v>
      </c>
      <c r="F28" s="115">
        <f>VLOOKUP($A28,'S0 remplacer avec S44'!$C:$BQ,29,0)</f>
        <v>0</v>
      </c>
      <c r="G28" s="115">
        <f>VLOOKUP($A28,'S0 remplacer avec S44'!$C:$BQ,30,0)</f>
        <v>18</v>
      </c>
      <c r="H28" s="115">
        <f>VLOOKUP($A28,'S0 remplacer avec S44'!$C:$BQ,52,0)</f>
        <v>88.8</v>
      </c>
      <c r="I28" s="115">
        <f>VLOOKUP($A28,'S0 remplacer avec S44'!$C:$BQ,59,0)</f>
        <v>3</v>
      </c>
      <c r="J28" s="115">
        <f>VLOOKUP($A28,'S0 remplacer avec S44'!$C:$BQ,60,0)</f>
        <v>21</v>
      </c>
      <c r="K28" s="107" t="e">
        <f>VLOOKUP($A28,'S45'!$C:$BQ,32,0)</f>
        <v>#N/A</v>
      </c>
      <c r="L28" s="107" t="e">
        <f>VLOOKUP($A28,'S45'!$C:$BQ,39,0)</f>
        <v>#N/A</v>
      </c>
      <c r="M28" s="107" t="e">
        <f>VLOOKUP($A28,'S45'!$C:$BQ,40,0)</f>
        <v>#N/A</v>
      </c>
      <c r="N28" s="107" t="e">
        <f>VLOOKUP($A28,'S45'!$C:$BQ,22,0)</f>
        <v>#N/A</v>
      </c>
      <c r="O28" s="115" t="e">
        <f>VLOOKUP($A28,'S45'!$C:$BQ,29,0)</f>
        <v>#N/A</v>
      </c>
      <c r="P28" s="115" t="e">
        <f>VLOOKUP($A28,'S45'!$C:$BQ,30,0)</f>
        <v>#N/A</v>
      </c>
      <c r="Q28" s="115" t="e">
        <f>VLOOKUP($A28,'S45'!$C:$BQ,52,0)</f>
        <v>#N/A</v>
      </c>
      <c r="R28" s="115" t="e">
        <f>VLOOKUP($A28,'S45'!$C:$BQ,59,0)</f>
        <v>#N/A</v>
      </c>
      <c r="S28" s="115" t="e">
        <f>VLOOKUP($A28,'S45'!$C:$BQ,60,0)</f>
        <v>#N/A</v>
      </c>
      <c r="T28" s="107" t="e">
        <f>VLOOKUP($A28,'S46'!$C:$BQ,32,0)</f>
        <v>#N/A</v>
      </c>
      <c r="U28" s="107" t="e">
        <f>VLOOKUP($A28,'S46'!$C:$BQ,39,0)</f>
        <v>#N/A</v>
      </c>
      <c r="V28" s="107" t="e">
        <f>VLOOKUP($A28,'S46'!$C:$BQ,40,0)</f>
        <v>#N/A</v>
      </c>
      <c r="W28" s="107" t="e">
        <f>VLOOKUP($A28,'S46'!$C:$BQ,22,0)</f>
        <v>#N/A</v>
      </c>
      <c r="X28" s="115" t="e">
        <f>VLOOKUP($A28,'S46'!$C:$BQ,29,0)</f>
        <v>#N/A</v>
      </c>
      <c r="Y28" s="115" t="e">
        <f>VLOOKUP($A28,'S46'!$C:$BQ,30,0)</f>
        <v>#N/A</v>
      </c>
      <c r="Z28" s="115" t="e">
        <f>VLOOKUP($A28,'S46'!$C:$BQ,52,0)</f>
        <v>#N/A</v>
      </c>
      <c r="AA28" s="115" t="e">
        <f>VLOOKUP($A28,'S46'!$C:$BQ,59,0)</f>
        <v>#N/A</v>
      </c>
      <c r="AB28" s="115" t="e">
        <f>VLOOKUP($A28,'S46'!$C:$BQ,60,0)</f>
        <v>#N/A</v>
      </c>
      <c r="AC28" s="107" t="e">
        <f>VLOOKUP($A28,'S47'!$C:$BQ,32,0)</f>
        <v>#N/A</v>
      </c>
      <c r="AD28" s="107" t="e">
        <f>VLOOKUP($A28,'S47'!$C:$BQ,39,0)</f>
        <v>#N/A</v>
      </c>
      <c r="AE28" s="107" t="e">
        <f>VLOOKUP($A28,'S47'!$C:$BQ,40,0)</f>
        <v>#N/A</v>
      </c>
      <c r="AF28" s="107" t="e">
        <f>VLOOKUP($A28,'S47'!$C:$BQ,22,0)</f>
        <v>#N/A</v>
      </c>
      <c r="AG28" s="115" t="e">
        <f>VLOOKUP($A28,'S47'!$C:$BQ,29,0)</f>
        <v>#N/A</v>
      </c>
      <c r="AH28" s="115" t="e">
        <f>VLOOKUP($A28,'S47'!$C:$BQ,30,0)</f>
        <v>#N/A</v>
      </c>
      <c r="AI28" s="115" t="e">
        <f>VLOOKUP($A28,'S47'!$C:$BQ,52,0)</f>
        <v>#N/A</v>
      </c>
      <c r="AJ28" s="115" t="e">
        <f>VLOOKUP($A28,'S47'!$C:$BQ,59,0)</f>
        <v>#N/A</v>
      </c>
      <c r="AK28" s="115" t="e">
        <f>VLOOKUP($A28,'S47'!$C:$BQ,60,0)</f>
        <v>#N/A</v>
      </c>
      <c r="AL28" s="107" t="e">
        <f>VLOOKUP($A28,'S48'!$C:$BQ,32,0)</f>
        <v>#N/A</v>
      </c>
      <c r="AM28" s="107" t="e">
        <f>VLOOKUP($A28,'S48'!$C:$BQ,39,0)</f>
        <v>#N/A</v>
      </c>
      <c r="AN28" s="107" t="e">
        <f>VLOOKUP($A28,'S48'!$C:$BQ,40,0)</f>
        <v>#N/A</v>
      </c>
      <c r="AO28" s="107" t="e">
        <f>VLOOKUP($A28,'S48'!$C:$BQ,22,0)</f>
        <v>#N/A</v>
      </c>
      <c r="AP28" s="115" t="e">
        <f>VLOOKUP($A28,'S48'!$C:$BQ,29,0)</f>
        <v>#N/A</v>
      </c>
      <c r="AQ28" s="115" t="e">
        <f>VLOOKUP($A28,'S48'!$C:$BQ,30,0)</f>
        <v>#N/A</v>
      </c>
      <c r="AR28" s="115" t="e">
        <f>VLOOKUP($A28,'S48'!$C:$BQ,52,0)</f>
        <v>#N/A</v>
      </c>
      <c r="AS28" s="115" t="e">
        <f>VLOOKUP($A28,'S48'!$C:$BQ,59,0)</f>
        <v>#N/A</v>
      </c>
      <c r="AT28" s="115" t="e">
        <f>VLOOKUP($A28,'S48'!$C:$BQ,60,0)</f>
        <v>#N/A</v>
      </c>
      <c r="AU28" s="107" t="e">
        <f>VLOOKUP($A28,'S49'!$C:$BQ,32,0)</f>
        <v>#N/A</v>
      </c>
      <c r="AV28" s="107" t="e">
        <f>VLOOKUP($A28,'S49'!$C:$BQ,39,0)</f>
        <v>#N/A</v>
      </c>
      <c r="AW28" s="107" t="e">
        <f>VLOOKUP($A28,'S49'!$C:$BQ,40,0)</f>
        <v>#N/A</v>
      </c>
      <c r="AX28" s="107" t="e">
        <f>VLOOKUP($A28,'S49'!$C:$BQ,22,0)</f>
        <v>#N/A</v>
      </c>
      <c r="AY28" s="115" t="e">
        <f>VLOOKUP($A28,'S49'!$C:$BQ,29,0)</f>
        <v>#N/A</v>
      </c>
      <c r="AZ28" s="115" t="e">
        <f>VLOOKUP($A28,'S49'!$C:$BQ,30,0)</f>
        <v>#N/A</v>
      </c>
      <c r="BA28" s="115" t="e">
        <f>VLOOKUP($A28,'S49'!$C:$BQ,52,0)</f>
        <v>#N/A</v>
      </c>
      <c r="BB28" s="115" t="e">
        <f>VLOOKUP($A28,'S49'!$C:$BQ,59,0)</f>
        <v>#N/A</v>
      </c>
      <c r="BC28" s="115" t="e">
        <f>VLOOKUP($A28,'S49'!$C:$BQ,60,0)</f>
        <v>#N/A</v>
      </c>
      <c r="BD28" s="107" t="e">
        <f>VLOOKUP($A28,'S50'!$C:$BQ,32,0)</f>
        <v>#N/A</v>
      </c>
      <c r="BE28" s="107" t="e">
        <f>VLOOKUP($A28,'S50'!$C:$BQ,39,0)</f>
        <v>#N/A</v>
      </c>
      <c r="BF28" s="107" t="e">
        <f>VLOOKUP($A28,'S50'!$C:$BQ,40,0)</f>
        <v>#N/A</v>
      </c>
      <c r="BG28" s="107" t="e">
        <f>VLOOKUP($A28,'S50'!$C:$BQ,22,0)</f>
        <v>#N/A</v>
      </c>
      <c r="BH28" s="115" t="e">
        <f>VLOOKUP($A28,'S50'!$C:$BQ,29,0)</f>
        <v>#N/A</v>
      </c>
      <c r="BI28" s="115" t="e">
        <f>VLOOKUP($A28,'S50'!$C:$BQ,30,0)</f>
        <v>#N/A</v>
      </c>
      <c r="BJ28" s="115" t="e">
        <f>VLOOKUP($A28,'S50'!$C:$BQ,52,0)</f>
        <v>#N/A</v>
      </c>
      <c r="BK28" s="115" t="e">
        <f>VLOOKUP($A28,'S50'!$C:$BQ,59,0)</f>
        <v>#N/A</v>
      </c>
      <c r="BL28" s="115" t="e">
        <f>VLOOKUP($A28,'S50'!$C:$BQ,60,0)</f>
        <v>#N/A</v>
      </c>
    </row>
    <row r="29" spans="1:64" x14ac:dyDescent="0.2">
      <c r="A29" s="106" t="s">
        <v>85</v>
      </c>
      <c r="B29" s="107">
        <f>VLOOKUP($A29,'S0 remplacer avec S44'!$C:$BQ,32,0)</f>
        <v>231.8</v>
      </c>
      <c r="C29" s="107">
        <f>VLOOKUP($A29,'S0 remplacer avec S44'!$C:$BQ,39,0)</f>
        <v>241</v>
      </c>
      <c r="D29" s="107">
        <f>VLOOKUP($A29,'S0 remplacer avec S44'!$C:$BQ,40,0)</f>
        <v>335</v>
      </c>
      <c r="E29" s="107">
        <f>VLOOKUP($A29,'S0 remplacer avec S44'!$C:$BQ,22,0)</f>
        <v>3464.2276649999999</v>
      </c>
      <c r="F29" s="115">
        <f>VLOOKUP($A29,'S0 remplacer avec S44'!$C:$BQ,29,0)</f>
        <v>829</v>
      </c>
      <c r="G29" s="115">
        <f>VLOOKUP($A29,'S0 remplacer avec S44'!$C:$BQ,30,0)</f>
        <v>1688</v>
      </c>
      <c r="H29" s="115">
        <f>VLOOKUP($A29,'S0 remplacer avec S44'!$C:$BQ,52,0)</f>
        <v>178</v>
      </c>
      <c r="I29" s="115">
        <f>VLOOKUP($A29,'S0 remplacer avec S44'!$C:$BQ,59,0)</f>
        <v>62</v>
      </c>
      <c r="J29" s="115">
        <f>VLOOKUP($A29,'S0 remplacer avec S44'!$C:$BQ,60,0)</f>
        <v>110</v>
      </c>
      <c r="K29" s="107" t="e">
        <f>VLOOKUP($A29,'S45'!$C:$BQ,32,0)</f>
        <v>#N/A</v>
      </c>
      <c r="L29" s="107" t="e">
        <f>VLOOKUP($A29,'S45'!$C:$BQ,39,0)</f>
        <v>#N/A</v>
      </c>
      <c r="M29" s="107" t="e">
        <f>VLOOKUP($A29,'S45'!$C:$BQ,40,0)</f>
        <v>#N/A</v>
      </c>
      <c r="N29" s="107" t="e">
        <f>VLOOKUP($A29,'S45'!$C:$BQ,22,0)</f>
        <v>#N/A</v>
      </c>
      <c r="O29" s="115" t="e">
        <f>VLOOKUP($A29,'S45'!$C:$BQ,29,0)</f>
        <v>#N/A</v>
      </c>
      <c r="P29" s="115" t="e">
        <f>VLOOKUP($A29,'S45'!$C:$BQ,30,0)</f>
        <v>#N/A</v>
      </c>
      <c r="Q29" s="115" t="e">
        <f>VLOOKUP($A29,'S45'!$C:$BQ,52,0)</f>
        <v>#N/A</v>
      </c>
      <c r="R29" s="115" t="e">
        <f>VLOOKUP($A29,'S45'!$C:$BQ,59,0)</f>
        <v>#N/A</v>
      </c>
      <c r="S29" s="115" t="e">
        <f>VLOOKUP($A29,'S45'!$C:$BQ,60,0)</f>
        <v>#N/A</v>
      </c>
      <c r="T29" s="107" t="e">
        <f>VLOOKUP($A29,'S46'!$C:$BQ,32,0)</f>
        <v>#N/A</v>
      </c>
      <c r="U29" s="107" t="e">
        <f>VLOOKUP($A29,'S46'!$C:$BQ,39,0)</f>
        <v>#N/A</v>
      </c>
      <c r="V29" s="107" t="e">
        <f>VLOOKUP($A29,'S46'!$C:$BQ,40,0)</f>
        <v>#N/A</v>
      </c>
      <c r="W29" s="107" t="e">
        <f>VLOOKUP($A29,'S46'!$C:$BQ,22,0)</f>
        <v>#N/A</v>
      </c>
      <c r="X29" s="115" t="e">
        <f>VLOOKUP($A29,'S46'!$C:$BQ,29,0)</f>
        <v>#N/A</v>
      </c>
      <c r="Y29" s="115" t="e">
        <f>VLOOKUP($A29,'S46'!$C:$BQ,30,0)</f>
        <v>#N/A</v>
      </c>
      <c r="Z29" s="115" t="e">
        <f>VLOOKUP($A29,'S46'!$C:$BQ,52,0)</f>
        <v>#N/A</v>
      </c>
      <c r="AA29" s="115" t="e">
        <f>VLOOKUP($A29,'S46'!$C:$BQ,59,0)</f>
        <v>#N/A</v>
      </c>
      <c r="AB29" s="115" t="e">
        <f>VLOOKUP($A29,'S46'!$C:$BQ,60,0)</f>
        <v>#N/A</v>
      </c>
      <c r="AC29" s="107" t="e">
        <f>VLOOKUP($A29,'S47'!$C:$BQ,32,0)</f>
        <v>#N/A</v>
      </c>
      <c r="AD29" s="107" t="e">
        <f>VLOOKUP($A29,'S47'!$C:$BQ,39,0)</f>
        <v>#N/A</v>
      </c>
      <c r="AE29" s="107" t="e">
        <f>VLOOKUP($A29,'S47'!$C:$BQ,40,0)</f>
        <v>#N/A</v>
      </c>
      <c r="AF29" s="107" t="e">
        <f>VLOOKUP($A29,'S47'!$C:$BQ,22,0)</f>
        <v>#N/A</v>
      </c>
      <c r="AG29" s="115" t="e">
        <f>VLOOKUP($A29,'S47'!$C:$BQ,29,0)</f>
        <v>#N/A</v>
      </c>
      <c r="AH29" s="115" t="e">
        <f>VLOOKUP($A29,'S47'!$C:$BQ,30,0)</f>
        <v>#N/A</v>
      </c>
      <c r="AI29" s="115" t="e">
        <f>VLOOKUP($A29,'S47'!$C:$BQ,52,0)</f>
        <v>#N/A</v>
      </c>
      <c r="AJ29" s="115" t="e">
        <f>VLOOKUP($A29,'S47'!$C:$BQ,59,0)</f>
        <v>#N/A</v>
      </c>
      <c r="AK29" s="115" t="e">
        <f>VLOOKUP($A29,'S47'!$C:$BQ,60,0)</f>
        <v>#N/A</v>
      </c>
      <c r="AL29" s="107" t="e">
        <f>VLOOKUP($A29,'S48'!$C:$BQ,32,0)</f>
        <v>#N/A</v>
      </c>
      <c r="AM29" s="107" t="e">
        <f>VLOOKUP($A29,'S48'!$C:$BQ,39,0)</f>
        <v>#N/A</v>
      </c>
      <c r="AN29" s="107" t="e">
        <f>VLOOKUP($A29,'S48'!$C:$BQ,40,0)</f>
        <v>#N/A</v>
      </c>
      <c r="AO29" s="107" t="e">
        <f>VLOOKUP($A29,'S48'!$C:$BQ,22,0)</f>
        <v>#N/A</v>
      </c>
      <c r="AP29" s="115" t="e">
        <f>VLOOKUP($A29,'S48'!$C:$BQ,29,0)</f>
        <v>#N/A</v>
      </c>
      <c r="AQ29" s="115" t="e">
        <f>VLOOKUP($A29,'S48'!$C:$BQ,30,0)</f>
        <v>#N/A</v>
      </c>
      <c r="AR29" s="115" t="e">
        <f>VLOOKUP($A29,'S48'!$C:$BQ,52,0)</f>
        <v>#N/A</v>
      </c>
      <c r="AS29" s="115" t="e">
        <f>VLOOKUP($A29,'S48'!$C:$BQ,59,0)</f>
        <v>#N/A</v>
      </c>
      <c r="AT29" s="115" t="e">
        <f>VLOOKUP($A29,'S48'!$C:$BQ,60,0)</f>
        <v>#N/A</v>
      </c>
      <c r="AU29" s="107" t="e">
        <f>VLOOKUP($A29,'S49'!$C:$BQ,32,0)</f>
        <v>#N/A</v>
      </c>
      <c r="AV29" s="107" t="e">
        <f>VLOOKUP($A29,'S49'!$C:$BQ,39,0)</f>
        <v>#N/A</v>
      </c>
      <c r="AW29" s="107" t="e">
        <f>VLOOKUP($A29,'S49'!$C:$BQ,40,0)</f>
        <v>#N/A</v>
      </c>
      <c r="AX29" s="107" t="e">
        <f>VLOOKUP($A29,'S49'!$C:$BQ,22,0)</f>
        <v>#N/A</v>
      </c>
      <c r="AY29" s="115" t="e">
        <f>VLOOKUP($A29,'S49'!$C:$BQ,29,0)</f>
        <v>#N/A</v>
      </c>
      <c r="AZ29" s="115" t="e">
        <f>VLOOKUP($A29,'S49'!$C:$BQ,30,0)</f>
        <v>#N/A</v>
      </c>
      <c r="BA29" s="115" t="e">
        <f>VLOOKUP($A29,'S49'!$C:$BQ,52,0)</f>
        <v>#N/A</v>
      </c>
      <c r="BB29" s="115" t="e">
        <f>VLOOKUP($A29,'S49'!$C:$BQ,59,0)</f>
        <v>#N/A</v>
      </c>
      <c r="BC29" s="115" t="e">
        <f>VLOOKUP($A29,'S49'!$C:$BQ,60,0)</f>
        <v>#N/A</v>
      </c>
      <c r="BD29" s="107" t="e">
        <f>VLOOKUP($A29,'S50'!$C:$BQ,32,0)</f>
        <v>#N/A</v>
      </c>
      <c r="BE29" s="107" t="e">
        <f>VLOOKUP($A29,'S50'!$C:$BQ,39,0)</f>
        <v>#N/A</v>
      </c>
      <c r="BF29" s="107" t="e">
        <f>VLOOKUP($A29,'S50'!$C:$BQ,40,0)</f>
        <v>#N/A</v>
      </c>
      <c r="BG29" s="107" t="e">
        <f>VLOOKUP($A29,'S50'!$C:$BQ,22,0)</f>
        <v>#N/A</v>
      </c>
      <c r="BH29" s="115" t="e">
        <f>VLOOKUP($A29,'S50'!$C:$BQ,29,0)</f>
        <v>#N/A</v>
      </c>
      <c r="BI29" s="115" t="e">
        <f>VLOOKUP($A29,'S50'!$C:$BQ,30,0)</f>
        <v>#N/A</v>
      </c>
      <c r="BJ29" s="115" t="e">
        <f>VLOOKUP($A29,'S50'!$C:$BQ,52,0)</f>
        <v>#N/A</v>
      </c>
      <c r="BK29" s="115" t="e">
        <f>VLOOKUP($A29,'S50'!$C:$BQ,59,0)</f>
        <v>#N/A</v>
      </c>
      <c r="BL29" s="115" t="e">
        <f>VLOOKUP($A29,'S50'!$C:$BQ,60,0)</f>
        <v>#N/A</v>
      </c>
    </row>
    <row r="30" spans="1:64" x14ac:dyDescent="0.2">
      <c r="A30" s="106" t="s">
        <v>86</v>
      </c>
      <c r="B30" s="107">
        <f>VLOOKUP($A30,'S0 remplacer avec S44'!$C:$BQ,32,0)</f>
        <v>353.65</v>
      </c>
      <c r="C30" s="107">
        <f>VLOOKUP($A30,'S0 remplacer avec S44'!$C:$BQ,39,0)</f>
        <v>155</v>
      </c>
      <c r="D30" s="107">
        <f>VLOOKUP($A30,'S0 remplacer avec S44'!$C:$BQ,40,0)</f>
        <v>257</v>
      </c>
      <c r="E30" s="107">
        <f>VLOOKUP($A30,'S0 remplacer avec S44'!$C:$BQ,22,0)</f>
        <v>3939.0106700000001</v>
      </c>
      <c r="F30" s="115">
        <f>VLOOKUP($A30,'S0 remplacer avec S44'!$C:$BQ,29,0)</f>
        <v>686</v>
      </c>
      <c r="G30" s="115">
        <f>VLOOKUP($A30,'S0 remplacer avec S44'!$C:$BQ,30,0)</f>
        <v>1611</v>
      </c>
      <c r="H30" s="115">
        <f>VLOOKUP($A30,'S0 remplacer avec S44'!$C:$BQ,52,0)</f>
        <v>283.8</v>
      </c>
      <c r="I30" s="115">
        <f>VLOOKUP($A30,'S0 remplacer avec S44'!$C:$BQ,59,0)</f>
        <v>0</v>
      </c>
      <c r="J30" s="115">
        <f>VLOOKUP($A30,'S0 remplacer avec S44'!$C:$BQ,60,0)</f>
        <v>27</v>
      </c>
      <c r="K30" s="107" t="e">
        <f>VLOOKUP($A30,'S45'!$C:$BQ,32,0)</f>
        <v>#N/A</v>
      </c>
      <c r="L30" s="107" t="e">
        <f>VLOOKUP($A30,'S45'!$C:$BQ,39,0)</f>
        <v>#N/A</v>
      </c>
      <c r="M30" s="107" t="e">
        <f>VLOOKUP($A30,'S45'!$C:$BQ,40,0)</f>
        <v>#N/A</v>
      </c>
      <c r="N30" s="107" t="e">
        <f>VLOOKUP($A30,'S45'!$C:$BQ,22,0)</f>
        <v>#N/A</v>
      </c>
      <c r="O30" s="115" t="e">
        <f>VLOOKUP($A30,'S45'!$C:$BQ,29,0)</f>
        <v>#N/A</v>
      </c>
      <c r="P30" s="115" t="e">
        <f>VLOOKUP($A30,'S45'!$C:$BQ,30,0)</f>
        <v>#N/A</v>
      </c>
      <c r="Q30" s="115" t="e">
        <f>VLOOKUP($A30,'S45'!$C:$BQ,52,0)</f>
        <v>#N/A</v>
      </c>
      <c r="R30" s="115" t="e">
        <f>VLOOKUP($A30,'S45'!$C:$BQ,59,0)</f>
        <v>#N/A</v>
      </c>
      <c r="S30" s="115" t="e">
        <f>VLOOKUP($A30,'S45'!$C:$BQ,60,0)</f>
        <v>#N/A</v>
      </c>
      <c r="T30" s="107" t="e">
        <f>VLOOKUP($A30,'S46'!$C:$BQ,32,0)</f>
        <v>#N/A</v>
      </c>
      <c r="U30" s="107" t="e">
        <f>VLOOKUP($A30,'S46'!$C:$BQ,39,0)</f>
        <v>#N/A</v>
      </c>
      <c r="V30" s="107" t="e">
        <f>VLOOKUP($A30,'S46'!$C:$BQ,40,0)</f>
        <v>#N/A</v>
      </c>
      <c r="W30" s="107" t="e">
        <f>VLOOKUP($A30,'S46'!$C:$BQ,22,0)</f>
        <v>#N/A</v>
      </c>
      <c r="X30" s="115" t="e">
        <f>VLOOKUP($A30,'S46'!$C:$BQ,29,0)</f>
        <v>#N/A</v>
      </c>
      <c r="Y30" s="115" t="e">
        <f>VLOOKUP($A30,'S46'!$C:$BQ,30,0)</f>
        <v>#N/A</v>
      </c>
      <c r="Z30" s="115" t="e">
        <f>VLOOKUP($A30,'S46'!$C:$BQ,52,0)</f>
        <v>#N/A</v>
      </c>
      <c r="AA30" s="115" t="e">
        <f>VLOOKUP($A30,'S46'!$C:$BQ,59,0)</f>
        <v>#N/A</v>
      </c>
      <c r="AB30" s="115" t="e">
        <f>VLOOKUP($A30,'S46'!$C:$BQ,60,0)</f>
        <v>#N/A</v>
      </c>
      <c r="AC30" s="107" t="e">
        <f>VLOOKUP($A30,'S47'!$C:$BQ,32,0)</f>
        <v>#N/A</v>
      </c>
      <c r="AD30" s="107" t="e">
        <f>VLOOKUP($A30,'S47'!$C:$BQ,39,0)</f>
        <v>#N/A</v>
      </c>
      <c r="AE30" s="107" t="e">
        <f>VLOOKUP($A30,'S47'!$C:$BQ,40,0)</f>
        <v>#N/A</v>
      </c>
      <c r="AF30" s="107" t="e">
        <f>VLOOKUP($A30,'S47'!$C:$BQ,22,0)</f>
        <v>#N/A</v>
      </c>
      <c r="AG30" s="115" t="e">
        <f>VLOOKUP($A30,'S47'!$C:$BQ,29,0)</f>
        <v>#N/A</v>
      </c>
      <c r="AH30" s="115" t="e">
        <f>VLOOKUP($A30,'S47'!$C:$BQ,30,0)</f>
        <v>#N/A</v>
      </c>
      <c r="AI30" s="115" t="e">
        <f>VLOOKUP($A30,'S47'!$C:$BQ,52,0)</f>
        <v>#N/A</v>
      </c>
      <c r="AJ30" s="115" t="e">
        <f>VLOOKUP($A30,'S47'!$C:$BQ,59,0)</f>
        <v>#N/A</v>
      </c>
      <c r="AK30" s="115" t="e">
        <f>VLOOKUP($A30,'S47'!$C:$BQ,60,0)</f>
        <v>#N/A</v>
      </c>
      <c r="AL30" s="107" t="e">
        <f>VLOOKUP($A30,'S48'!$C:$BQ,32,0)</f>
        <v>#N/A</v>
      </c>
      <c r="AM30" s="107" t="e">
        <f>VLOOKUP($A30,'S48'!$C:$BQ,39,0)</f>
        <v>#N/A</v>
      </c>
      <c r="AN30" s="107" t="e">
        <f>VLOOKUP($A30,'S48'!$C:$BQ,40,0)</f>
        <v>#N/A</v>
      </c>
      <c r="AO30" s="107" t="e">
        <f>VLOOKUP($A30,'S48'!$C:$BQ,22,0)</f>
        <v>#N/A</v>
      </c>
      <c r="AP30" s="115" t="e">
        <f>VLOOKUP($A30,'S48'!$C:$BQ,29,0)</f>
        <v>#N/A</v>
      </c>
      <c r="AQ30" s="115" t="e">
        <f>VLOOKUP($A30,'S48'!$C:$BQ,30,0)</f>
        <v>#N/A</v>
      </c>
      <c r="AR30" s="115" t="e">
        <f>VLOOKUP($A30,'S48'!$C:$BQ,52,0)</f>
        <v>#N/A</v>
      </c>
      <c r="AS30" s="115" t="e">
        <f>VLOOKUP($A30,'S48'!$C:$BQ,59,0)</f>
        <v>#N/A</v>
      </c>
      <c r="AT30" s="115" t="e">
        <f>VLOOKUP($A30,'S48'!$C:$BQ,60,0)</f>
        <v>#N/A</v>
      </c>
      <c r="AU30" s="107" t="e">
        <f>VLOOKUP($A30,'S49'!$C:$BQ,32,0)</f>
        <v>#N/A</v>
      </c>
      <c r="AV30" s="107" t="e">
        <f>VLOOKUP($A30,'S49'!$C:$BQ,39,0)</f>
        <v>#N/A</v>
      </c>
      <c r="AW30" s="107" t="e">
        <f>VLOOKUP($A30,'S49'!$C:$BQ,40,0)</f>
        <v>#N/A</v>
      </c>
      <c r="AX30" s="107" t="e">
        <f>VLOOKUP($A30,'S49'!$C:$BQ,22,0)</f>
        <v>#N/A</v>
      </c>
      <c r="AY30" s="115" t="e">
        <f>VLOOKUP($A30,'S49'!$C:$BQ,29,0)</f>
        <v>#N/A</v>
      </c>
      <c r="AZ30" s="115" t="e">
        <f>VLOOKUP($A30,'S49'!$C:$BQ,30,0)</f>
        <v>#N/A</v>
      </c>
      <c r="BA30" s="115" t="e">
        <f>VLOOKUP($A30,'S49'!$C:$BQ,52,0)</f>
        <v>#N/A</v>
      </c>
      <c r="BB30" s="115" t="e">
        <f>VLOOKUP($A30,'S49'!$C:$BQ,59,0)</f>
        <v>#N/A</v>
      </c>
      <c r="BC30" s="115" t="e">
        <f>VLOOKUP($A30,'S49'!$C:$BQ,60,0)</f>
        <v>#N/A</v>
      </c>
      <c r="BD30" s="107" t="e">
        <f>VLOOKUP($A30,'S50'!$C:$BQ,32,0)</f>
        <v>#N/A</v>
      </c>
      <c r="BE30" s="107" t="e">
        <f>VLOOKUP($A30,'S50'!$C:$BQ,39,0)</f>
        <v>#N/A</v>
      </c>
      <c r="BF30" s="107" t="e">
        <f>VLOOKUP($A30,'S50'!$C:$BQ,40,0)</f>
        <v>#N/A</v>
      </c>
      <c r="BG30" s="107" t="e">
        <f>VLOOKUP($A30,'S50'!$C:$BQ,22,0)</f>
        <v>#N/A</v>
      </c>
      <c r="BH30" s="115" t="e">
        <f>VLOOKUP($A30,'S50'!$C:$BQ,29,0)</f>
        <v>#N/A</v>
      </c>
      <c r="BI30" s="115" t="e">
        <f>VLOOKUP($A30,'S50'!$C:$BQ,30,0)</f>
        <v>#N/A</v>
      </c>
      <c r="BJ30" s="115" t="e">
        <f>VLOOKUP($A30,'S50'!$C:$BQ,52,0)</f>
        <v>#N/A</v>
      </c>
      <c r="BK30" s="115" t="e">
        <f>VLOOKUP($A30,'S50'!$C:$BQ,59,0)</f>
        <v>#N/A</v>
      </c>
      <c r="BL30" s="115" t="e">
        <f>VLOOKUP($A30,'S50'!$C:$BQ,60,0)</f>
        <v>#N/A</v>
      </c>
    </row>
    <row r="31" spans="1:64" x14ac:dyDescent="0.2">
      <c r="A31" s="106" t="s">
        <v>87</v>
      </c>
      <c r="B31" s="107">
        <f>VLOOKUP($A31,'S0 remplacer avec S44'!$C:$BQ,32,0)</f>
        <v>30.3</v>
      </c>
      <c r="C31" s="107">
        <f>VLOOKUP($A31,'S0 remplacer avec S44'!$C:$BQ,39,0)</f>
        <v>60</v>
      </c>
      <c r="D31" s="107">
        <f>VLOOKUP($A31,'S0 remplacer avec S44'!$C:$BQ,40,0)</f>
        <v>78</v>
      </c>
      <c r="E31" s="107">
        <f>VLOOKUP($A31,'S0 remplacer avec S44'!$C:$BQ,22,0)</f>
        <v>434.900645</v>
      </c>
      <c r="F31" s="115">
        <f>VLOOKUP($A31,'S0 remplacer avec S44'!$C:$BQ,29,0)</f>
        <v>386</v>
      </c>
      <c r="G31" s="115">
        <f>VLOOKUP($A31,'S0 remplacer avec S44'!$C:$BQ,30,0)</f>
        <v>550</v>
      </c>
      <c r="H31" s="115">
        <f>VLOOKUP($A31,'S0 remplacer avec S44'!$C:$BQ,52,0)</f>
        <v>27.4</v>
      </c>
      <c r="I31" s="115">
        <f>VLOOKUP($A31,'S0 remplacer avec S44'!$C:$BQ,59,0)</f>
        <v>19</v>
      </c>
      <c r="J31" s="115">
        <f>VLOOKUP($A31,'S0 remplacer avec S44'!$C:$BQ,60,0)</f>
        <v>28</v>
      </c>
      <c r="K31" s="107" t="e">
        <f>VLOOKUP($A31,'S45'!$C:$BQ,32,0)</f>
        <v>#N/A</v>
      </c>
      <c r="L31" s="107" t="e">
        <f>VLOOKUP($A31,'S45'!$C:$BQ,39,0)</f>
        <v>#N/A</v>
      </c>
      <c r="M31" s="107" t="e">
        <f>VLOOKUP($A31,'S45'!$C:$BQ,40,0)</f>
        <v>#N/A</v>
      </c>
      <c r="N31" s="107" t="e">
        <f>VLOOKUP($A31,'S45'!$C:$BQ,22,0)</f>
        <v>#N/A</v>
      </c>
      <c r="O31" s="115" t="e">
        <f>VLOOKUP($A31,'S45'!$C:$BQ,29,0)</f>
        <v>#N/A</v>
      </c>
      <c r="P31" s="115" t="e">
        <f>VLOOKUP($A31,'S45'!$C:$BQ,30,0)</f>
        <v>#N/A</v>
      </c>
      <c r="Q31" s="115" t="e">
        <f>VLOOKUP($A31,'S45'!$C:$BQ,52,0)</f>
        <v>#N/A</v>
      </c>
      <c r="R31" s="115" t="e">
        <f>VLOOKUP($A31,'S45'!$C:$BQ,59,0)</f>
        <v>#N/A</v>
      </c>
      <c r="S31" s="115" t="e">
        <f>VLOOKUP($A31,'S45'!$C:$BQ,60,0)</f>
        <v>#N/A</v>
      </c>
      <c r="T31" s="107" t="e">
        <f>VLOOKUP($A31,'S46'!$C:$BQ,32,0)</f>
        <v>#N/A</v>
      </c>
      <c r="U31" s="107" t="e">
        <f>VLOOKUP($A31,'S46'!$C:$BQ,39,0)</f>
        <v>#N/A</v>
      </c>
      <c r="V31" s="107" t="e">
        <f>VLOOKUP($A31,'S46'!$C:$BQ,40,0)</f>
        <v>#N/A</v>
      </c>
      <c r="W31" s="107" t="e">
        <f>VLOOKUP($A31,'S46'!$C:$BQ,22,0)</f>
        <v>#N/A</v>
      </c>
      <c r="X31" s="115" t="e">
        <f>VLOOKUP($A31,'S46'!$C:$BQ,29,0)</f>
        <v>#N/A</v>
      </c>
      <c r="Y31" s="115" t="e">
        <f>VLOOKUP($A31,'S46'!$C:$BQ,30,0)</f>
        <v>#N/A</v>
      </c>
      <c r="Z31" s="115" t="e">
        <f>VLOOKUP($A31,'S46'!$C:$BQ,52,0)</f>
        <v>#N/A</v>
      </c>
      <c r="AA31" s="115" t="e">
        <f>VLOOKUP($A31,'S46'!$C:$BQ,59,0)</f>
        <v>#N/A</v>
      </c>
      <c r="AB31" s="115" t="e">
        <f>VLOOKUP($A31,'S46'!$C:$BQ,60,0)</f>
        <v>#N/A</v>
      </c>
      <c r="AC31" s="107" t="e">
        <f>VLOOKUP($A31,'S47'!$C:$BQ,32,0)</f>
        <v>#N/A</v>
      </c>
      <c r="AD31" s="107" t="e">
        <f>VLOOKUP($A31,'S47'!$C:$BQ,39,0)</f>
        <v>#N/A</v>
      </c>
      <c r="AE31" s="107" t="e">
        <f>VLOOKUP($A31,'S47'!$C:$BQ,40,0)</f>
        <v>#N/A</v>
      </c>
      <c r="AF31" s="107" t="e">
        <f>VLOOKUP($A31,'S47'!$C:$BQ,22,0)</f>
        <v>#N/A</v>
      </c>
      <c r="AG31" s="115" t="e">
        <f>VLOOKUP($A31,'S47'!$C:$BQ,29,0)</f>
        <v>#N/A</v>
      </c>
      <c r="AH31" s="115" t="e">
        <f>VLOOKUP($A31,'S47'!$C:$BQ,30,0)</f>
        <v>#N/A</v>
      </c>
      <c r="AI31" s="115" t="e">
        <f>VLOOKUP($A31,'S47'!$C:$BQ,52,0)</f>
        <v>#N/A</v>
      </c>
      <c r="AJ31" s="115" t="e">
        <f>VLOOKUP($A31,'S47'!$C:$BQ,59,0)</f>
        <v>#N/A</v>
      </c>
      <c r="AK31" s="115" t="e">
        <f>VLOOKUP($A31,'S47'!$C:$BQ,60,0)</f>
        <v>#N/A</v>
      </c>
      <c r="AL31" s="107" t="e">
        <f>VLOOKUP($A31,'S48'!$C:$BQ,32,0)</f>
        <v>#N/A</v>
      </c>
      <c r="AM31" s="107" t="e">
        <f>VLOOKUP($A31,'S48'!$C:$BQ,39,0)</f>
        <v>#N/A</v>
      </c>
      <c r="AN31" s="107" t="e">
        <f>VLOOKUP($A31,'S48'!$C:$BQ,40,0)</f>
        <v>#N/A</v>
      </c>
      <c r="AO31" s="107" t="e">
        <f>VLOOKUP($A31,'S48'!$C:$BQ,22,0)</f>
        <v>#N/A</v>
      </c>
      <c r="AP31" s="115" t="e">
        <f>VLOOKUP($A31,'S48'!$C:$BQ,29,0)</f>
        <v>#N/A</v>
      </c>
      <c r="AQ31" s="115" t="e">
        <f>VLOOKUP($A31,'S48'!$C:$BQ,30,0)</f>
        <v>#N/A</v>
      </c>
      <c r="AR31" s="115" t="e">
        <f>VLOOKUP($A31,'S48'!$C:$BQ,52,0)</f>
        <v>#N/A</v>
      </c>
      <c r="AS31" s="115" t="e">
        <f>VLOOKUP($A31,'S48'!$C:$BQ,59,0)</f>
        <v>#N/A</v>
      </c>
      <c r="AT31" s="115" t="e">
        <f>VLOOKUP($A31,'S48'!$C:$BQ,60,0)</f>
        <v>#N/A</v>
      </c>
      <c r="AU31" s="107" t="e">
        <f>VLOOKUP($A31,'S49'!$C:$BQ,32,0)</f>
        <v>#N/A</v>
      </c>
      <c r="AV31" s="107" t="e">
        <f>VLOOKUP($A31,'S49'!$C:$BQ,39,0)</f>
        <v>#N/A</v>
      </c>
      <c r="AW31" s="107" t="e">
        <f>VLOOKUP($A31,'S49'!$C:$BQ,40,0)</f>
        <v>#N/A</v>
      </c>
      <c r="AX31" s="107" t="e">
        <f>VLOOKUP($A31,'S49'!$C:$BQ,22,0)</f>
        <v>#N/A</v>
      </c>
      <c r="AY31" s="115" t="e">
        <f>VLOOKUP($A31,'S49'!$C:$BQ,29,0)</f>
        <v>#N/A</v>
      </c>
      <c r="AZ31" s="115" t="e">
        <f>VLOOKUP($A31,'S49'!$C:$BQ,30,0)</f>
        <v>#N/A</v>
      </c>
      <c r="BA31" s="115" t="e">
        <f>VLOOKUP($A31,'S49'!$C:$BQ,52,0)</f>
        <v>#N/A</v>
      </c>
      <c r="BB31" s="115" t="e">
        <f>VLOOKUP($A31,'S49'!$C:$BQ,59,0)</f>
        <v>#N/A</v>
      </c>
      <c r="BC31" s="115" t="e">
        <f>VLOOKUP($A31,'S49'!$C:$BQ,60,0)</f>
        <v>#N/A</v>
      </c>
      <c r="BD31" s="107" t="e">
        <f>VLOOKUP($A31,'S50'!$C:$BQ,32,0)</f>
        <v>#N/A</v>
      </c>
      <c r="BE31" s="107" t="e">
        <f>VLOOKUP($A31,'S50'!$C:$BQ,39,0)</f>
        <v>#N/A</v>
      </c>
      <c r="BF31" s="107" t="e">
        <f>VLOOKUP($A31,'S50'!$C:$BQ,40,0)</f>
        <v>#N/A</v>
      </c>
      <c r="BG31" s="107" t="e">
        <f>VLOOKUP($A31,'S50'!$C:$BQ,22,0)</f>
        <v>#N/A</v>
      </c>
      <c r="BH31" s="115" t="e">
        <f>VLOOKUP($A31,'S50'!$C:$BQ,29,0)</f>
        <v>#N/A</v>
      </c>
      <c r="BI31" s="115" t="e">
        <f>VLOOKUP($A31,'S50'!$C:$BQ,30,0)</f>
        <v>#N/A</v>
      </c>
      <c r="BJ31" s="115" t="e">
        <f>VLOOKUP($A31,'S50'!$C:$BQ,52,0)</f>
        <v>#N/A</v>
      </c>
      <c r="BK31" s="115" t="e">
        <f>VLOOKUP($A31,'S50'!$C:$BQ,59,0)</f>
        <v>#N/A</v>
      </c>
      <c r="BL31" s="115" t="e">
        <f>VLOOKUP($A31,'S50'!$C:$BQ,60,0)</f>
        <v>#N/A</v>
      </c>
    </row>
    <row r="32" spans="1:64" x14ac:dyDescent="0.2">
      <c r="A32" s="106" t="s">
        <v>88</v>
      </c>
      <c r="B32" s="107">
        <f>VLOOKUP($A32,'S0 remplacer avec S44'!$C:$BQ,32,0)</f>
        <v>149.69999999999999</v>
      </c>
      <c r="C32" s="107">
        <f>VLOOKUP($A32,'S0 remplacer avec S44'!$C:$BQ,39,0)</f>
        <v>3</v>
      </c>
      <c r="D32" s="107">
        <f>VLOOKUP($A32,'S0 remplacer avec S44'!$C:$BQ,40,0)</f>
        <v>34</v>
      </c>
      <c r="E32" s="107">
        <f>VLOOKUP($A32,'S0 remplacer avec S44'!$C:$BQ,22,0)</f>
        <v>1570.8900349999999</v>
      </c>
      <c r="F32" s="115">
        <f>VLOOKUP($A32,'S0 remplacer avec S44'!$C:$BQ,29,0)</f>
        <v>0</v>
      </c>
      <c r="G32" s="115">
        <f>VLOOKUP($A32,'S0 remplacer avec S44'!$C:$BQ,30,0)</f>
        <v>93</v>
      </c>
      <c r="H32" s="115">
        <f>VLOOKUP($A32,'S0 remplacer avec S44'!$C:$BQ,52,0)</f>
        <v>68.2</v>
      </c>
      <c r="I32" s="115">
        <f>VLOOKUP($A32,'S0 remplacer avec S44'!$C:$BQ,59,0)</f>
        <v>10</v>
      </c>
      <c r="J32" s="115">
        <f>VLOOKUP($A32,'S0 remplacer avec S44'!$C:$BQ,60,0)</f>
        <v>25</v>
      </c>
      <c r="K32" s="107" t="e">
        <f>VLOOKUP($A32,'S45'!$C:$BQ,32,0)</f>
        <v>#N/A</v>
      </c>
      <c r="L32" s="107" t="e">
        <f>VLOOKUP($A32,'S45'!$C:$BQ,39,0)</f>
        <v>#N/A</v>
      </c>
      <c r="M32" s="107" t="e">
        <f>VLOOKUP($A32,'S45'!$C:$BQ,40,0)</f>
        <v>#N/A</v>
      </c>
      <c r="N32" s="107" t="e">
        <f>VLOOKUP($A32,'S45'!$C:$BQ,22,0)</f>
        <v>#N/A</v>
      </c>
      <c r="O32" s="115" t="e">
        <f>VLOOKUP($A32,'S45'!$C:$BQ,29,0)</f>
        <v>#N/A</v>
      </c>
      <c r="P32" s="115" t="e">
        <f>VLOOKUP($A32,'S45'!$C:$BQ,30,0)</f>
        <v>#N/A</v>
      </c>
      <c r="Q32" s="115" t="e">
        <f>VLOOKUP($A32,'S45'!$C:$BQ,52,0)</f>
        <v>#N/A</v>
      </c>
      <c r="R32" s="115" t="e">
        <f>VLOOKUP($A32,'S45'!$C:$BQ,59,0)</f>
        <v>#N/A</v>
      </c>
      <c r="S32" s="115" t="e">
        <f>VLOOKUP($A32,'S45'!$C:$BQ,60,0)</f>
        <v>#N/A</v>
      </c>
      <c r="T32" s="107" t="e">
        <f>VLOOKUP($A32,'S46'!$C:$BQ,32,0)</f>
        <v>#N/A</v>
      </c>
      <c r="U32" s="107" t="e">
        <f>VLOOKUP($A32,'S46'!$C:$BQ,39,0)</f>
        <v>#N/A</v>
      </c>
      <c r="V32" s="107" t="e">
        <f>VLOOKUP($A32,'S46'!$C:$BQ,40,0)</f>
        <v>#N/A</v>
      </c>
      <c r="W32" s="107" t="e">
        <f>VLOOKUP($A32,'S46'!$C:$BQ,22,0)</f>
        <v>#N/A</v>
      </c>
      <c r="X32" s="115" t="e">
        <f>VLOOKUP($A32,'S46'!$C:$BQ,29,0)</f>
        <v>#N/A</v>
      </c>
      <c r="Y32" s="115" t="e">
        <f>VLOOKUP($A32,'S46'!$C:$BQ,30,0)</f>
        <v>#N/A</v>
      </c>
      <c r="Z32" s="115" t="e">
        <f>VLOOKUP($A32,'S46'!$C:$BQ,52,0)</f>
        <v>#N/A</v>
      </c>
      <c r="AA32" s="115" t="e">
        <f>VLOOKUP($A32,'S46'!$C:$BQ,59,0)</f>
        <v>#N/A</v>
      </c>
      <c r="AB32" s="115" t="e">
        <f>VLOOKUP($A32,'S46'!$C:$BQ,60,0)</f>
        <v>#N/A</v>
      </c>
      <c r="AC32" s="107" t="e">
        <f>VLOOKUP($A32,'S47'!$C:$BQ,32,0)</f>
        <v>#N/A</v>
      </c>
      <c r="AD32" s="107" t="e">
        <f>VLOOKUP($A32,'S47'!$C:$BQ,39,0)</f>
        <v>#N/A</v>
      </c>
      <c r="AE32" s="107" t="e">
        <f>VLOOKUP($A32,'S47'!$C:$BQ,40,0)</f>
        <v>#N/A</v>
      </c>
      <c r="AF32" s="107" t="e">
        <f>VLOOKUP($A32,'S47'!$C:$BQ,22,0)</f>
        <v>#N/A</v>
      </c>
      <c r="AG32" s="115" t="e">
        <f>VLOOKUP($A32,'S47'!$C:$BQ,29,0)</f>
        <v>#N/A</v>
      </c>
      <c r="AH32" s="115" t="e">
        <f>VLOOKUP($A32,'S47'!$C:$BQ,30,0)</f>
        <v>#N/A</v>
      </c>
      <c r="AI32" s="115" t="e">
        <f>VLOOKUP($A32,'S47'!$C:$BQ,52,0)</f>
        <v>#N/A</v>
      </c>
      <c r="AJ32" s="115" t="e">
        <f>VLOOKUP($A32,'S47'!$C:$BQ,59,0)</f>
        <v>#N/A</v>
      </c>
      <c r="AK32" s="115" t="e">
        <f>VLOOKUP($A32,'S47'!$C:$BQ,60,0)</f>
        <v>#N/A</v>
      </c>
      <c r="AL32" s="107" t="e">
        <f>VLOOKUP($A32,'S48'!$C:$BQ,32,0)</f>
        <v>#N/A</v>
      </c>
      <c r="AM32" s="107" t="e">
        <f>VLOOKUP($A32,'S48'!$C:$BQ,39,0)</f>
        <v>#N/A</v>
      </c>
      <c r="AN32" s="107" t="e">
        <f>VLOOKUP($A32,'S48'!$C:$BQ,40,0)</f>
        <v>#N/A</v>
      </c>
      <c r="AO32" s="107" t="e">
        <f>VLOOKUP($A32,'S48'!$C:$BQ,22,0)</f>
        <v>#N/A</v>
      </c>
      <c r="AP32" s="115" t="e">
        <f>VLOOKUP($A32,'S48'!$C:$BQ,29,0)</f>
        <v>#N/A</v>
      </c>
      <c r="AQ32" s="115" t="e">
        <f>VLOOKUP($A32,'S48'!$C:$BQ,30,0)</f>
        <v>#N/A</v>
      </c>
      <c r="AR32" s="115" t="e">
        <f>VLOOKUP($A32,'S48'!$C:$BQ,52,0)</f>
        <v>#N/A</v>
      </c>
      <c r="AS32" s="115" t="e">
        <f>VLOOKUP($A32,'S48'!$C:$BQ,59,0)</f>
        <v>#N/A</v>
      </c>
      <c r="AT32" s="115" t="e">
        <f>VLOOKUP($A32,'S48'!$C:$BQ,60,0)</f>
        <v>#N/A</v>
      </c>
      <c r="AU32" s="107" t="e">
        <f>VLOOKUP($A32,'S49'!$C:$BQ,32,0)</f>
        <v>#N/A</v>
      </c>
      <c r="AV32" s="107" t="e">
        <f>VLOOKUP($A32,'S49'!$C:$BQ,39,0)</f>
        <v>#N/A</v>
      </c>
      <c r="AW32" s="107" t="e">
        <f>VLOOKUP($A32,'S49'!$C:$BQ,40,0)</f>
        <v>#N/A</v>
      </c>
      <c r="AX32" s="107" t="e">
        <f>VLOOKUP($A32,'S49'!$C:$BQ,22,0)</f>
        <v>#N/A</v>
      </c>
      <c r="AY32" s="115" t="e">
        <f>VLOOKUP($A32,'S49'!$C:$BQ,29,0)</f>
        <v>#N/A</v>
      </c>
      <c r="AZ32" s="115" t="e">
        <f>VLOOKUP($A32,'S49'!$C:$BQ,30,0)</f>
        <v>#N/A</v>
      </c>
      <c r="BA32" s="115" t="e">
        <f>VLOOKUP($A32,'S49'!$C:$BQ,52,0)</f>
        <v>#N/A</v>
      </c>
      <c r="BB32" s="115" t="e">
        <f>VLOOKUP($A32,'S49'!$C:$BQ,59,0)</f>
        <v>#N/A</v>
      </c>
      <c r="BC32" s="115" t="e">
        <f>VLOOKUP($A32,'S49'!$C:$BQ,60,0)</f>
        <v>#N/A</v>
      </c>
      <c r="BD32" s="107" t="e">
        <f>VLOOKUP($A32,'S50'!$C:$BQ,32,0)</f>
        <v>#N/A</v>
      </c>
      <c r="BE32" s="107" t="e">
        <f>VLOOKUP($A32,'S50'!$C:$BQ,39,0)</f>
        <v>#N/A</v>
      </c>
      <c r="BF32" s="107" t="e">
        <f>VLOOKUP($A32,'S50'!$C:$BQ,40,0)</f>
        <v>#N/A</v>
      </c>
      <c r="BG32" s="107" t="e">
        <f>VLOOKUP($A32,'S50'!$C:$BQ,22,0)</f>
        <v>#N/A</v>
      </c>
      <c r="BH32" s="115" t="e">
        <f>VLOOKUP($A32,'S50'!$C:$BQ,29,0)</f>
        <v>#N/A</v>
      </c>
      <c r="BI32" s="115" t="e">
        <f>VLOOKUP($A32,'S50'!$C:$BQ,30,0)</f>
        <v>#N/A</v>
      </c>
      <c r="BJ32" s="115" t="e">
        <f>VLOOKUP($A32,'S50'!$C:$BQ,52,0)</f>
        <v>#N/A</v>
      </c>
      <c r="BK32" s="115" t="e">
        <f>VLOOKUP($A32,'S50'!$C:$BQ,59,0)</f>
        <v>#N/A</v>
      </c>
      <c r="BL32" s="115" t="e">
        <f>VLOOKUP($A32,'S50'!$C:$BQ,60,0)</f>
        <v>#N/A</v>
      </c>
    </row>
    <row r="33" spans="1:64" x14ac:dyDescent="0.2">
      <c r="A33" s="106" t="s">
        <v>89</v>
      </c>
      <c r="B33" s="107">
        <f>VLOOKUP($A33,'S0 remplacer avec S44'!$C:$BQ,32,0)</f>
        <v>139.4</v>
      </c>
      <c r="C33" s="107">
        <f>VLOOKUP($A33,'S0 remplacer avec S44'!$C:$BQ,39,0)</f>
        <v>15</v>
      </c>
      <c r="D33" s="107">
        <f>VLOOKUP($A33,'S0 remplacer avec S44'!$C:$BQ,40,0)</f>
        <v>46</v>
      </c>
      <c r="E33" s="107">
        <f>VLOOKUP($A33,'S0 remplacer avec S44'!$C:$BQ,22,0)</f>
        <v>1176.94487</v>
      </c>
      <c r="F33" s="115">
        <f>VLOOKUP($A33,'S0 remplacer avec S44'!$C:$BQ,29,0)</f>
        <v>227</v>
      </c>
      <c r="G33" s="115">
        <f>VLOOKUP($A33,'S0 remplacer avec S44'!$C:$BQ,30,0)</f>
        <v>508</v>
      </c>
      <c r="H33" s="115">
        <f>VLOOKUP($A33,'S0 remplacer avec S44'!$C:$BQ,52,0)</f>
        <v>93.6</v>
      </c>
      <c r="I33" s="115">
        <f>VLOOKUP($A33,'S0 remplacer avec S44'!$C:$BQ,59,0)</f>
        <v>0</v>
      </c>
      <c r="J33" s="115">
        <f>VLOOKUP($A33,'S0 remplacer avec S44'!$C:$BQ,60,0)</f>
        <v>1</v>
      </c>
      <c r="K33" s="107" t="e">
        <f>VLOOKUP($A33,'S45'!$C:$BQ,32,0)</f>
        <v>#N/A</v>
      </c>
      <c r="L33" s="107" t="e">
        <f>VLOOKUP($A33,'S45'!$C:$BQ,39,0)</f>
        <v>#N/A</v>
      </c>
      <c r="M33" s="107" t="e">
        <f>VLOOKUP($A33,'S45'!$C:$BQ,40,0)</f>
        <v>#N/A</v>
      </c>
      <c r="N33" s="107" t="e">
        <f>VLOOKUP($A33,'S45'!$C:$BQ,22,0)</f>
        <v>#N/A</v>
      </c>
      <c r="O33" s="115" t="e">
        <f>VLOOKUP($A33,'S45'!$C:$BQ,29,0)</f>
        <v>#N/A</v>
      </c>
      <c r="P33" s="115" t="e">
        <f>VLOOKUP($A33,'S45'!$C:$BQ,30,0)</f>
        <v>#N/A</v>
      </c>
      <c r="Q33" s="115" t="e">
        <f>VLOOKUP($A33,'S45'!$C:$BQ,52,0)</f>
        <v>#N/A</v>
      </c>
      <c r="R33" s="115" t="e">
        <f>VLOOKUP($A33,'S45'!$C:$BQ,59,0)</f>
        <v>#N/A</v>
      </c>
      <c r="S33" s="115" t="e">
        <f>VLOOKUP($A33,'S45'!$C:$BQ,60,0)</f>
        <v>#N/A</v>
      </c>
      <c r="T33" s="107" t="e">
        <f>VLOOKUP($A33,'S46'!$C:$BQ,32,0)</f>
        <v>#N/A</v>
      </c>
      <c r="U33" s="107" t="e">
        <f>VLOOKUP($A33,'S46'!$C:$BQ,39,0)</f>
        <v>#N/A</v>
      </c>
      <c r="V33" s="107" t="e">
        <f>VLOOKUP($A33,'S46'!$C:$BQ,40,0)</f>
        <v>#N/A</v>
      </c>
      <c r="W33" s="107" t="e">
        <f>VLOOKUP($A33,'S46'!$C:$BQ,22,0)</f>
        <v>#N/A</v>
      </c>
      <c r="X33" s="115" t="e">
        <f>VLOOKUP($A33,'S46'!$C:$BQ,29,0)</f>
        <v>#N/A</v>
      </c>
      <c r="Y33" s="115" t="e">
        <f>VLOOKUP($A33,'S46'!$C:$BQ,30,0)</f>
        <v>#N/A</v>
      </c>
      <c r="Z33" s="115" t="e">
        <f>VLOOKUP($A33,'S46'!$C:$BQ,52,0)</f>
        <v>#N/A</v>
      </c>
      <c r="AA33" s="115" t="e">
        <f>VLOOKUP($A33,'S46'!$C:$BQ,59,0)</f>
        <v>#N/A</v>
      </c>
      <c r="AB33" s="115" t="e">
        <f>VLOOKUP($A33,'S46'!$C:$BQ,60,0)</f>
        <v>#N/A</v>
      </c>
      <c r="AC33" s="107" t="e">
        <f>VLOOKUP($A33,'S47'!$C:$BQ,32,0)</f>
        <v>#N/A</v>
      </c>
      <c r="AD33" s="107" t="e">
        <f>VLOOKUP($A33,'S47'!$C:$BQ,39,0)</f>
        <v>#N/A</v>
      </c>
      <c r="AE33" s="107" t="e">
        <f>VLOOKUP($A33,'S47'!$C:$BQ,40,0)</f>
        <v>#N/A</v>
      </c>
      <c r="AF33" s="107" t="e">
        <f>VLOOKUP($A33,'S47'!$C:$BQ,22,0)</f>
        <v>#N/A</v>
      </c>
      <c r="AG33" s="115" t="e">
        <f>VLOOKUP($A33,'S47'!$C:$BQ,29,0)</f>
        <v>#N/A</v>
      </c>
      <c r="AH33" s="115" t="e">
        <f>VLOOKUP($A33,'S47'!$C:$BQ,30,0)</f>
        <v>#N/A</v>
      </c>
      <c r="AI33" s="115" t="e">
        <f>VLOOKUP($A33,'S47'!$C:$BQ,52,0)</f>
        <v>#N/A</v>
      </c>
      <c r="AJ33" s="115" t="e">
        <f>VLOOKUP($A33,'S47'!$C:$BQ,59,0)</f>
        <v>#N/A</v>
      </c>
      <c r="AK33" s="115" t="e">
        <f>VLOOKUP($A33,'S47'!$C:$BQ,60,0)</f>
        <v>#N/A</v>
      </c>
      <c r="AL33" s="107" t="e">
        <f>VLOOKUP($A33,'S48'!$C:$BQ,32,0)</f>
        <v>#N/A</v>
      </c>
      <c r="AM33" s="107" t="e">
        <f>VLOOKUP($A33,'S48'!$C:$BQ,39,0)</f>
        <v>#N/A</v>
      </c>
      <c r="AN33" s="107" t="e">
        <f>VLOOKUP($A33,'S48'!$C:$BQ,40,0)</f>
        <v>#N/A</v>
      </c>
      <c r="AO33" s="107" t="e">
        <f>VLOOKUP($A33,'S48'!$C:$BQ,22,0)</f>
        <v>#N/A</v>
      </c>
      <c r="AP33" s="115" t="e">
        <f>VLOOKUP($A33,'S48'!$C:$BQ,29,0)</f>
        <v>#N/A</v>
      </c>
      <c r="AQ33" s="115" t="e">
        <f>VLOOKUP($A33,'S48'!$C:$BQ,30,0)</f>
        <v>#N/A</v>
      </c>
      <c r="AR33" s="115" t="e">
        <f>VLOOKUP($A33,'S48'!$C:$BQ,52,0)</f>
        <v>#N/A</v>
      </c>
      <c r="AS33" s="115" t="e">
        <f>VLOOKUP($A33,'S48'!$C:$BQ,59,0)</f>
        <v>#N/A</v>
      </c>
      <c r="AT33" s="115" t="e">
        <f>VLOOKUP($A33,'S48'!$C:$BQ,60,0)</f>
        <v>#N/A</v>
      </c>
      <c r="AU33" s="107" t="e">
        <f>VLOOKUP($A33,'S49'!$C:$BQ,32,0)</f>
        <v>#N/A</v>
      </c>
      <c r="AV33" s="107" t="e">
        <f>VLOOKUP($A33,'S49'!$C:$BQ,39,0)</f>
        <v>#N/A</v>
      </c>
      <c r="AW33" s="107" t="e">
        <f>VLOOKUP($A33,'S49'!$C:$BQ,40,0)</f>
        <v>#N/A</v>
      </c>
      <c r="AX33" s="107" t="e">
        <f>VLOOKUP($A33,'S49'!$C:$BQ,22,0)</f>
        <v>#N/A</v>
      </c>
      <c r="AY33" s="115" t="e">
        <f>VLOOKUP($A33,'S49'!$C:$BQ,29,0)</f>
        <v>#N/A</v>
      </c>
      <c r="AZ33" s="115" t="e">
        <f>VLOOKUP($A33,'S49'!$C:$BQ,30,0)</f>
        <v>#N/A</v>
      </c>
      <c r="BA33" s="115" t="e">
        <f>VLOOKUP($A33,'S49'!$C:$BQ,52,0)</f>
        <v>#N/A</v>
      </c>
      <c r="BB33" s="115" t="e">
        <f>VLOOKUP($A33,'S49'!$C:$BQ,59,0)</f>
        <v>#N/A</v>
      </c>
      <c r="BC33" s="115" t="e">
        <f>VLOOKUP($A33,'S49'!$C:$BQ,60,0)</f>
        <v>#N/A</v>
      </c>
      <c r="BD33" s="107" t="e">
        <f>VLOOKUP($A33,'S50'!$C:$BQ,32,0)</f>
        <v>#N/A</v>
      </c>
      <c r="BE33" s="107" t="e">
        <f>VLOOKUP($A33,'S50'!$C:$BQ,39,0)</f>
        <v>#N/A</v>
      </c>
      <c r="BF33" s="107" t="e">
        <f>VLOOKUP($A33,'S50'!$C:$BQ,40,0)</f>
        <v>#N/A</v>
      </c>
      <c r="BG33" s="107" t="e">
        <f>VLOOKUP($A33,'S50'!$C:$BQ,22,0)</f>
        <v>#N/A</v>
      </c>
      <c r="BH33" s="115" t="e">
        <f>VLOOKUP($A33,'S50'!$C:$BQ,29,0)</f>
        <v>#N/A</v>
      </c>
      <c r="BI33" s="115" t="e">
        <f>VLOOKUP($A33,'S50'!$C:$BQ,30,0)</f>
        <v>#N/A</v>
      </c>
      <c r="BJ33" s="115" t="e">
        <f>VLOOKUP($A33,'S50'!$C:$BQ,52,0)</f>
        <v>#N/A</v>
      </c>
      <c r="BK33" s="115" t="e">
        <f>VLOOKUP($A33,'S50'!$C:$BQ,59,0)</f>
        <v>#N/A</v>
      </c>
      <c r="BL33" s="115" t="e">
        <f>VLOOKUP($A33,'S50'!$C:$BQ,60,0)</f>
        <v>#N/A</v>
      </c>
    </row>
    <row r="34" spans="1:64" x14ac:dyDescent="0.2">
      <c r="A34" s="106" t="s">
        <v>90</v>
      </c>
      <c r="B34" s="107">
        <f>VLOOKUP($A34,'S0 remplacer avec S44'!$C:$BQ,32,0)</f>
        <v>195.2</v>
      </c>
      <c r="C34" s="107">
        <f>VLOOKUP($A34,'S0 remplacer avec S44'!$C:$BQ,39,0)</f>
        <v>41</v>
      </c>
      <c r="D34" s="107">
        <f>VLOOKUP($A34,'S0 remplacer avec S44'!$C:$BQ,40,0)</f>
        <v>89</v>
      </c>
      <c r="E34" s="107">
        <f>VLOOKUP($A34,'S0 remplacer avec S44'!$C:$BQ,22,0)</f>
        <v>2297.4682699999998</v>
      </c>
      <c r="F34" s="115">
        <f>VLOOKUP($A34,'S0 remplacer avec S44'!$C:$BQ,29,0)</f>
        <v>0</v>
      </c>
      <c r="G34" s="115">
        <f>VLOOKUP($A34,'S0 remplacer avec S44'!$C:$BQ,30,0)</f>
        <v>281</v>
      </c>
      <c r="H34" s="115">
        <f>VLOOKUP($A34,'S0 remplacer avec S44'!$C:$BQ,52,0)</f>
        <v>95</v>
      </c>
      <c r="I34" s="115">
        <f>VLOOKUP($A34,'S0 remplacer avec S44'!$C:$BQ,59,0)</f>
        <v>25</v>
      </c>
      <c r="J34" s="115">
        <f>VLOOKUP($A34,'S0 remplacer avec S44'!$C:$BQ,60,0)</f>
        <v>49</v>
      </c>
      <c r="K34" s="107" t="e">
        <f>VLOOKUP($A34,'S45'!$C:$BQ,32,0)</f>
        <v>#N/A</v>
      </c>
      <c r="L34" s="107" t="e">
        <f>VLOOKUP($A34,'S45'!$C:$BQ,39,0)</f>
        <v>#N/A</v>
      </c>
      <c r="M34" s="107" t="e">
        <f>VLOOKUP($A34,'S45'!$C:$BQ,40,0)</f>
        <v>#N/A</v>
      </c>
      <c r="N34" s="107" t="e">
        <f>VLOOKUP($A34,'S45'!$C:$BQ,22,0)</f>
        <v>#N/A</v>
      </c>
      <c r="O34" s="115" t="e">
        <f>VLOOKUP($A34,'S45'!$C:$BQ,29,0)</f>
        <v>#N/A</v>
      </c>
      <c r="P34" s="115" t="e">
        <f>VLOOKUP($A34,'S45'!$C:$BQ,30,0)</f>
        <v>#N/A</v>
      </c>
      <c r="Q34" s="115" t="e">
        <f>VLOOKUP($A34,'S45'!$C:$BQ,52,0)</f>
        <v>#N/A</v>
      </c>
      <c r="R34" s="115" t="e">
        <f>VLOOKUP($A34,'S45'!$C:$BQ,59,0)</f>
        <v>#N/A</v>
      </c>
      <c r="S34" s="115" t="e">
        <f>VLOOKUP($A34,'S45'!$C:$BQ,60,0)</f>
        <v>#N/A</v>
      </c>
      <c r="T34" s="107" t="e">
        <f>VLOOKUP($A34,'S46'!$C:$BQ,32,0)</f>
        <v>#N/A</v>
      </c>
      <c r="U34" s="107" t="e">
        <f>VLOOKUP($A34,'S46'!$C:$BQ,39,0)</f>
        <v>#N/A</v>
      </c>
      <c r="V34" s="107" t="e">
        <f>VLOOKUP($A34,'S46'!$C:$BQ,40,0)</f>
        <v>#N/A</v>
      </c>
      <c r="W34" s="107" t="e">
        <f>VLOOKUP($A34,'S46'!$C:$BQ,22,0)</f>
        <v>#N/A</v>
      </c>
      <c r="X34" s="115" t="e">
        <f>VLOOKUP($A34,'S46'!$C:$BQ,29,0)</f>
        <v>#N/A</v>
      </c>
      <c r="Y34" s="115" t="e">
        <f>VLOOKUP($A34,'S46'!$C:$BQ,30,0)</f>
        <v>#N/A</v>
      </c>
      <c r="Z34" s="115" t="e">
        <f>VLOOKUP($A34,'S46'!$C:$BQ,52,0)</f>
        <v>#N/A</v>
      </c>
      <c r="AA34" s="115" t="e">
        <f>VLOOKUP($A34,'S46'!$C:$BQ,59,0)</f>
        <v>#N/A</v>
      </c>
      <c r="AB34" s="115" t="e">
        <f>VLOOKUP($A34,'S46'!$C:$BQ,60,0)</f>
        <v>#N/A</v>
      </c>
      <c r="AC34" s="107" t="e">
        <f>VLOOKUP($A34,'S47'!$C:$BQ,32,0)</f>
        <v>#N/A</v>
      </c>
      <c r="AD34" s="107" t="e">
        <f>VLOOKUP($A34,'S47'!$C:$BQ,39,0)</f>
        <v>#N/A</v>
      </c>
      <c r="AE34" s="107" t="e">
        <f>VLOOKUP($A34,'S47'!$C:$BQ,40,0)</f>
        <v>#N/A</v>
      </c>
      <c r="AF34" s="107" t="e">
        <f>VLOOKUP($A34,'S47'!$C:$BQ,22,0)</f>
        <v>#N/A</v>
      </c>
      <c r="AG34" s="115" t="e">
        <f>VLOOKUP($A34,'S47'!$C:$BQ,29,0)</f>
        <v>#N/A</v>
      </c>
      <c r="AH34" s="115" t="e">
        <f>VLOOKUP($A34,'S47'!$C:$BQ,30,0)</f>
        <v>#N/A</v>
      </c>
      <c r="AI34" s="115" t="e">
        <f>VLOOKUP($A34,'S47'!$C:$BQ,52,0)</f>
        <v>#N/A</v>
      </c>
      <c r="AJ34" s="115" t="e">
        <f>VLOOKUP($A34,'S47'!$C:$BQ,59,0)</f>
        <v>#N/A</v>
      </c>
      <c r="AK34" s="115" t="e">
        <f>VLOOKUP($A34,'S47'!$C:$BQ,60,0)</f>
        <v>#N/A</v>
      </c>
      <c r="AL34" s="107" t="e">
        <f>VLOOKUP($A34,'S48'!$C:$BQ,32,0)</f>
        <v>#N/A</v>
      </c>
      <c r="AM34" s="107" t="e">
        <f>VLOOKUP($A34,'S48'!$C:$BQ,39,0)</f>
        <v>#N/A</v>
      </c>
      <c r="AN34" s="107" t="e">
        <f>VLOOKUP($A34,'S48'!$C:$BQ,40,0)</f>
        <v>#N/A</v>
      </c>
      <c r="AO34" s="107" t="e">
        <f>VLOOKUP($A34,'S48'!$C:$BQ,22,0)</f>
        <v>#N/A</v>
      </c>
      <c r="AP34" s="115" t="e">
        <f>VLOOKUP($A34,'S48'!$C:$BQ,29,0)</f>
        <v>#N/A</v>
      </c>
      <c r="AQ34" s="115" t="e">
        <f>VLOOKUP($A34,'S48'!$C:$BQ,30,0)</f>
        <v>#N/A</v>
      </c>
      <c r="AR34" s="115" t="e">
        <f>VLOOKUP($A34,'S48'!$C:$BQ,52,0)</f>
        <v>#N/A</v>
      </c>
      <c r="AS34" s="115" t="e">
        <f>VLOOKUP($A34,'S48'!$C:$BQ,59,0)</f>
        <v>#N/A</v>
      </c>
      <c r="AT34" s="115" t="e">
        <f>VLOOKUP($A34,'S48'!$C:$BQ,60,0)</f>
        <v>#N/A</v>
      </c>
      <c r="AU34" s="107" t="e">
        <f>VLOOKUP($A34,'S49'!$C:$BQ,32,0)</f>
        <v>#N/A</v>
      </c>
      <c r="AV34" s="107" t="e">
        <f>VLOOKUP($A34,'S49'!$C:$BQ,39,0)</f>
        <v>#N/A</v>
      </c>
      <c r="AW34" s="107" t="e">
        <f>VLOOKUP($A34,'S49'!$C:$BQ,40,0)</f>
        <v>#N/A</v>
      </c>
      <c r="AX34" s="107" t="e">
        <f>VLOOKUP($A34,'S49'!$C:$BQ,22,0)</f>
        <v>#N/A</v>
      </c>
      <c r="AY34" s="115" t="e">
        <f>VLOOKUP($A34,'S49'!$C:$BQ,29,0)</f>
        <v>#N/A</v>
      </c>
      <c r="AZ34" s="115" t="e">
        <f>VLOOKUP($A34,'S49'!$C:$BQ,30,0)</f>
        <v>#N/A</v>
      </c>
      <c r="BA34" s="115" t="e">
        <f>VLOOKUP($A34,'S49'!$C:$BQ,52,0)</f>
        <v>#N/A</v>
      </c>
      <c r="BB34" s="115" t="e">
        <f>VLOOKUP($A34,'S49'!$C:$BQ,59,0)</f>
        <v>#N/A</v>
      </c>
      <c r="BC34" s="115" t="e">
        <f>VLOOKUP($A34,'S49'!$C:$BQ,60,0)</f>
        <v>#N/A</v>
      </c>
      <c r="BD34" s="107" t="e">
        <f>VLOOKUP($A34,'S50'!$C:$BQ,32,0)</f>
        <v>#N/A</v>
      </c>
      <c r="BE34" s="107" t="e">
        <f>VLOOKUP($A34,'S50'!$C:$BQ,39,0)</f>
        <v>#N/A</v>
      </c>
      <c r="BF34" s="107" t="e">
        <f>VLOOKUP($A34,'S50'!$C:$BQ,40,0)</f>
        <v>#N/A</v>
      </c>
      <c r="BG34" s="107" t="e">
        <f>VLOOKUP($A34,'S50'!$C:$BQ,22,0)</f>
        <v>#N/A</v>
      </c>
      <c r="BH34" s="115" t="e">
        <f>VLOOKUP($A34,'S50'!$C:$BQ,29,0)</f>
        <v>#N/A</v>
      </c>
      <c r="BI34" s="115" t="e">
        <f>VLOOKUP($A34,'S50'!$C:$BQ,30,0)</f>
        <v>#N/A</v>
      </c>
      <c r="BJ34" s="115" t="e">
        <f>VLOOKUP($A34,'S50'!$C:$BQ,52,0)</f>
        <v>#N/A</v>
      </c>
      <c r="BK34" s="115" t="e">
        <f>VLOOKUP($A34,'S50'!$C:$BQ,59,0)</f>
        <v>#N/A</v>
      </c>
      <c r="BL34" s="115" t="e">
        <f>VLOOKUP($A34,'S50'!$C:$BQ,60,0)</f>
        <v>#N/A</v>
      </c>
    </row>
    <row r="35" spans="1:64" x14ac:dyDescent="0.2">
      <c r="A35" s="106" t="s">
        <v>91</v>
      </c>
      <c r="B35" s="107">
        <f>VLOOKUP($A35,'S0 remplacer avec S44'!$C:$BQ,32,0)</f>
        <v>267.25</v>
      </c>
      <c r="C35" s="107">
        <f>VLOOKUP($A35,'S0 remplacer avec S44'!$C:$BQ,39,0)</f>
        <v>99</v>
      </c>
      <c r="D35" s="107">
        <f>VLOOKUP($A35,'S0 remplacer avec S44'!$C:$BQ,40,0)</f>
        <v>172</v>
      </c>
      <c r="E35" s="107">
        <f>VLOOKUP($A35,'S0 remplacer avec S44'!$C:$BQ,22,0)</f>
        <v>3349.5492949999998</v>
      </c>
      <c r="F35" s="115">
        <f>VLOOKUP($A35,'S0 remplacer avec S44'!$C:$BQ,29,0)</f>
        <v>0</v>
      </c>
      <c r="G35" s="115">
        <f>VLOOKUP($A35,'S0 remplacer avec S44'!$C:$BQ,30,0)</f>
        <v>642</v>
      </c>
      <c r="H35" s="115">
        <f>VLOOKUP($A35,'S0 remplacer avec S44'!$C:$BQ,52,0)</f>
        <v>163.19999999999999</v>
      </c>
      <c r="I35" s="115">
        <f>VLOOKUP($A35,'S0 remplacer avec S44'!$C:$BQ,59,0)</f>
        <v>23</v>
      </c>
      <c r="J35" s="115">
        <f>VLOOKUP($A35,'S0 remplacer avec S44'!$C:$BQ,60,0)</f>
        <v>60</v>
      </c>
      <c r="K35" s="107" t="e">
        <f>VLOOKUP($A35,'S45'!$C:$BQ,32,0)</f>
        <v>#N/A</v>
      </c>
      <c r="L35" s="107" t="e">
        <f>VLOOKUP($A35,'S45'!$C:$BQ,39,0)</f>
        <v>#N/A</v>
      </c>
      <c r="M35" s="107" t="e">
        <f>VLOOKUP($A35,'S45'!$C:$BQ,40,0)</f>
        <v>#N/A</v>
      </c>
      <c r="N35" s="107" t="e">
        <f>VLOOKUP($A35,'S45'!$C:$BQ,22,0)</f>
        <v>#N/A</v>
      </c>
      <c r="O35" s="115" t="e">
        <f>VLOOKUP($A35,'S45'!$C:$BQ,29,0)</f>
        <v>#N/A</v>
      </c>
      <c r="P35" s="115" t="e">
        <f>VLOOKUP($A35,'S45'!$C:$BQ,30,0)</f>
        <v>#N/A</v>
      </c>
      <c r="Q35" s="115" t="e">
        <f>VLOOKUP($A35,'S45'!$C:$BQ,52,0)</f>
        <v>#N/A</v>
      </c>
      <c r="R35" s="115" t="e">
        <f>VLOOKUP($A35,'S45'!$C:$BQ,59,0)</f>
        <v>#N/A</v>
      </c>
      <c r="S35" s="115" t="e">
        <f>VLOOKUP($A35,'S45'!$C:$BQ,60,0)</f>
        <v>#N/A</v>
      </c>
      <c r="T35" s="107" t="e">
        <f>VLOOKUP($A35,'S46'!$C:$BQ,32,0)</f>
        <v>#N/A</v>
      </c>
      <c r="U35" s="107" t="e">
        <f>VLOOKUP($A35,'S46'!$C:$BQ,39,0)</f>
        <v>#N/A</v>
      </c>
      <c r="V35" s="107" t="e">
        <f>VLOOKUP($A35,'S46'!$C:$BQ,40,0)</f>
        <v>#N/A</v>
      </c>
      <c r="W35" s="107" t="e">
        <f>VLOOKUP($A35,'S46'!$C:$BQ,22,0)</f>
        <v>#N/A</v>
      </c>
      <c r="X35" s="115" t="e">
        <f>VLOOKUP($A35,'S46'!$C:$BQ,29,0)</f>
        <v>#N/A</v>
      </c>
      <c r="Y35" s="115" t="e">
        <f>VLOOKUP($A35,'S46'!$C:$BQ,30,0)</f>
        <v>#N/A</v>
      </c>
      <c r="Z35" s="115" t="e">
        <f>VLOOKUP($A35,'S46'!$C:$BQ,52,0)</f>
        <v>#N/A</v>
      </c>
      <c r="AA35" s="115" t="e">
        <f>VLOOKUP($A35,'S46'!$C:$BQ,59,0)</f>
        <v>#N/A</v>
      </c>
      <c r="AB35" s="115" t="e">
        <f>VLOOKUP($A35,'S46'!$C:$BQ,60,0)</f>
        <v>#N/A</v>
      </c>
      <c r="AC35" s="107" t="e">
        <f>VLOOKUP($A35,'S47'!$C:$BQ,32,0)</f>
        <v>#N/A</v>
      </c>
      <c r="AD35" s="107" t="e">
        <f>VLOOKUP($A35,'S47'!$C:$BQ,39,0)</f>
        <v>#N/A</v>
      </c>
      <c r="AE35" s="107" t="e">
        <f>VLOOKUP($A35,'S47'!$C:$BQ,40,0)</f>
        <v>#N/A</v>
      </c>
      <c r="AF35" s="107" t="e">
        <f>VLOOKUP($A35,'S47'!$C:$BQ,22,0)</f>
        <v>#N/A</v>
      </c>
      <c r="AG35" s="115" t="e">
        <f>VLOOKUP($A35,'S47'!$C:$BQ,29,0)</f>
        <v>#N/A</v>
      </c>
      <c r="AH35" s="115" t="e">
        <f>VLOOKUP($A35,'S47'!$C:$BQ,30,0)</f>
        <v>#N/A</v>
      </c>
      <c r="AI35" s="115" t="e">
        <f>VLOOKUP($A35,'S47'!$C:$BQ,52,0)</f>
        <v>#N/A</v>
      </c>
      <c r="AJ35" s="115" t="e">
        <f>VLOOKUP($A35,'S47'!$C:$BQ,59,0)</f>
        <v>#N/A</v>
      </c>
      <c r="AK35" s="115" t="e">
        <f>VLOOKUP($A35,'S47'!$C:$BQ,60,0)</f>
        <v>#N/A</v>
      </c>
      <c r="AL35" s="107" t="e">
        <f>VLOOKUP($A35,'S48'!$C:$BQ,32,0)</f>
        <v>#N/A</v>
      </c>
      <c r="AM35" s="107" t="e">
        <f>VLOOKUP($A35,'S48'!$C:$BQ,39,0)</f>
        <v>#N/A</v>
      </c>
      <c r="AN35" s="107" t="e">
        <f>VLOOKUP($A35,'S48'!$C:$BQ,40,0)</f>
        <v>#N/A</v>
      </c>
      <c r="AO35" s="107" t="e">
        <f>VLOOKUP($A35,'S48'!$C:$BQ,22,0)</f>
        <v>#N/A</v>
      </c>
      <c r="AP35" s="115" t="e">
        <f>VLOOKUP($A35,'S48'!$C:$BQ,29,0)</f>
        <v>#N/A</v>
      </c>
      <c r="AQ35" s="115" t="e">
        <f>VLOOKUP($A35,'S48'!$C:$BQ,30,0)</f>
        <v>#N/A</v>
      </c>
      <c r="AR35" s="115" t="e">
        <f>VLOOKUP($A35,'S48'!$C:$BQ,52,0)</f>
        <v>#N/A</v>
      </c>
      <c r="AS35" s="115" t="e">
        <f>VLOOKUP($A35,'S48'!$C:$BQ,59,0)</f>
        <v>#N/A</v>
      </c>
      <c r="AT35" s="115" t="e">
        <f>VLOOKUP($A35,'S48'!$C:$BQ,60,0)</f>
        <v>#N/A</v>
      </c>
      <c r="AU35" s="107" t="e">
        <f>VLOOKUP($A35,'S49'!$C:$BQ,32,0)</f>
        <v>#N/A</v>
      </c>
      <c r="AV35" s="107" t="e">
        <f>VLOOKUP($A35,'S49'!$C:$BQ,39,0)</f>
        <v>#N/A</v>
      </c>
      <c r="AW35" s="107" t="e">
        <f>VLOOKUP($A35,'S49'!$C:$BQ,40,0)</f>
        <v>#N/A</v>
      </c>
      <c r="AX35" s="107" t="e">
        <f>VLOOKUP($A35,'S49'!$C:$BQ,22,0)</f>
        <v>#N/A</v>
      </c>
      <c r="AY35" s="115" t="e">
        <f>VLOOKUP($A35,'S49'!$C:$BQ,29,0)</f>
        <v>#N/A</v>
      </c>
      <c r="AZ35" s="115" t="e">
        <f>VLOOKUP($A35,'S49'!$C:$BQ,30,0)</f>
        <v>#N/A</v>
      </c>
      <c r="BA35" s="115" t="e">
        <f>VLOOKUP($A35,'S49'!$C:$BQ,52,0)</f>
        <v>#N/A</v>
      </c>
      <c r="BB35" s="115" t="e">
        <f>VLOOKUP($A35,'S49'!$C:$BQ,59,0)</f>
        <v>#N/A</v>
      </c>
      <c r="BC35" s="115" t="e">
        <f>VLOOKUP($A35,'S49'!$C:$BQ,60,0)</f>
        <v>#N/A</v>
      </c>
      <c r="BD35" s="107" t="e">
        <f>VLOOKUP($A35,'S50'!$C:$BQ,32,0)</f>
        <v>#N/A</v>
      </c>
      <c r="BE35" s="107" t="e">
        <f>VLOOKUP($A35,'S50'!$C:$BQ,39,0)</f>
        <v>#N/A</v>
      </c>
      <c r="BF35" s="107" t="e">
        <f>VLOOKUP($A35,'S50'!$C:$BQ,40,0)</f>
        <v>#N/A</v>
      </c>
      <c r="BG35" s="107" t="e">
        <f>VLOOKUP($A35,'S50'!$C:$BQ,22,0)</f>
        <v>#N/A</v>
      </c>
      <c r="BH35" s="115" t="e">
        <f>VLOOKUP($A35,'S50'!$C:$BQ,29,0)</f>
        <v>#N/A</v>
      </c>
      <c r="BI35" s="115" t="e">
        <f>VLOOKUP($A35,'S50'!$C:$BQ,30,0)</f>
        <v>#N/A</v>
      </c>
      <c r="BJ35" s="115" t="e">
        <f>VLOOKUP($A35,'S50'!$C:$BQ,52,0)</f>
        <v>#N/A</v>
      </c>
      <c r="BK35" s="115" t="e">
        <f>VLOOKUP($A35,'S50'!$C:$BQ,59,0)</f>
        <v>#N/A</v>
      </c>
      <c r="BL35" s="115" t="e">
        <f>VLOOKUP($A35,'S50'!$C:$BQ,60,0)</f>
        <v>#N/A</v>
      </c>
    </row>
    <row r="36" spans="1:64" x14ac:dyDescent="0.2">
      <c r="A36" s="106" t="s">
        <v>92</v>
      </c>
      <c r="B36" s="107">
        <f>VLOOKUP($A36,'S0 remplacer avec S44'!$C:$BQ,32,0)</f>
        <v>136.75</v>
      </c>
      <c r="C36" s="107">
        <f>VLOOKUP($A36,'S0 remplacer avec S44'!$C:$BQ,39,0)</f>
        <v>48</v>
      </c>
      <c r="D36" s="107">
        <f>VLOOKUP($A36,'S0 remplacer avec S44'!$C:$BQ,40,0)</f>
        <v>85</v>
      </c>
      <c r="E36" s="107">
        <f>VLOOKUP($A36,'S0 remplacer avec S44'!$C:$BQ,22,0)</f>
        <v>1218.7596349999999</v>
      </c>
      <c r="F36" s="115">
        <f>VLOOKUP($A36,'S0 remplacer avec S44'!$C:$BQ,29,0)</f>
        <v>455</v>
      </c>
      <c r="G36" s="115">
        <f>VLOOKUP($A36,'S0 remplacer avec S44'!$C:$BQ,30,0)</f>
        <v>790</v>
      </c>
      <c r="H36" s="115">
        <f>VLOOKUP($A36,'S0 remplacer avec S44'!$C:$BQ,52,0)</f>
        <v>96.2</v>
      </c>
      <c r="I36" s="115">
        <f>VLOOKUP($A36,'S0 remplacer avec S44'!$C:$BQ,59,0)</f>
        <v>0</v>
      </c>
      <c r="J36" s="115">
        <f>VLOOKUP($A36,'S0 remplacer avec S44'!$C:$BQ,60,0)</f>
        <v>16</v>
      </c>
      <c r="K36" s="107" t="e">
        <f>VLOOKUP($A36,'S45'!$C:$BQ,32,0)</f>
        <v>#N/A</v>
      </c>
      <c r="L36" s="107" t="e">
        <f>VLOOKUP($A36,'S45'!$C:$BQ,39,0)</f>
        <v>#N/A</v>
      </c>
      <c r="M36" s="107" t="e">
        <f>VLOOKUP($A36,'S45'!$C:$BQ,40,0)</f>
        <v>#N/A</v>
      </c>
      <c r="N36" s="107" t="e">
        <f>VLOOKUP($A36,'S45'!$C:$BQ,22,0)</f>
        <v>#N/A</v>
      </c>
      <c r="O36" s="115" t="e">
        <f>VLOOKUP($A36,'S45'!$C:$BQ,29,0)</f>
        <v>#N/A</v>
      </c>
      <c r="P36" s="115" t="e">
        <f>VLOOKUP($A36,'S45'!$C:$BQ,30,0)</f>
        <v>#N/A</v>
      </c>
      <c r="Q36" s="115" t="e">
        <f>VLOOKUP($A36,'S45'!$C:$BQ,52,0)</f>
        <v>#N/A</v>
      </c>
      <c r="R36" s="115" t="e">
        <f>VLOOKUP($A36,'S45'!$C:$BQ,59,0)</f>
        <v>#N/A</v>
      </c>
      <c r="S36" s="115" t="e">
        <f>VLOOKUP($A36,'S45'!$C:$BQ,60,0)</f>
        <v>#N/A</v>
      </c>
      <c r="T36" s="107" t="e">
        <f>VLOOKUP($A36,'S46'!$C:$BQ,32,0)</f>
        <v>#N/A</v>
      </c>
      <c r="U36" s="107" t="e">
        <f>VLOOKUP($A36,'S46'!$C:$BQ,39,0)</f>
        <v>#N/A</v>
      </c>
      <c r="V36" s="107" t="e">
        <f>VLOOKUP($A36,'S46'!$C:$BQ,40,0)</f>
        <v>#N/A</v>
      </c>
      <c r="W36" s="107" t="e">
        <f>VLOOKUP($A36,'S46'!$C:$BQ,22,0)</f>
        <v>#N/A</v>
      </c>
      <c r="X36" s="115" t="e">
        <f>VLOOKUP($A36,'S46'!$C:$BQ,29,0)</f>
        <v>#N/A</v>
      </c>
      <c r="Y36" s="115" t="e">
        <f>VLOOKUP($A36,'S46'!$C:$BQ,30,0)</f>
        <v>#N/A</v>
      </c>
      <c r="Z36" s="115" t="e">
        <f>VLOOKUP($A36,'S46'!$C:$BQ,52,0)</f>
        <v>#N/A</v>
      </c>
      <c r="AA36" s="115" t="e">
        <f>VLOOKUP($A36,'S46'!$C:$BQ,59,0)</f>
        <v>#N/A</v>
      </c>
      <c r="AB36" s="115" t="e">
        <f>VLOOKUP($A36,'S46'!$C:$BQ,60,0)</f>
        <v>#N/A</v>
      </c>
      <c r="AC36" s="107" t="e">
        <f>VLOOKUP($A36,'S47'!$C:$BQ,32,0)</f>
        <v>#N/A</v>
      </c>
      <c r="AD36" s="107" t="e">
        <f>VLOOKUP($A36,'S47'!$C:$BQ,39,0)</f>
        <v>#N/A</v>
      </c>
      <c r="AE36" s="107" t="e">
        <f>VLOOKUP($A36,'S47'!$C:$BQ,40,0)</f>
        <v>#N/A</v>
      </c>
      <c r="AF36" s="107" t="e">
        <f>VLOOKUP($A36,'S47'!$C:$BQ,22,0)</f>
        <v>#N/A</v>
      </c>
      <c r="AG36" s="115" t="e">
        <f>VLOOKUP($A36,'S47'!$C:$BQ,29,0)</f>
        <v>#N/A</v>
      </c>
      <c r="AH36" s="115" t="e">
        <f>VLOOKUP($A36,'S47'!$C:$BQ,30,0)</f>
        <v>#N/A</v>
      </c>
      <c r="AI36" s="115" t="e">
        <f>VLOOKUP($A36,'S47'!$C:$BQ,52,0)</f>
        <v>#N/A</v>
      </c>
      <c r="AJ36" s="115" t="e">
        <f>VLOOKUP($A36,'S47'!$C:$BQ,59,0)</f>
        <v>#N/A</v>
      </c>
      <c r="AK36" s="115" t="e">
        <f>VLOOKUP($A36,'S47'!$C:$BQ,60,0)</f>
        <v>#N/A</v>
      </c>
      <c r="AL36" s="107" t="e">
        <f>VLOOKUP($A36,'S48'!$C:$BQ,32,0)</f>
        <v>#N/A</v>
      </c>
      <c r="AM36" s="107" t="e">
        <f>VLOOKUP($A36,'S48'!$C:$BQ,39,0)</f>
        <v>#N/A</v>
      </c>
      <c r="AN36" s="107" t="e">
        <f>VLOOKUP($A36,'S48'!$C:$BQ,40,0)</f>
        <v>#N/A</v>
      </c>
      <c r="AO36" s="107" t="e">
        <f>VLOOKUP($A36,'S48'!$C:$BQ,22,0)</f>
        <v>#N/A</v>
      </c>
      <c r="AP36" s="115" t="e">
        <f>VLOOKUP($A36,'S48'!$C:$BQ,29,0)</f>
        <v>#N/A</v>
      </c>
      <c r="AQ36" s="115" t="e">
        <f>VLOOKUP($A36,'S48'!$C:$BQ,30,0)</f>
        <v>#N/A</v>
      </c>
      <c r="AR36" s="115" t="e">
        <f>VLOOKUP($A36,'S48'!$C:$BQ,52,0)</f>
        <v>#N/A</v>
      </c>
      <c r="AS36" s="115" t="e">
        <f>VLOOKUP($A36,'S48'!$C:$BQ,59,0)</f>
        <v>#N/A</v>
      </c>
      <c r="AT36" s="115" t="e">
        <f>VLOOKUP($A36,'S48'!$C:$BQ,60,0)</f>
        <v>#N/A</v>
      </c>
      <c r="AU36" s="107" t="e">
        <f>VLOOKUP($A36,'S49'!$C:$BQ,32,0)</f>
        <v>#N/A</v>
      </c>
      <c r="AV36" s="107" t="e">
        <f>VLOOKUP($A36,'S49'!$C:$BQ,39,0)</f>
        <v>#N/A</v>
      </c>
      <c r="AW36" s="107" t="e">
        <f>VLOOKUP($A36,'S49'!$C:$BQ,40,0)</f>
        <v>#N/A</v>
      </c>
      <c r="AX36" s="107" t="e">
        <f>VLOOKUP($A36,'S49'!$C:$BQ,22,0)</f>
        <v>#N/A</v>
      </c>
      <c r="AY36" s="115" t="e">
        <f>VLOOKUP($A36,'S49'!$C:$BQ,29,0)</f>
        <v>#N/A</v>
      </c>
      <c r="AZ36" s="115" t="e">
        <f>VLOOKUP($A36,'S49'!$C:$BQ,30,0)</f>
        <v>#N/A</v>
      </c>
      <c r="BA36" s="115" t="e">
        <f>VLOOKUP($A36,'S49'!$C:$BQ,52,0)</f>
        <v>#N/A</v>
      </c>
      <c r="BB36" s="115" t="e">
        <f>VLOOKUP($A36,'S49'!$C:$BQ,59,0)</f>
        <v>#N/A</v>
      </c>
      <c r="BC36" s="115" t="e">
        <f>VLOOKUP($A36,'S49'!$C:$BQ,60,0)</f>
        <v>#N/A</v>
      </c>
      <c r="BD36" s="107" t="e">
        <f>VLOOKUP($A36,'S50'!$C:$BQ,32,0)</f>
        <v>#N/A</v>
      </c>
      <c r="BE36" s="107" t="e">
        <f>VLOOKUP($A36,'S50'!$C:$BQ,39,0)</f>
        <v>#N/A</v>
      </c>
      <c r="BF36" s="107" t="e">
        <f>VLOOKUP($A36,'S50'!$C:$BQ,40,0)</f>
        <v>#N/A</v>
      </c>
      <c r="BG36" s="107" t="e">
        <f>VLOOKUP($A36,'S50'!$C:$BQ,22,0)</f>
        <v>#N/A</v>
      </c>
      <c r="BH36" s="115" t="e">
        <f>VLOOKUP($A36,'S50'!$C:$BQ,29,0)</f>
        <v>#N/A</v>
      </c>
      <c r="BI36" s="115" t="e">
        <f>VLOOKUP($A36,'S50'!$C:$BQ,30,0)</f>
        <v>#N/A</v>
      </c>
      <c r="BJ36" s="115" t="e">
        <f>VLOOKUP($A36,'S50'!$C:$BQ,52,0)</f>
        <v>#N/A</v>
      </c>
      <c r="BK36" s="115" t="e">
        <f>VLOOKUP($A36,'S50'!$C:$BQ,59,0)</f>
        <v>#N/A</v>
      </c>
      <c r="BL36" s="115" t="e">
        <f>VLOOKUP($A36,'S50'!$C:$BQ,60,0)</f>
        <v>#N/A</v>
      </c>
    </row>
    <row r="37" spans="1:64" x14ac:dyDescent="0.2">
      <c r="A37" s="106" t="s">
        <v>93</v>
      </c>
      <c r="B37" s="107">
        <f>VLOOKUP($A37,'S0 remplacer avec S44'!$C:$BQ,32,0)</f>
        <v>176.3</v>
      </c>
      <c r="C37" s="107">
        <f>VLOOKUP($A37,'S0 remplacer avec S44'!$C:$BQ,39,0)</f>
        <v>85</v>
      </c>
      <c r="D37" s="107">
        <f>VLOOKUP($A37,'S0 remplacer avec S44'!$C:$BQ,40,0)</f>
        <v>137</v>
      </c>
      <c r="E37" s="107">
        <f>VLOOKUP($A37,'S0 remplacer avec S44'!$C:$BQ,22,0)</f>
        <v>2754.0213650000001</v>
      </c>
      <c r="F37" s="115">
        <f>VLOOKUP($A37,'S0 remplacer avec S44'!$C:$BQ,29,0)</f>
        <v>0</v>
      </c>
      <c r="G37" s="115">
        <f>VLOOKUP($A37,'S0 remplacer avec S44'!$C:$BQ,30,0)</f>
        <v>91</v>
      </c>
      <c r="H37" s="115">
        <f>VLOOKUP($A37,'S0 remplacer avec S44'!$C:$BQ,52,0)</f>
        <v>129</v>
      </c>
      <c r="I37" s="115">
        <f>VLOOKUP($A37,'S0 remplacer avec S44'!$C:$BQ,59,0)</f>
        <v>4</v>
      </c>
      <c r="J37" s="115">
        <f>VLOOKUP($A37,'S0 remplacer avec S44'!$C:$BQ,60,0)</f>
        <v>30</v>
      </c>
      <c r="K37" s="107" t="e">
        <f>VLOOKUP($A37,'S45'!$C:$BQ,32,0)</f>
        <v>#N/A</v>
      </c>
      <c r="L37" s="107" t="e">
        <f>VLOOKUP($A37,'S45'!$C:$BQ,39,0)</f>
        <v>#N/A</v>
      </c>
      <c r="M37" s="107" t="e">
        <f>VLOOKUP($A37,'S45'!$C:$BQ,40,0)</f>
        <v>#N/A</v>
      </c>
      <c r="N37" s="107" t="e">
        <f>VLOOKUP($A37,'S45'!$C:$BQ,22,0)</f>
        <v>#N/A</v>
      </c>
      <c r="O37" s="115" t="e">
        <f>VLOOKUP($A37,'S45'!$C:$BQ,29,0)</f>
        <v>#N/A</v>
      </c>
      <c r="P37" s="115" t="e">
        <f>VLOOKUP($A37,'S45'!$C:$BQ,30,0)</f>
        <v>#N/A</v>
      </c>
      <c r="Q37" s="115" t="e">
        <f>VLOOKUP($A37,'S45'!$C:$BQ,52,0)</f>
        <v>#N/A</v>
      </c>
      <c r="R37" s="115" t="e">
        <f>VLOOKUP($A37,'S45'!$C:$BQ,59,0)</f>
        <v>#N/A</v>
      </c>
      <c r="S37" s="115" t="e">
        <f>VLOOKUP($A37,'S45'!$C:$BQ,60,0)</f>
        <v>#N/A</v>
      </c>
      <c r="T37" s="107" t="e">
        <f>VLOOKUP($A37,'S46'!$C:$BQ,32,0)</f>
        <v>#N/A</v>
      </c>
      <c r="U37" s="107" t="e">
        <f>VLOOKUP($A37,'S46'!$C:$BQ,39,0)</f>
        <v>#N/A</v>
      </c>
      <c r="V37" s="107" t="e">
        <f>VLOOKUP($A37,'S46'!$C:$BQ,40,0)</f>
        <v>#N/A</v>
      </c>
      <c r="W37" s="107" t="e">
        <f>VLOOKUP($A37,'S46'!$C:$BQ,22,0)</f>
        <v>#N/A</v>
      </c>
      <c r="X37" s="115" t="e">
        <f>VLOOKUP($A37,'S46'!$C:$BQ,29,0)</f>
        <v>#N/A</v>
      </c>
      <c r="Y37" s="115" t="e">
        <f>VLOOKUP($A37,'S46'!$C:$BQ,30,0)</f>
        <v>#N/A</v>
      </c>
      <c r="Z37" s="115" t="e">
        <f>VLOOKUP($A37,'S46'!$C:$BQ,52,0)</f>
        <v>#N/A</v>
      </c>
      <c r="AA37" s="115" t="e">
        <f>VLOOKUP($A37,'S46'!$C:$BQ,59,0)</f>
        <v>#N/A</v>
      </c>
      <c r="AB37" s="115" t="e">
        <f>VLOOKUP($A37,'S46'!$C:$BQ,60,0)</f>
        <v>#N/A</v>
      </c>
      <c r="AC37" s="107" t="e">
        <f>VLOOKUP($A37,'S47'!$C:$BQ,32,0)</f>
        <v>#N/A</v>
      </c>
      <c r="AD37" s="107" t="e">
        <f>VLOOKUP($A37,'S47'!$C:$BQ,39,0)</f>
        <v>#N/A</v>
      </c>
      <c r="AE37" s="107" t="e">
        <f>VLOOKUP($A37,'S47'!$C:$BQ,40,0)</f>
        <v>#N/A</v>
      </c>
      <c r="AF37" s="107" t="e">
        <f>VLOOKUP($A37,'S47'!$C:$BQ,22,0)</f>
        <v>#N/A</v>
      </c>
      <c r="AG37" s="115" t="e">
        <f>VLOOKUP($A37,'S47'!$C:$BQ,29,0)</f>
        <v>#N/A</v>
      </c>
      <c r="AH37" s="115" t="e">
        <f>VLOOKUP($A37,'S47'!$C:$BQ,30,0)</f>
        <v>#N/A</v>
      </c>
      <c r="AI37" s="115" t="e">
        <f>VLOOKUP($A37,'S47'!$C:$BQ,52,0)</f>
        <v>#N/A</v>
      </c>
      <c r="AJ37" s="115" t="e">
        <f>VLOOKUP($A37,'S47'!$C:$BQ,59,0)</f>
        <v>#N/A</v>
      </c>
      <c r="AK37" s="115" t="e">
        <f>VLOOKUP($A37,'S47'!$C:$BQ,60,0)</f>
        <v>#N/A</v>
      </c>
      <c r="AL37" s="107" t="e">
        <f>VLOOKUP($A37,'S48'!$C:$BQ,32,0)</f>
        <v>#N/A</v>
      </c>
      <c r="AM37" s="107" t="e">
        <f>VLOOKUP($A37,'S48'!$C:$BQ,39,0)</f>
        <v>#N/A</v>
      </c>
      <c r="AN37" s="107" t="e">
        <f>VLOOKUP($A37,'S48'!$C:$BQ,40,0)</f>
        <v>#N/A</v>
      </c>
      <c r="AO37" s="107" t="e">
        <f>VLOOKUP($A37,'S48'!$C:$BQ,22,0)</f>
        <v>#N/A</v>
      </c>
      <c r="AP37" s="115" t="e">
        <f>VLOOKUP($A37,'S48'!$C:$BQ,29,0)</f>
        <v>#N/A</v>
      </c>
      <c r="AQ37" s="115" t="e">
        <f>VLOOKUP($A37,'S48'!$C:$BQ,30,0)</f>
        <v>#N/A</v>
      </c>
      <c r="AR37" s="115" t="e">
        <f>VLOOKUP($A37,'S48'!$C:$BQ,52,0)</f>
        <v>#N/A</v>
      </c>
      <c r="AS37" s="115" t="e">
        <f>VLOOKUP($A37,'S48'!$C:$BQ,59,0)</f>
        <v>#N/A</v>
      </c>
      <c r="AT37" s="115" t="e">
        <f>VLOOKUP($A37,'S48'!$C:$BQ,60,0)</f>
        <v>#N/A</v>
      </c>
      <c r="AU37" s="107" t="e">
        <f>VLOOKUP($A37,'S49'!$C:$BQ,32,0)</f>
        <v>#N/A</v>
      </c>
      <c r="AV37" s="107" t="e">
        <f>VLOOKUP($A37,'S49'!$C:$BQ,39,0)</f>
        <v>#N/A</v>
      </c>
      <c r="AW37" s="107" t="e">
        <f>VLOOKUP($A37,'S49'!$C:$BQ,40,0)</f>
        <v>#N/A</v>
      </c>
      <c r="AX37" s="107" t="e">
        <f>VLOOKUP($A37,'S49'!$C:$BQ,22,0)</f>
        <v>#N/A</v>
      </c>
      <c r="AY37" s="115" t="e">
        <f>VLOOKUP($A37,'S49'!$C:$BQ,29,0)</f>
        <v>#N/A</v>
      </c>
      <c r="AZ37" s="115" t="e">
        <f>VLOOKUP($A37,'S49'!$C:$BQ,30,0)</f>
        <v>#N/A</v>
      </c>
      <c r="BA37" s="115" t="e">
        <f>VLOOKUP($A37,'S49'!$C:$BQ,52,0)</f>
        <v>#N/A</v>
      </c>
      <c r="BB37" s="115" t="e">
        <f>VLOOKUP($A37,'S49'!$C:$BQ,59,0)</f>
        <v>#N/A</v>
      </c>
      <c r="BC37" s="115" t="e">
        <f>VLOOKUP($A37,'S49'!$C:$BQ,60,0)</f>
        <v>#N/A</v>
      </c>
      <c r="BD37" s="107" t="e">
        <f>VLOOKUP($A37,'S50'!$C:$BQ,32,0)</f>
        <v>#N/A</v>
      </c>
      <c r="BE37" s="107" t="e">
        <f>VLOOKUP($A37,'S50'!$C:$BQ,39,0)</f>
        <v>#N/A</v>
      </c>
      <c r="BF37" s="107" t="e">
        <f>VLOOKUP($A37,'S50'!$C:$BQ,40,0)</f>
        <v>#N/A</v>
      </c>
      <c r="BG37" s="107" t="e">
        <f>VLOOKUP($A37,'S50'!$C:$BQ,22,0)</f>
        <v>#N/A</v>
      </c>
      <c r="BH37" s="115" t="e">
        <f>VLOOKUP($A37,'S50'!$C:$BQ,29,0)</f>
        <v>#N/A</v>
      </c>
      <c r="BI37" s="115" t="e">
        <f>VLOOKUP($A37,'S50'!$C:$BQ,30,0)</f>
        <v>#N/A</v>
      </c>
      <c r="BJ37" s="115" t="e">
        <f>VLOOKUP($A37,'S50'!$C:$BQ,52,0)</f>
        <v>#N/A</v>
      </c>
      <c r="BK37" s="115" t="e">
        <f>VLOOKUP($A37,'S50'!$C:$BQ,59,0)</f>
        <v>#N/A</v>
      </c>
      <c r="BL37" s="115" t="e">
        <f>VLOOKUP($A37,'S50'!$C:$BQ,60,0)</f>
        <v>#N/A</v>
      </c>
    </row>
    <row r="38" spans="1:64" x14ac:dyDescent="0.2">
      <c r="A38" s="106" t="s">
        <v>94</v>
      </c>
      <c r="B38" s="107">
        <f>VLOOKUP($A38,'S0 remplacer avec S44'!$C:$BQ,32,0)</f>
        <v>321.55</v>
      </c>
      <c r="C38" s="107">
        <f>VLOOKUP($A38,'S0 remplacer avec S44'!$C:$BQ,39,0)</f>
        <v>163</v>
      </c>
      <c r="D38" s="107">
        <f>VLOOKUP($A38,'S0 remplacer avec S44'!$C:$BQ,40,0)</f>
        <v>259</v>
      </c>
      <c r="E38" s="107">
        <f>VLOOKUP($A38,'S0 remplacer avec S44'!$C:$BQ,22,0)</f>
        <v>5036.8174150000004</v>
      </c>
      <c r="F38" s="115">
        <f>VLOOKUP($A38,'S0 remplacer avec S44'!$C:$BQ,29,0)</f>
        <v>0</v>
      </c>
      <c r="G38" s="115">
        <f>VLOOKUP($A38,'S0 remplacer avec S44'!$C:$BQ,30,0)</f>
        <v>243</v>
      </c>
      <c r="H38" s="115">
        <f>VLOOKUP($A38,'S0 remplacer avec S44'!$C:$BQ,52,0)</f>
        <v>244</v>
      </c>
      <c r="I38" s="115">
        <f>VLOOKUP($A38,'S0 remplacer avec S44'!$C:$BQ,59,0)</f>
        <v>2</v>
      </c>
      <c r="J38" s="115">
        <f>VLOOKUP($A38,'S0 remplacer avec S44'!$C:$BQ,60,0)</f>
        <v>51</v>
      </c>
      <c r="K38" s="107" t="e">
        <f>VLOOKUP($A38,'S45'!$C:$BQ,32,0)</f>
        <v>#N/A</v>
      </c>
      <c r="L38" s="107" t="e">
        <f>VLOOKUP($A38,'S45'!$C:$BQ,39,0)</f>
        <v>#N/A</v>
      </c>
      <c r="M38" s="107" t="e">
        <f>VLOOKUP($A38,'S45'!$C:$BQ,40,0)</f>
        <v>#N/A</v>
      </c>
      <c r="N38" s="107" t="e">
        <f>VLOOKUP($A38,'S45'!$C:$BQ,22,0)</f>
        <v>#N/A</v>
      </c>
      <c r="O38" s="115" t="e">
        <f>VLOOKUP($A38,'S45'!$C:$BQ,29,0)</f>
        <v>#N/A</v>
      </c>
      <c r="P38" s="115" t="e">
        <f>VLOOKUP($A38,'S45'!$C:$BQ,30,0)</f>
        <v>#N/A</v>
      </c>
      <c r="Q38" s="115" t="e">
        <f>VLOOKUP($A38,'S45'!$C:$BQ,52,0)</f>
        <v>#N/A</v>
      </c>
      <c r="R38" s="115" t="e">
        <f>VLOOKUP($A38,'S45'!$C:$BQ,59,0)</f>
        <v>#N/A</v>
      </c>
      <c r="S38" s="115" t="e">
        <f>VLOOKUP($A38,'S45'!$C:$BQ,60,0)</f>
        <v>#N/A</v>
      </c>
      <c r="T38" s="107" t="e">
        <f>VLOOKUP($A38,'S46'!$C:$BQ,32,0)</f>
        <v>#N/A</v>
      </c>
      <c r="U38" s="107" t="e">
        <f>VLOOKUP($A38,'S46'!$C:$BQ,39,0)</f>
        <v>#N/A</v>
      </c>
      <c r="V38" s="107" t="e">
        <f>VLOOKUP($A38,'S46'!$C:$BQ,40,0)</f>
        <v>#N/A</v>
      </c>
      <c r="W38" s="107" t="e">
        <f>VLOOKUP($A38,'S46'!$C:$BQ,22,0)</f>
        <v>#N/A</v>
      </c>
      <c r="X38" s="115" t="e">
        <f>VLOOKUP($A38,'S46'!$C:$BQ,29,0)</f>
        <v>#N/A</v>
      </c>
      <c r="Y38" s="115" t="e">
        <f>VLOOKUP($A38,'S46'!$C:$BQ,30,0)</f>
        <v>#N/A</v>
      </c>
      <c r="Z38" s="115" t="e">
        <f>VLOOKUP($A38,'S46'!$C:$BQ,52,0)</f>
        <v>#N/A</v>
      </c>
      <c r="AA38" s="115" t="e">
        <f>VLOOKUP($A38,'S46'!$C:$BQ,59,0)</f>
        <v>#N/A</v>
      </c>
      <c r="AB38" s="115" t="e">
        <f>VLOOKUP($A38,'S46'!$C:$BQ,60,0)</f>
        <v>#N/A</v>
      </c>
      <c r="AC38" s="107" t="e">
        <f>VLOOKUP($A38,'S47'!$C:$BQ,32,0)</f>
        <v>#N/A</v>
      </c>
      <c r="AD38" s="107" t="e">
        <f>VLOOKUP($A38,'S47'!$C:$BQ,39,0)</f>
        <v>#N/A</v>
      </c>
      <c r="AE38" s="107" t="e">
        <f>VLOOKUP($A38,'S47'!$C:$BQ,40,0)</f>
        <v>#N/A</v>
      </c>
      <c r="AF38" s="107" t="e">
        <f>VLOOKUP($A38,'S47'!$C:$BQ,22,0)</f>
        <v>#N/A</v>
      </c>
      <c r="AG38" s="115" t="e">
        <f>VLOOKUP($A38,'S47'!$C:$BQ,29,0)</f>
        <v>#N/A</v>
      </c>
      <c r="AH38" s="115" t="e">
        <f>VLOOKUP($A38,'S47'!$C:$BQ,30,0)</f>
        <v>#N/A</v>
      </c>
      <c r="AI38" s="115" t="e">
        <f>VLOOKUP($A38,'S47'!$C:$BQ,52,0)</f>
        <v>#N/A</v>
      </c>
      <c r="AJ38" s="115" t="e">
        <f>VLOOKUP($A38,'S47'!$C:$BQ,59,0)</f>
        <v>#N/A</v>
      </c>
      <c r="AK38" s="115" t="e">
        <f>VLOOKUP($A38,'S47'!$C:$BQ,60,0)</f>
        <v>#N/A</v>
      </c>
      <c r="AL38" s="107" t="e">
        <f>VLOOKUP($A38,'S48'!$C:$BQ,32,0)</f>
        <v>#N/A</v>
      </c>
      <c r="AM38" s="107" t="e">
        <f>VLOOKUP($A38,'S48'!$C:$BQ,39,0)</f>
        <v>#N/A</v>
      </c>
      <c r="AN38" s="107" t="e">
        <f>VLOOKUP($A38,'S48'!$C:$BQ,40,0)</f>
        <v>#N/A</v>
      </c>
      <c r="AO38" s="107" t="e">
        <f>VLOOKUP($A38,'S48'!$C:$BQ,22,0)</f>
        <v>#N/A</v>
      </c>
      <c r="AP38" s="115" t="e">
        <f>VLOOKUP($A38,'S48'!$C:$BQ,29,0)</f>
        <v>#N/A</v>
      </c>
      <c r="AQ38" s="115" t="e">
        <f>VLOOKUP($A38,'S48'!$C:$BQ,30,0)</f>
        <v>#N/A</v>
      </c>
      <c r="AR38" s="115" t="e">
        <f>VLOOKUP($A38,'S48'!$C:$BQ,52,0)</f>
        <v>#N/A</v>
      </c>
      <c r="AS38" s="115" t="e">
        <f>VLOOKUP($A38,'S48'!$C:$BQ,59,0)</f>
        <v>#N/A</v>
      </c>
      <c r="AT38" s="115" t="e">
        <f>VLOOKUP($A38,'S48'!$C:$BQ,60,0)</f>
        <v>#N/A</v>
      </c>
      <c r="AU38" s="107" t="e">
        <f>VLOOKUP($A38,'S49'!$C:$BQ,32,0)</f>
        <v>#N/A</v>
      </c>
      <c r="AV38" s="107" t="e">
        <f>VLOOKUP($A38,'S49'!$C:$BQ,39,0)</f>
        <v>#N/A</v>
      </c>
      <c r="AW38" s="107" t="e">
        <f>VLOOKUP($A38,'S49'!$C:$BQ,40,0)</f>
        <v>#N/A</v>
      </c>
      <c r="AX38" s="107" t="e">
        <f>VLOOKUP($A38,'S49'!$C:$BQ,22,0)</f>
        <v>#N/A</v>
      </c>
      <c r="AY38" s="115" t="e">
        <f>VLOOKUP($A38,'S49'!$C:$BQ,29,0)</f>
        <v>#N/A</v>
      </c>
      <c r="AZ38" s="115" t="e">
        <f>VLOOKUP($A38,'S49'!$C:$BQ,30,0)</f>
        <v>#N/A</v>
      </c>
      <c r="BA38" s="115" t="e">
        <f>VLOOKUP($A38,'S49'!$C:$BQ,52,0)</f>
        <v>#N/A</v>
      </c>
      <c r="BB38" s="115" t="e">
        <f>VLOOKUP($A38,'S49'!$C:$BQ,59,0)</f>
        <v>#N/A</v>
      </c>
      <c r="BC38" s="115" t="e">
        <f>VLOOKUP($A38,'S49'!$C:$BQ,60,0)</f>
        <v>#N/A</v>
      </c>
      <c r="BD38" s="107" t="e">
        <f>VLOOKUP($A38,'S50'!$C:$BQ,32,0)</f>
        <v>#N/A</v>
      </c>
      <c r="BE38" s="107" t="e">
        <f>VLOOKUP($A38,'S50'!$C:$BQ,39,0)</f>
        <v>#N/A</v>
      </c>
      <c r="BF38" s="107" t="e">
        <f>VLOOKUP($A38,'S50'!$C:$BQ,40,0)</f>
        <v>#N/A</v>
      </c>
      <c r="BG38" s="107" t="e">
        <f>VLOOKUP($A38,'S50'!$C:$BQ,22,0)</f>
        <v>#N/A</v>
      </c>
      <c r="BH38" s="115" t="e">
        <f>VLOOKUP($A38,'S50'!$C:$BQ,29,0)</f>
        <v>#N/A</v>
      </c>
      <c r="BI38" s="115" t="e">
        <f>VLOOKUP($A38,'S50'!$C:$BQ,30,0)</f>
        <v>#N/A</v>
      </c>
      <c r="BJ38" s="115" t="e">
        <f>VLOOKUP($A38,'S50'!$C:$BQ,52,0)</f>
        <v>#N/A</v>
      </c>
      <c r="BK38" s="115" t="e">
        <f>VLOOKUP($A38,'S50'!$C:$BQ,59,0)</f>
        <v>#N/A</v>
      </c>
      <c r="BL38" s="115" t="e">
        <f>VLOOKUP($A38,'S50'!$C:$BQ,60,0)</f>
        <v>#N/A</v>
      </c>
    </row>
    <row r="39" spans="1:64" x14ac:dyDescent="0.2">
      <c r="A39" s="106" t="s">
        <v>95</v>
      </c>
      <c r="B39" s="107">
        <f>VLOOKUP($A39,'S0 remplacer avec S44'!$C:$BQ,32,0)</f>
        <v>97.35</v>
      </c>
      <c r="C39" s="107">
        <f>VLOOKUP($A39,'S0 remplacer avec S44'!$C:$BQ,39,0)</f>
        <v>56</v>
      </c>
      <c r="D39" s="107">
        <f>VLOOKUP($A39,'S0 remplacer avec S44'!$C:$BQ,40,0)</f>
        <v>86</v>
      </c>
      <c r="E39" s="107">
        <f>VLOOKUP($A39,'S0 remplacer avec S44'!$C:$BQ,22,0)</f>
        <v>1126.5673999999999</v>
      </c>
      <c r="F39" s="115">
        <f>VLOOKUP($A39,'S0 remplacer avec S44'!$C:$BQ,29,0)</f>
        <v>261</v>
      </c>
      <c r="G39" s="115">
        <f>VLOOKUP($A39,'S0 remplacer avec S44'!$C:$BQ,30,0)</f>
        <v>538</v>
      </c>
      <c r="H39" s="115">
        <f>VLOOKUP($A39,'S0 remplacer avec S44'!$C:$BQ,52,0)</f>
        <v>62.6</v>
      </c>
      <c r="I39" s="115">
        <f>VLOOKUP($A39,'S0 remplacer avec S44'!$C:$BQ,59,0)</f>
        <v>15</v>
      </c>
      <c r="J39" s="115">
        <f>VLOOKUP($A39,'S0 remplacer avec S44'!$C:$BQ,60,0)</f>
        <v>31</v>
      </c>
      <c r="K39" s="107" t="e">
        <f>VLOOKUP($A39,'S45'!$C:$BQ,32,0)</f>
        <v>#N/A</v>
      </c>
      <c r="L39" s="107" t="e">
        <f>VLOOKUP($A39,'S45'!$C:$BQ,39,0)</f>
        <v>#N/A</v>
      </c>
      <c r="M39" s="107" t="e">
        <f>VLOOKUP($A39,'S45'!$C:$BQ,40,0)</f>
        <v>#N/A</v>
      </c>
      <c r="N39" s="107" t="e">
        <f>VLOOKUP($A39,'S45'!$C:$BQ,22,0)</f>
        <v>#N/A</v>
      </c>
      <c r="O39" s="115" t="e">
        <f>VLOOKUP($A39,'S45'!$C:$BQ,29,0)</f>
        <v>#N/A</v>
      </c>
      <c r="P39" s="115" t="e">
        <f>VLOOKUP($A39,'S45'!$C:$BQ,30,0)</f>
        <v>#N/A</v>
      </c>
      <c r="Q39" s="115" t="e">
        <f>VLOOKUP($A39,'S45'!$C:$BQ,52,0)</f>
        <v>#N/A</v>
      </c>
      <c r="R39" s="115" t="e">
        <f>VLOOKUP($A39,'S45'!$C:$BQ,59,0)</f>
        <v>#N/A</v>
      </c>
      <c r="S39" s="115" t="e">
        <f>VLOOKUP($A39,'S45'!$C:$BQ,60,0)</f>
        <v>#N/A</v>
      </c>
      <c r="T39" s="107" t="e">
        <f>VLOOKUP($A39,'S46'!$C:$BQ,32,0)</f>
        <v>#N/A</v>
      </c>
      <c r="U39" s="107" t="e">
        <f>VLOOKUP($A39,'S46'!$C:$BQ,39,0)</f>
        <v>#N/A</v>
      </c>
      <c r="V39" s="107" t="e">
        <f>VLOOKUP($A39,'S46'!$C:$BQ,40,0)</f>
        <v>#N/A</v>
      </c>
      <c r="W39" s="107" t="e">
        <f>VLOOKUP($A39,'S46'!$C:$BQ,22,0)</f>
        <v>#N/A</v>
      </c>
      <c r="X39" s="115" t="e">
        <f>VLOOKUP($A39,'S46'!$C:$BQ,29,0)</f>
        <v>#N/A</v>
      </c>
      <c r="Y39" s="115" t="e">
        <f>VLOOKUP($A39,'S46'!$C:$BQ,30,0)</f>
        <v>#N/A</v>
      </c>
      <c r="Z39" s="115" t="e">
        <f>VLOOKUP($A39,'S46'!$C:$BQ,52,0)</f>
        <v>#N/A</v>
      </c>
      <c r="AA39" s="115" t="e">
        <f>VLOOKUP($A39,'S46'!$C:$BQ,59,0)</f>
        <v>#N/A</v>
      </c>
      <c r="AB39" s="115" t="e">
        <f>VLOOKUP($A39,'S46'!$C:$BQ,60,0)</f>
        <v>#N/A</v>
      </c>
      <c r="AC39" s="107" t="e">
        <f>VLOOKUP($A39,'S47'!$C:$BQ,32,0)</f>
        <v>#N/A</v>
      </c>
      <c r="AD39" s="107" t="e">
        <f>VLOOKUP($A39,'S47'!$C:$BQ,39,0)</f>
        <v>#N/A</v>
      </c>
      <c r="AE39" s="107" t="e">
        <f>VLOOKUP($A39,'S47'!$C:$BQ,40,0)</f>
        <v>#N/A</v>
      </c>
      <c r="AF39" s="107" t="e">
        <f>VLOOKUP($A39,'S47'!$C:$BQ,22,0)</f>
        <v>#N/A</v>
      </c>
      <c r="AG39" s="115" t="e">
        <f>VLOOKUP($A39,'S47'!$C:$BQ,29,0)</f>
        <v>#N/A</v>
      </c>
      <c r="AH39" s="115" t="e">
        <f>VLOOKUP($A39,'S47'!$C:$BQ,30,0)</f>
        <v>#N/A</v>
      </c>
      <c r="AI39" s="115" t="e">
        <f>VLOOKUP($A39,'S47'!$C:$BQ,52,0)</f>
        <v>#N/A</v>
      </c>
      <c r="AJ39" s="115" t="e">
        <f>VLOOKUP($A39,'S47'!$C:$BQ,59,0)</f>
        <v>#N/A</v>
      </c>
      <c r="AK39" s="115" t="e">
        <f>VLOOKUP($A39,'S47'!$C:$BQ,60,0)</f>
        <v>#N/A</v>
      </c>
      <c r="AL39" s="107" t="e">
        <f>VLOOKUP($A39,'S48'!$C:$BQ,32,0)</f>
        <v>#N/A</v>
      </c>
      <c r="AM39" s="107" t="e">
        <f>VLOOKUP($A39,'S48'!$C:$BQ,39,0)</f>
        <v>#N/A</v>
      </c>
      <c r="AN39" s="107" t="e">
        <f>VLOOKUP($A39,'S48'!$C:$BQ,40,0)</f>
        <v>#N/A</v>
      </c>
      <c r="AO39" s="107" t="e">
        <f>VLOOKUP($A39,'S48'!$C:$BQ,22,0)</f>
        <v>#N/A</v>
      </c>
      <c r="AP39" s="115" t="e">
        <f>VLOOKUP($A39,'S48'!$C:$BQ,29,0)</f>
        <v>#N/A</v>
      </c>
      <c r="AQ39" s="115" t="e">
        <f>VLOOKUP($A39,'S48'!$C:$BQ,30,0)</f>
        <v>#N/A</v>
      </c>
      <c r="AR39" s="115" t="e">
        <f>VLOOKUP($A39,'S48'!$C:$BQ,52,0)</f>
        <v>#N/A</v>
      </c>
      <c r="AS39" s="115" t="e">
        <f>VLOOKUP($A39,'S48'!$C:$BQ,59,0)</f>
        <v>#N/A</v>
      </c>
      <c r="AT39" s="115" t="e">
        <f>VLOOKUP($A39,'S48'!$C:$BQ,60,0)</f>
        <v>#N/A</v>
      </c>
      <c r="AU39" s="107" t="e">
        <f>VLOOKUP($A39,'S49'!$C:$BQ,32,0)</f>
        <v>#N/A</v>
      </c>
      <c r="AV39" s="107" t="e">
        <f>VLOOKUP($A39,'S49'!$C:$BQ,39,0)</f>
        <v>#N/A</v>
      </c>
      <c r="AW39" s="107" t="e">
        <f>VLOOKUP($A39,'S49'!$C:$BQ,40,0)</f>
        <v>#N/A</v>
      </c>
      <c r="AX39" s="107" t="e">
        <f>VLOOKUP($A39,'S49'!$C:$BQ,22,0)</f>
        <v>#N/A</v>
      </c>
      <c r="AY39" s="115" t="e">
        <f>VLOOKUP($A39,'S49'!$C:$BQ,29,0)</f>
        <v>#N/A</v>
      </c>
      <c r="AZ39" s="115" t="e">
        <f>VLOOKUP($A39,'S49'!$C:$BQ,30,0)</f>
        <v>#N/A</v>
      </c>
      <c r="BA39" s="115" t="e">
        <f>VLOOKUP($A39,'S49'!$C:$BQ,52,0)</f>
        <v>#N/A</v>
      </c>
      <c r="BB39" s="115" t="e">
        <f>VLOOKUP($A39,'S49'!$C:$BQ,59,0)</f>
        <v>#N/A</v>
      </c>
      <c r="BC39" s="115" t="e">
        <f>VLOOKUP($A39,'S49'!$C:$BQ,60,0)</f>
        <v>#N/A</v>
      </c>
      <c r="BD39" s="107" t="e">
        <f>VLOOKUP($A39,'S50'!$C:$BQ,32,0)</f>
        <v>#N/A</v>
      </c>
      <c r="BE39" s="107" t="e">
        <f>VLOOKUP($A39,'S50'!$C:$BQ,39,0)</f>
        <v>#N/A</v>
      </c>
      <c r="BF39" s="107" t="e">
        <f>VLOOKUP($A39,'S50'!$C:$BQ,40,0)</f>
        <v>#N/A</v>
      </c>
      <c r="BG39" s="107" t="e">
        <f>VLOOKUP($A39,'S50'!$C:$BQ,22,0)</f>
        <v>#N/A</v>
      </c>
      <c r="BH39" s="115" t="e">
        <f>VLOOKUP($A39,'S50'!$C:$BQ,29,0)</f>
        <v>#N/A</v>
      </c>
      <c r="BI39" s="115" t="e">
        <f>VLOOKUP($A39,'S50'!$C:$BQ,30,0)</f>
        <v>#N/A</v>
      </c>
      <c r="BJ39" s="115" t="e">
        <f>VLOOKUP($A39,'S50'!$C:$BQ,52,0)</f>
        <v>#N/A</v>
      </c>
      <c r="BK39" s="115" t="e">
        <f>VLOOKUP($A39,'S50'!$C:$BQ,59,0)</f>
        <v>#N/A</v>
      </c>
      <c r="BL39" s="115" t="e">
        <f>VLOOKUP($A39,'S50'!$C:$BQ,60,0)</f>
        <v>#N/A</v>
      </c>
    </row>
    <row r="40" spans="1:64" x14ac:dyDescent="0.2">
      <c r="A40" s="106" t="s">
        <v>96</v>
      </c>
      <c r="B40" s="107">
        <f>VLOOKUP($A40,'S0 remplacer avec S44'!$C:$BQ,32,0)</f>
        <v>75.099999999999994</v>
      </c>
      <c r="C40" s="107">
        <f>VLOOKUP($A40,'S0 remplacer avec S44'!$C:$BQ,39,0)</f>
        <v>27</v>
      </c>
      <c r="D40" s="107">
        <f>VLOOKUP($A40,'S0 remplacer avec S44'!$C:$BQ,40,0)</f>
        <v>48</v>
      </c>
      <c r="E40" s="107">
        <f>VLOOKUP($A40,'S0 remplacer avec S44'!$C:$BQ,22,0)</f>
        <v>744.47915999999998</v>
      </c>
      <c r="F40" s="115">
        <f>VLOOKUP($A40,'S0 remplacer avec S44'!$C:$BQ,29,0)</f>
        <v>182</v>
      </c>
      <c r="G40" s="115">
        <f>VLOOKUP($A40,'S0 remplacer avec S44'!$C:$BQ,30,0)</f>
        <v>367</v>
      </c>
      <c r="H40" s="115">
        <f>VLOOKUP($A40,'S0 remplacer avec S44'!$C:$BQ,52,0)</f>
        <v>42</v>
      </c>
      <c r="I40" s="115">
        <f>VLOOKUP($A40,'S0 remplacer avec S44'!$C:$BQ,59,0)</f>
        <v>10</v>
      </c>
      <c r="J40" s="115">
        <f>VLOOKUP($A40,'S0 remplacer avec S44'!$C:$BQ,60,0)</f>
        <v>21</v>
      </c>
      <c r="K40" s="107" t="e">
        <f>VLOOKUP($A40,'S45'!$C:$BQ,32,0)</f>
        <v>#N/A</v>
      </c>
      <c r="L40" s="107" t="e">
        <f>VLOOKUP($A40,'S45'!$C:$BQ,39,0)</f>
        <v>#N/A</v>
      </c>
      <c r="M40" s="107" t="e">
        <f>VLOOKUP($A40,'S45'!$C:$BQ,40,0)</f>
        <v>#N/A</v>
      </c>
      <c r="N40" s="107" t="e">
        <f>VLOOKUP($A40,'S45'!$C:$BQ,22,0)</f>
        <v>#N/A</v>
      </c>
      <c r="O40" s="115" t="e">
        <f>VLOOKUP($A40,'S45'!$C:$BQ,29,0)</f>
        <v>#N/A</v>
      </c>
      <c r="P40" s="115" t="e">
        <f>VLOOKUP($A40,'S45'!$C:$BQ,30,0)</f>
        <v>#N/A</v>
      </c>
      <c r="Q40" s="115" t="e">
        <f>VLOOKUP($A40,'S45'!$C:$BQ,52,0)</f>
        <v>#N/A</v>
      </c>
      <c r="R40" s="115" t="e">
        <f>VLOOKUP($A40,'S45'!$C:$BQ,59,0)</f>
        <v>#N/A</v>
      </c>
      <c r="S40" s="115" t="e">
        <f>VLOOKUP($A40,'S45'!$C:$BQ,60,0)</f>
        <v>#N/A</v>
      </c>
      <c r="T40" s="107" t="e">
        <f>VLOOKUP($A40,'S46'!$C:$BQ,32,0)</f>
        <v>#N/A</v>
      </c>
      <c r="U40" s="107" t="e">
        <f>VLOOKUP($A40,'S46'!$C:$BQ,39,0)</f>
        <v>#N/A</v>
      </c>
      <c r="V40" s="107" t="e">
        <f>VLOOKUP($A40,'S46'!$C:$BQ,40,0)</f>
        <v>#N/A</v>
      </c>
      <c r="W40" s="107" t="e">
        <f>VLOOKUP($A40,'S46'!$C:$BQ,22,0)</f>
        <v>#N/A</v>
      </c>
      <c r="X40" s="115" t="e">
        <f>VLOOKUP($A40,'S46'!$C:$BQ,29,0)</f>
        <v>#N/A</v>
      </c>
      <c r="Y40" s="115" t="e">
        <f>VLOOKUP($A40,'S46'!$C:$BQ,30,0)</f>
        <v>#N/A</v>
      </c>
      <c r="Z40" s="115" t="e">
        <f>VLOOKUP($A40,'S46'!$C:$BQ,52,0)</f>
        <v>#N/A</v>
      </c>
      <c r="AA40" s="115" t="e">
        <f>VLOOKUP($A40,'S46'!$C:$BQ,59,0)</f>
        <v>#N/A</v>
      </c>
      <c r="AB40" s="115" t="e">
        <f>VLOOKUP($A40,'S46'!$C:$BQ,60,0)</f>
        <v>#N/A</v>
      </c>
      <c r="AC40" s="107" t="e">
        <f>VLOOKUP($A40,'S47'!$C:$BQ,32,0)</f>
        <v>#N/A</v>
      </c>
      <c r="AD40" s="107" t="e">
        <f>VLOOKUP($A40,'S47'!$C:$BQ,39,0)</f>
        <v>#N/A</v>
      </c>
      <c r="AE40" s="107" t="e">
        <f>VLOOKUP($A40,'S47'!$C:$BQ,40,0)</f>
        <v>#N/A</v>
      </c>
      <c r="AF40" s="107" t="e">
        <f>VLOOKUP($A40,'S47'!$C:$BQ,22,0)</f>
        <v>#N/A</v>
      </c>
      <c r="AG40" s="115" t="e">
        <f>VLOOKUP($A40,'S47'!$C:$BQ,29,0)</f>
        <v>#N/A</v>
      </c>
      <c r="AH40" s="115" t="e">
        <f>VLOOKUP($A40,'S47'!$C:$BQ,30,0)</f>
        <v>#N/A</v>
      </c>
      <c r="AI40" s="115" t="e">
        <f>VLOOKUP($A40,'S47'!$C:$BQ,52,0)</f>
        <v>#N/A</v>
      </c>
      <c r="AJ40" s="115" t="e">
        <f>VLOOKUP($A40,'S47'!$C:$BQ,59,0)</f>
        <v>#N/A</v>
      </c>
      <c r="AK40" s="115" t="e">
        <f>VLOOKUP($A40,'S47'!$C:$BQ,60,0)</f>
        <v>#N/A</v>
      </c>
      <c r="AL40" s="107" t="e">
        <f>VLOOKUP($A40,'S48'!$C:$BQ,32,0)</f>
        <v>#N/A</v>
      </c>
      <c r="AM40" s="107" t="e">
        <f>VLOOKUP($A40,'S48'!$C:$BQ,39,0)</f>
        <v>#N/A</v>
      </c>
      <c r="AN40" s="107" t="e">
        <f>VLOOKUP($A40,'S48'!$C:$BQ,40,0)</f>
        <v>#N/A</v>
      </c>
      <c r="AO40" s="107" t="e">
        <f>VLOOKUP($A40,'S48'!$C:$BQ,22,0)</f>
        <v>#N/A</v>
      </c>
      <c r="AP40" s="115" t="e">
        <f>VLOOKUP($A40,'S48'!$C:$BQ,29,0)</f>
        <v>#N/A</v>
      </c>
      <c r="AQ40" s="115" t="e">
        <f>VLOOKUP($A40,'S48'!$C:$BQ,30,0)</f>
        <v>#N/A</v>
      </c>
      <c r="AR40" s="115" t="e">
        <f>VLOOKUP($A40,'S48'!$C:$BQ,52,0)</f>
        <v>#N/A</v>
      </c>
      <c r="AS40" s="115" t="e">
        <f>VLOOKUP($A40,'S48'!$C:$BQ,59,0)</f>
        <v>#N/A</v>
      </c>
      <c r="AT40" s="115" t="e">
        <f>VLOOKUP($A40,'S48'!$C:$BQ,60,0)</f>
        <v>#N/A</v>
      </c>
      <c r="AU40" s="107" t="e">
        <f>VLOOKUP($A40,'S49'!$C:$BQ,32,0)</f>
        <v>#N/A</v>
      </c>
      <c r="AV40" s="107" t="e">
        <f>VLOOKUP($A40,'S49'!$C:$BQ,39,0)</f>
        <v>#N/A</v>
      </c>
      <c r="AW40" s="107" t="e">
        <f>VLOOKUP($A40,'S49'!$C:$BQ,40,0)</f>
        <v>#N/A</v>
      </c>
      <c r="AX40" s="107" t="e">
        <f>VLOOKUP($A40,'S49'!$C:$BQ,22,0)</f>
        <v>#N/A</v>
      </c>
      <c r="AY40" s="115" t="e">
        <f>VLOOKUP($A40,'S49'!$C:$BQ,29,0)</f>
        <v>#N/A</v>
      </c>
      <c r="AZ40" s="115" t="e">
        <f>VLOOKUP($A40,'S49'!$C:$BQ,30,0)</f>
        <v>#N/A</v>
      </c>
      <c r="BA40" s="115" t="e">
        <f>VLOOKUP($A40,'S49'!$C:$BQ,52,0)</f>
        <v>#N/A</v>
      </c>
      <c r="BB40" s="115" t="e">
        <f>VLOOKUP($A40,'S49'!$C:$BQ,59,0)</f>
        <v>#N/A</v>
      </c>
      <c r="BC40" s="115" t="e">
        <f>VLOOKUP($A40,'S49'!$C:$BQ,60,0)</f>
        <v>#N/A</v>
      </c>
      <c r="BD40" s="107" t="e">
        <f>VLOOKUP($A40,'S50'!$C:$BQ,32,0)</f>
        <v>#N/A</v>
      </c>
      <c r="BE40" s="107" t="e">
        <f>VLOOKUP($A40,'S50'!$C:$BQ,39,0)</f>
        <v>#N/A</v>
      </c>
      <c r="BF40" s="107" t="e">
        <f>VLOOKUP($A40,'S50'!$C:$BQ,40,0)</f>
        <v>#N/A</v>
      </c>
      <c r="BG40" s="107" t="e">
        <f>VLOOKUP($A40,'S50'!$C:$BQ,22,0)</f>
        <v>#N/A</v>
      </c>
      <c r="BH40" s="115" t="e">
        <f>VLOOKUP($A40,'S50'!$C:$BQ,29,0)</f>
        <v>#N/A</v>
      </c>
      <c r="BI40" s="115" t="e">
        <f>VLOOKUP($A40,'S50'!$C:$BQ,30,0)</f>
        <v>#N/A</v>
      </c>
      <c r="BJ40" s="115" t="e">
        <f>VLOOKUP($A40,'S50'!$C:$BQ,52,0)</f>
        <v>#N/A</v>
      </c>
      <c r="BK40" s="115" t="e">
        <f>VLOOKUP($A40,'S50'!$C:$BQ,59,0)</f>
        <v>#N/A</v>
      </c>
      <c r="BL40" s="115" t="e">
        <f>VLOOKUP($A40,'S50'!$C:$BQ,60,0)</f>
        <v>#N/A</v>
      </c>
    </row>
    <row r="41" spans="1:64" x14ac:dyDescent="0.2">
      <c r="A41" s="106" t="s">
        <v>97</v>
      </c>
      <c r="B41" s="107">
        <f>VLOOKUP($A41,'S0 remplacer avec S44'!$C:$BQ,32,0)</f>
        <v>170.1</v>
      </c>
      <c r="C41" s="107">
        <f>VLOOKUP($A41,'S0 remplacer avec S44'!$C:$BQ,39,0)</f>
        <v>0</v>
      </c>
      <c r="D41" s="107">
        <f>VLOOKUP($A41,'S0 remplacer avec S44'!$C:$BQ,40,0)</f>
        <v>11</v>
      </c>
      <c r="E41" s="107">
        <f>VLOOKUP($A41,'S0 remplacer avec S44'!$C:$BQ,22,0)</f>
        <v>1267.73696</v>
      </c>
      <c r="F41" s="115">
        <f>VLOOKUP($A41,'S0 remplacer avec S44'!$C:$BQ,29,0)</f>
        <v>99</v>
      </c>
      <c r="G41" s="115">
        <f>VLOOKUP($A41,'S0 remplacer avec S44'!$C:$BQ,30,0)</f>
        <v>373</v>
      </c>
      <c r="H41" s="115">
        <f>VLOOKUP($A41,'S0 remplacer avec S44'!$C:$BQ,52,0)</f>
        <v>110.6</v>
      </c>
      <c r="I41" s="115">
        <f>VLOOKUP($A41,'S0 remplacer avec S44'!$C:$BQ,59,0)</f>
        <v>0</v>
      </c>
      <c r="J41" s="115">
        <f>VLOOKUP($A41,'S0 remplacer avec S44'!$C:$BQ,60,0)</f>
        <v>0</v>
      </c>
      <c r="K41" s="107" t="e">
        <f>VLOOKUP($A41,'S45'!$C:$BQ,32,0)</f>
        <v>#N/A</v>
      </c>
      <c r="L41" s="107" t="e">
        <f>VLOOKUP($A41,'S45'!$C:$BQ,39,0)</f>
        <v>#N/A</v>
      </c>
      <c r="M41" s="107" t="e">
        <f>VLOOKUP($A41,'S45'!$C:$BQ,40,0)</f>
        <v>#N/A</v>
      </c>
      <c r="N41" s="107" t="e">
        <f>VLOOKUP($A41,'S45'!$C:$BQ,22,0)</f>
        <v>#N/A</v>
      </c>
      <c r="O41" s="115" t="e">
        <f>VLOOKUP($A41,'S45'!$C:$BQ,29,0)</f>
        <v>#N/A</v>
      </c>
      <c r="P41" s="115" t="e">
        <f>VLOOKUP($A41,'S45'!$C:$BQ,30,0)</f>
        <v>#N/A</v>
      </c>
      <c r="Q41" s="115" t="e">
        <f>VLOOKUP($A41,'S45'!$C:$BQ,52,0)</f>
        <v>#N/A</v>
      </c>
      <c r="R41" s="115" t="e">
        <f>VLOOKUP($A41,'S45'!$C:$BQ,59,0)</f>
        <v>#N/A</v>
      </c>
      <c r="S41" s="115" t="e">
        <f>VLOOKUP($A41,'S45'!$C:$BQ,60,0)</f>
        <v>#N/A</v>
      </c>
      <c r="T41" s="107" t="e">
        <f>VLOOKUP($A41,'S46'!$C:$BQ,32,0)</f>
        <v>#N/A</v>
      </c>
      <c r="U41" s="107" t="e">
        <f>VLOOKUP($A41,'S46'!$C:$BQ,39,0)</f>
        <v>#N/A</v>
      </c>
      <c r="V41" s="107" t="e">
        <f>VLOOKUP($A41,'S46'!$C:$BQ,40,0)</f>
        <v>#N/A</v>
      </c>
      <c r="W41" s="107" t="e">
        <f>VLOOKUP($A41,'S46'!$C:$BQ,22,0)</f>
        <v>#N/A</v>
      </c>
      <c r="X41" s="115" t="e">
        <f>VLOOKUP($A41,'S46'!$C:$BQ,29,0)</f>
        <v>#N/A</v>
      </c>
      <c r="Y41" s="115" t="e">
        <f>VLOOKUP($A41,'S46'!$C:$BQ,30,0)</f>
        <v>#N/A</v>
      </c>
      <c r="Z41" s="115" t="e">
        <f>VLOOKUP($A41,'S46'!$C:$BQ,52,0)</f>
        <v>#N/A</v>
      </c>
      <c r="AA41" s="115" t="e">
        <f>VLOOKUP($A41,'S46'!$C:$BQ,59,0)</f>
        <v>#N/A</v>
      </c>
      <c r="AB41" s="115" t="e">
        <f>VLOOKUP($A41,'S46'!$C:$BQ,60,0)</f>
        <v>#N/A</v>
      </c>
      <c r="AC41" s="107" t="e">
        <f>VLOOKUP($A41,'S47'!$C:$BQ,32,0)</f>
        <v>#N/A</v>
      </c>
      <c r="AD41" s="107" t="e">
        <f>VLOOKUP($A41,'S47'!$C:$BQ,39,0)</f>
        <v>#N/A</v>
      </c>
      <c r="AE41" s="107" t="e">
        <f>VLOOKUP($A41,'S47'!$C:$BQ,40,0)</f>
        <v>#N/A</v>
      </c>
      <c r="AF41" s="107" t="e">
        <f>VLOOKUP($A41,'S47'!$C:$BQ,22,0)</f>
        <v>#N/A</v>
      </c>
      <c r="AG41" s="115" t="e">
        <f>VLOOKUP($A41,'S47'!$C:$BQ,29,0)</f>
        <v>#N/A</v>
      </c>
      <c r="AH41" s="115" t="e">
        <f>VLOOKUP($A41,'S47'!$C:$BQ,30,0)</f>
        <v>#N/A</v>
      </c>
      <c r="AI41" s="115" t="e">
        <f>VLOOKUP($A41,'S47'!$C:$BQ,52,0)</f>
        <v>#N/A</v>
      </c>
      <c r="AJ41" s="115" t="e">
        <f>VLOOKUP($A41,'S47'!$C:$BQ,59,0)</f>
        <v>#N/A</v>
      </c>
      <c r="AK41" s="115" t="e">
        <f>VLOOKUP($A41,'S47'!$C:$BQ,60,0)</f>
        <v>#N/A</v>
      </c>
      <c r="AL41" s="107" t="e">
        <f>VLOOKUP($A41,'S48'!$C:$BQ,32,0)</f>
        <v>#N/A</v>
      </c>
      <c r="AM41" s="107" t="e">
        <f>VLOOKUP($A41,'S48'!$C:$BQ,39,0)</f>
        <v>#N/A</v>
      </c>
      <c r="AN41" s="107" t="e">
        <f>VLOOKUP($A41,'S48'!$C:$BQ,40,0)</f>
        <v>#N/A</v>
      </c>
      <c r="AO41" s="107" t="e">
        <f>VLOOKUP($A41,'S48'!$C:$BQ,22,0)</f>
        <v>#N/A</v>
      </c>
      <c r="AP41" s="115" t="e">
        <f>VLOOKUP($A41,'S48'!$C:$BQ,29,0)</f>
        <v>#N/A</v>
      </c>
      <c r="AQ41" s="115" t="e">
        <f>VLOOKUP($A41,'S48'!$C:$BQ,30,0)</f>
        <v>#N/A</v>
      </c>
      <c r="AR41" s="115" t="e">
        <f>VLOOKUP($A41,'S48'!$C:$BQ,52,0)</f>
        <v>#N/A</v>
      </c>
      <c r="AS41" s="115" t="e">
        <f>VLOOKUP($A41,'S48'!$C:$BQ,59,0)</f>
        <v>#N/A</v>
      </c>
      <c r="AT41" s="115" t="e">
        <f>VLOOKUP($A41,'S48'!$C:$BQ,60,0)</f>
        <v>#N/A</v>
      </c>
      <c r="AU41" s="107" t="e">
        <f>VLOOKUP($A41,'S49'!$C:$BQ,32,0)</f>
        <v>#N/A</v>
      </c>
      <c r="AV41" s="107" t="e">
        <f>VLOOKUP($A41,'S49'!$C:$BQ,39,0)</f>
        <v>#N/A</v>
      </c>
      <c r="AW41" s="107" t="e">
        <f>VLOOKUP($A41,'S49'!$C:$BQ,40,0)</f>
        <v>#N/A</v>
      </c>
      <c r="AX41" s="107" t="e">
        <f>VLOOKUP($A41,'S49'!$C:$BQ,22,0)</f>
        <v>#N/A</v>
      </c>
      <c r="AY41" s="115" t="e">
        <f>VLOOKUP($A41,'S49'!$C:$BQ,29,0)</f>
        <v>#N/A</v>
      </c>
      <c r="AZ41" s="115" t="e">
        <f>VLOOKUP($A41,'S49'!$C:$BQ,30,0)</f>
        <v>#N/A</v>
      </c>
      <c r="BA41" s="115" t="e">
        <f>VLOOKUP($A41,'S49'!$C:$BQ,52,0)</f>
        <v>#N/A</v>
      </c>
      <c r="BB41" s="115" t="e">
        <f>VLOOKUP($A41,'S49'!$C:$BQ,59,0)</f>
        <v>#N/A</v>
      </c>
      <c r="BC41" s="115" t="e">
        <f>VLOOKUP($A41,'S49'!$C:$BQ,60,0)</f>
        <v>#N/A</v>
      </c>
      <c r="BD41" s="107" t="e">
        <f>VLOOKUP($A41,'S50'!$C:$BQ,32,0)</f>
        <v>#N/A</v>
      </c>
      <c r="BE41" s="107" t="e">
        <f>VLOOKUP($A41,'S50'!$C:$BQ,39,0)</f>
        <v>#N/A</v>
      </c>
      <c r="BF41" s="107" t="e">
        <f>VLOOKUP($A41,'S50'!$C:$BQ,40,0)</f>
        <v>#N/A</v>
      </c>
      <c r="BG41" s="107" t="e">
        <f>VLOOKUP($A41,'S50'!$C:$BQ,22,0)</f>
        <v>#N/A</v>
      </c>
      <c r="BH41" s="115" t="e">
        <f>VLOOKUP($A41,'S50'!$C:$BQ,29,0)</f>
        <v>#N/A</v>
      </c>
      <c r="BI41" s="115" t="e">
        <f>VLOOKUP($A41,'S50'!$C:$BQ,30,0)</f>
        <v>#N/A</v>
      </c>
      <c r="BJ41" s="115" t="e">
        <f>VLOOKUP($A41,'S50'!$C:$BQ,52,0)</f>
        <v>#N/A</v>
      </c>
      <c r="BK41" s="115" t="e">
        <f>VLOOKUP($A41,'S50'!$C:$BQ,59,0)</f>
        <v>#N/A</v>
      </c>
      <c r="BL41" s="115" t="e">
        <f>VLOOKUP($A41,'S50'!$C:$BQ,60,0)</f>
        <v>#N/A</v>
      </c>
    </row>
    <row r="42" spans="1:64" x14ac:dyDescent="0.2">
      <c r="A42" s="106" t="s">
        <v>98</v>
      </c>
      <c r="B42" s="107">
        <f>VLOOKUP($A42,'S0 remplacer avec S44'!$C:$BQ,32,0)</f>
        <v>102.85</v>
      </c>
      <c r="C42" s="107">
        <f>VLOOKUP($A42,'S0 remplacer avec S44'!$C:$BQ,39,0)</f>
        <v>83</v>
      </c>
      <c r="D42" s="107">
        <f>VLOOKUP($A42,'S0 remplacer avec S44'!$C:$BQ,40,0)</f>
        <v>120</v>
      </c>
      <c r="E42" s="107">
        <f>VLOOKUP($A42,'S0 remplacer avec S44'!$C:$BQ,22,0)</f>
        <v>1787.14922</v>
      </c>
      <c r="F42" s="115">
        <f>VLOOKUP($A42,'S0 remplacer avec S44'!$C:$BQ,29,0)</f>
        <v>0</v>
      </c>
      <c r="G42" s="115">
        <f>VLOOKUP($A42,'S0 remplacer avec S44'!$C:$BQ,30,0)</f>
        <v>235</v>
      </c>
      <c r="H42" s="115">
        <f>VLOOKUP($A42,'S0 remplacer avec S44'!$C:$BQ,52,0)</f>
        <v>119</v>
      </c>
      <c r="I42" s="115">
        <f>VLOOKUP($A42,'S0 remplacer avec S44'!$C:$BQ,59,0)</f>
        <v>0</v>
      </c>
      <c r="J42" s="115">
        <f>VLOOKUP($A42,'S0 remplacer avec S44'!$C:$BQ,60,0)</f>
        <v>0</v>
      </c>
      <c r="K42" s="107" t="e">
        <f>VLOOKUP($A42,'S45'!$C:$BQ,32,0)</f>
        <v>#N/A</v>
      </c>
      <c r="L42" s="107" t="e">
        <f>VLOOKUP($A42,'S45'!$C:$BQ,39,0)</f>
        <v>#N/A</v>
      </c>
      <c r="M42" s="107" t="e">
        <f>VLOOKUP($A42,'S45'!$C:$BQ,40,0)</f>
        <v>#N/A</v>
      </c>
      <c r="N42" s="107" t="e">
        <f>VLOOKUP($A42,'S45'!$C:$BQ,22,0)</f>
        <v>#N/A</v>
      </c>
      <c r="O42" s="115" t="e">
        <f>VLOOKUP($A42,'S45'!$C:$BQ,29,0)</f>
        <v>#N/A</v>
      </c>
      <c r="P42" s="115" t="e">
        <f>VLOOKUP($A42,'S45'!$C:$BQ,30,0)</f>
        <v>#N/A</v>
      </c>
      <c r="Q42" s="115" t="e">
        <f>VLOOKUP($A42,'S45'!$C:$BQ,52,0)</f>
        <v>#N/A</v>
      </c>
      <c r="R42" s="115" t="e">
        <f>VLOOKUP($A42,'S45'!$C:$BQ,59,0)</f>
        <v>#N/A</v>
      </c>
      <c r="S42" s="115" t="e">
        <f>VLOOKUP($A42,'S45'!$C:$BQ,60,0)</f>
        <v>#N/A</v>
      </c>
      <c r="T42" s="107" t="e">
        <f>VLOOKUP($A42,'S46'!$C:$BQ,32,0)</f>
        <v>#N/A</v>
      </c>
      <c r="U42" s="107" t="e">
        <f>VLOOKUP($A42,'S46'!$C:$BQ,39,0)</f>
        <v>#N/A</v>
      </c>
      <c r="V42" s="107" t="e">
        <f>VLOOKUP($A42,'S46'!$C:$BQ,40,0)</f>
        <v>#N/A</v>
      </c>
      <c r="W42" s="107" t="e">
        <f>VLOOKUP($A42,'S46'!$C:$BQ,22,0)</f>
        <v>#N/A</v>
      </c>
      <c r="X42" s="115" t="e">
        <f>VLOOKUP($A42,'S46'!$C:$BQ,29,0)</f>
        <v>#N/A</v>
      </c>
      <c r="Y42" s="115" t="e">
        <f>VLOOKUP($A42,'S46'!$C:$BQ,30,0)</f>
        <v>#N/A</v>
      </c>
      <c r="Z42" s="115" t="e">
        <f>VLOOKUP($A42,'S46'!$C:$BQ,52,0)</f>
        <v>#N/A</v>
      </c>
      <c r="AA42" s="115" t="e">
        <f>VLOOKUP($A42,'S46'!$C:$BQ,59,0)</f>
        <v>#N/A</v>
      </c>
      <c r="AB42" s="115" t="e">
        <f>VLOOKUP($A42,'S46'!$C:$BQ,60,0)</f>
        <v>#N/A</v>
      </c>
      <c r="AC42" s="107" t="e">
        <f>VLOOKUP($A42,'S47'!$C:$BQ,32,0)</f>
        <v>#N/A</v>
      </c>
      <c r="AD42" s="107" t="e">
        <f>VLOOKUP($A42,'S47'!$C:$BQ,39,0)</f>
        <v>#N/A</v>
      </c>
      <c r="AE42" s="107" t="e">
        <f>VLOOKUP($A42,'S47'!$C:$BQ,40,0)</f>
        <v>#N/A</v>
      </c>
      <c r="AF42" s="107" t="e">
        <f>VLOOKUP($A42,'S47'!$C:$BQ,22,0)</f>
        <v>#N/A</v>
      </c>
      <c r="AG42" s="115" t="e">
        <f>VLOOKUP($A42,'S47'!$C:$BQ,29,0)</f>
        <v>#N/A</v>
      </c>
      <c r="AH42" s="115" t="e">
        <f>VLOOKUP($A42,'S47'!$C:$BQ,30,0)</f>
        <v>#N/A</v>
      </c>
      <c r="AI42" s="115" t="e">
        <f>VLOOKUP($A42,'S47'!$C:$BQ,52,0)</f>
        <v>#N/A</v>
      </c>
      <c r="AJ42" s="115" t="e">
        <f>VLOOKUP($A42,'S47'!$C:$BQ,59,0)</f>
        <v>#N/A</v>
      </c>
      <c r="AK42" s="115" t="e">
        <f>VLOOKUP($A42,'S47'!$C:$BQ,60,0)</f>
        <v>#N/A</v>
      </c>
      <c r="AL42" s="107" t="e">
        <f>VLOOKUP($A42,'S48'!$C:$BQ,32,0)</f>
        <v>#N/A</v>
      </c>
      <c r="AM42" s="107" t="e">
        <f>VLOOKUP($A42,'S48'!$C:$BQ,39,0)</f>
        <v>#N/A</v>
      </c>
      <c r="AN42" s="107" t="e">
        <f>VLOOKUP($A42,'S48'!$C:$BQ,40,0)</f>
        <v>#N/A</v>
      </c>
      <c r="AO42" s="107" t="e">
        <f>VLOOKUP($A42,'S48'!$C:$BQ,22,0)</f>
        <v>#N/A</v>
      </c>
      <c r="AP42" s="115" t="e">
        <f>VLOOKUP($A42,'S48'!$C:$BQ,29,0)</f>
        <v>#N/A</v>
      </c>
      <c r="AQ42" s="115" t="e">
        <f>VLOOKUP($A42,'S48'!$C:$BQ,30,0)</f>
        <v>#N/A</v>
      </c>
      <c r="AR42" s="115" t="e">
        <f>VLOOKUP($A42,'S48'!$C:$BQ,52,0)</f>
        <v>#N/A</v>
      </c>
      <c r="AS42" s="115" t="e">
        <f>VLOOKUP($A42,'S48'!$C:$BQ,59,0)</f>
        <v>#N/A</v>
      </c>
      <c r="AT42" s="115" t="e">
        <f>VLOOKUP($A42,'S48'!$C:$BQ,60,0)</f>
        <v>#N/A</v>
      </c>
      <c r="AU42" s="107" t="e">
        <f>VLOOKUP($A42,'S49'!$C:$BQ,32,0)</f>
        <v>#N/A</v>
      </c>
      <c r="AV42" s="107" t="e">
        <f>VLOOKUP($A42,'S49'!$C:$BQ,39,0)</f>
        <v>#N/A</v>
      </c>
      <c r="AW42" s="107" t="e">
        <f>VLOOKUP($A42,'S49'!$C:$BQ,40,0)</f>
        <v>#N/A</v>
      </c>
      <c r="AX42" s="107" t="e">
        <f>VLOOKUP($A42,'S49'!$C:$BQ,22,0)</f>
        <v>#N/A</v>
      </c>
      <c r="AY42" s="115" t="e">
        <f>VLOOKUP($A42,'S49'!$C:$BQ,29,0)</f>
        <v>#N/A</v>
      </c>
      <c r="AZ42" s="115" t="e">
        <f>VLOOKUP($A42,'S49'!$C:$BQ,30,0)</f>
        <v>#N/A</v>
      </c>
      <c r="BA42" s="115" t="e">
        <f>VLOOKUP($A42,'S49'!$C:$BQ,52,0)</f>
        <v>#N/A</v>
      </c>
      <c r="BB42" s="115" t="e">
        <f>VLOOKUP($A42,'S49'!$C:$BQ,59,0)</f>
        <v>#N/A</v>
      </c>
      <c r="BC42" s="115" t="e">
        <f>VLOOKUP($A42,'S49'!$C:$BQ,60,0)</f>
        <v>#N/A</v>
      </c>
      <c r="BD42" s="107" t="e">
        <f>VLOOKUP($A42,'S50'!$C:$BQ,32,0)</f>
        <v>#N/A</v>
      </c>
      <c r="BE42" s="107" t="e">
        <f>VLOOKUP($A42,'S50'!$C:$BQ,39,0)</f>
        <v>#N/A</v>
      </c>
      <c r="BF42" s="107" t="e">
        <f>VLOOKUP($A42,'S50'!$C:$BQ,40,0)</f>
        <v>#N/A</v>
      </c>
      <c r="BG42" s="107" t="e">
        <f>VLOOKUP($A42,'S50'!$C:$BQ,22,0)</f>
        <v>#N/A</v>
      </c>
      <c r="BH42" s="115" t="e">
        <f>VLOOKUP($A42,'S50'!$C:$BQ,29,0)</f>
        <v>#N/A</v>
      </c>
      <c r="BI42" s="115" t="e">
        <f>VLOOKUP($A42,'S50'!$C:$BQ,30,0)</f>
        <v>#N/A</v>
      </c>
      <c r="BJ42" s="115" t="e">
        <f>VLOOKUP($A42,'S50'!$C:$BQ,52,0)</f>
        <v>#N/A</v>
      </c>
      <c r="BK42" s="115" t="e">
        <f>VLOOKUP($A42,'S50'!$C:$BQ,59,0)</f>
        <v>#N/A</v>
      </c>
      <c r="BL42" s="115" t="e">
        <f>VLOOKUP($A42,'S50'!$C:$BQ,60,0)</f>
        <v>#N/A</v>
      </c>
    </row>
    <row r="43" spans="1:64" x14ac:dyDescent="0.2">
      <c r="A43" s="106" t="s">
        <v>99</v>
      </c>
      <c r="B43" s="107">
        <f>VLOOKUP($A43,'S0 remplacer avec S44'!$C:$BQ,32,0)</f>
        <v>480.75</v>
      </c>
      <c r="C43" s="107">
        <f>VLOOKUP($A43,'S0 remplacer avec S44'!$C:$BQ,39,0)</f>
        <v>66</v>
      </c>
      <c r="D43" s="107">
        <f>VLOOKUP($A43,'S0 remplacer avec S44'!$C:$BQ,40,0)</f>
        <v>175</v>
      </c>
      <c r="E43" s="107">
        <f>VLOOKUP($A43,'S0 remplacer avec S44'!$C:$BQ,22,0)</f>
        <v>4243.0989099999997</v>
      </c>
      <c r="F43" s="115">
        <f>VLOOKUP($A43,'S0 remplacer avec S44'!$C:$BQ,29,0)</f>
        <v>721</v>
      </c>
      <c r="G43" s="115">
        <f>VLOOKUP($A43,'S0 remplacer avec S44'!$C:$BQ,30,0)</f>
        <v>1714</v>
      </c>
      <c r="H43" s="115">
        <f>VLOOKUP($A43,'S0 remplacer avec S44'!$C:$BQ,52,0)</f>
        <v>278</v>
      </c>
      <c r="I43" s="115">
        <f>VLOOKUP($A43,'S0 remplacer avec S44'!$C:$BQ,59,0)</f>
        <v>0</v>
      </c>
      <c r="J43" s="115">
        <f>VLOOKUP($A43,'S0 remplacer avec S44'!$C:$BQ,60,0)</f>
        <v>55</v>
      </c>
      <c r="K43" s="107" t="e">
        <f>VLOOKUP($A43,'S45'!$C:$BQ,32,0)</f>
        <v>#N/A</v>
      </c>
      <c r="L43" s="107" t="e">
        <f>VLOOKUP($A43,'S45'!$C:$BQ,39,0)</f>
        <v>#N/A</v>
      </c>
      <c r="M43" s="107" t="e">
        <f>VLOOKUP($A43,'S45'!$C:$BQ,40,0)</f>
        <v>#N/A</v>
      </c>
      <c r="N43" s="107" t="e">
        <f>VLOOKUP($A43,'S45'!$C:$BQ,22,0)</f>
        <v>#N/A</v>
      </c>
      <c r="O43" s="115" t="e">
        <f>VLOOKUP($A43,'S45'!$C:$BQ,29,0)</f>
        <v>#N/A</v>
      </c>
      <c r="P43" s="115" t="e">
        <f>VLOOKUP($A43,'S45'!$C:$BQ,30,0)</f>
        <v>#N/A</v>
      </c>
      <c r="Q43" s="115" t="e">
        <f>VLOOKUP($A43,'S45'!$C:$BQ,52,0)</f>
        <v>#N/A</v>
      </c>
      <c r="R43" s="115" t="e">
        <f>VLOOKUP($A43,'S45'!$C:$BQ,59,0)</f>
        <v>#N/A</v>
      </c>
      <c r="S43" s="115" t="e">
        <f>VLOOKUP($A43,'S45'!$C:$BQ,60,0)</f>
        <v>#N/A</v>
      </c>
      <c r="T43" s="107" t="e">
        <f>VLOOKUP($A43,'S46'!$C:$BQ,32,0)</f>
        <v>#N/A</v>
      </c>
      <c r="U43" s="107" t="e">
        <f>VLOOKUP($A43,'S46'!$C:$BQ,39,0)</f>
        <v>#N/A</v>
      </c>
      <c r="V43" s="107" t="e">
        <f>VLOOKUP($A43,'S46'!$C:$BQ,40,0)</f>
        <v>#N/A</v>
      </c>
      <c r="W43" s="107" t="e">
        <f>VLOOKUP($A43,'S46'!$C:$BQ,22,0)</f>
        <v>#N/A</v>
      </c>
      <c r="X43" s="115" t="e">
        <f>VLOOKUP($A43,'S46'!$C:$BQ,29,0)</f>
        <v>#N/A</v>
      </c>
      <c r="Y43" s="115" t="e">
        <f>VLOOKUP($A43,'S46'!$C:$BQ,30,0)</f>
        <v>#N/A</v>
      </c>
      <c r="Z43" s="115" t="e">
        <f>VLOOKUP($A43,'S46'!$C:$BQ,52,0)</f>
        <v>#N/A</v>
      </c>
      <c r="AA43" s="115" t="e">
        <f>VLOOKUP($A43,'S46'!$C:$BQ,59,0)</f>
        <v>#N/A</v>
      </c>
      <c r="AB43" s="115" t="e">
        <f>VLOOKUP($A43,'S46'!$C:$BQ,60,0)</f>
        <v>#N/A</v>
      </c>
      <c r="AC43" s="107" t="e">
        <f>VLOOKUP($A43,'S47'!$C:$BQ,32,0)</f>
        <v>#N/A</v>
      </c>
      <c r="AD43" s="107" t="e">
        <f>VLOOKUP($A43,'S47'!$C:$BQ,39,0)</f>
        <v>#N/A</v>
      </c>
      <c r="AE43" s="107" t="e">
        <f>VLOOKUP($A43,'S47'!$C:$BQ,40,0)</f>
        <v>#N/A</v>
      </c>
      <c r="AF43" s="107" t="e">
        <f>VLOOKUP($A43,'S47'!$C:$BQ,22,0)</f>
        <v>#N/A</v>
      </c>
      <c r="AG43" s="115" t="e">
        <f>VLOOKUP($A43,'S47'!$C:$BQ,29,0)</f>
        <v>#N/A</v>
      </c>
      <c r="AH43" s="115" t="e">
        <f>VLOOKUP($A43,'S47'!$C:$BQ,30,0)</f>
        <v>#N/A</v>
      </c>
      <c r="AI43" s="115" t="e">
        <f>VLOOKUP($A43,'S47'!$C:$BQ,52,0)</f>
        <v>#N/A</v>
      </c>
      <c r="AJ43" s="115" t="e">
        <f>VLOOKUP($A43,'S47'!$C:$BQ,59,0)</f>
        <v>#N/A</v>
      </c>
      <c r="AK43" s="115" t="e">
        <f>VLOOKUP($A43,'S47'!$C:$BQ,60,0)</f>
        <v>#N/A</v>
      </c>
      <c r="AL43" s="107" t="e">
        <f>VLOOKUP($A43,'S48'!$C:$BQ,32,0)</f>
        <v>#N/A</v>
      </c>
      <c r="AM43" s="107" t="e">
        <f>VLOOKUP($A43,'S48'!$C:$BQ,39,0)</f>
        <v>#N/A</v>
      </c>
      <c r="AN43" s="107" t="e">
        <f>VLOOKUP($A43,'S48'!$C:$BQ,40,0)</f>
        <v>#N/A</v>
      </c>
      <c r="AO43" s="107" t="e">
        <f>VLOOKUP($A43,'S48'!$C:$BQ,22,0)</f>
        <v>#N/A</v>
      </c>
      <c r="AP43" s="115" t="e">
        <f>VLOOKUP($A43,'S48'!$C:$BQ,29,0)</f>
        <v>#N/A</v>
      </c>
      <c r="AQ43" s="115" t="e">
        <f>VLOOKUP($A43,'S48'!$C:$BQ,30,0)</f>
        <v>#N/A</v>
      </c>
      <c r="AR43" s="115" t="e">
        <f>VLOOKUP($A43,'S48'!$C:$BQ,52,0)</f>
        <v>#N/A</v>
      </c>
      <c r="AS43" s="115" t="e">
        <f>VLOOKUP($A43,'S48'!$C:$BQ,59,0)</f>
        <v>#N/A</v>
      </c>
      <c r="AT43" s="115" t="e">
        <f>VLOOKUP($A43,'S48'!$C:$BQ,60,0)</f>
        <v>#N/A</v>
      </c>
      <c r="AU43" s="107" t="e">
        <f>VLOOKUP($A43,'S49'!$C:$BQ,32,0)</f>
        <v>#N/A</v>
      </c>
      <c r="AV43" s="107" t="e">
        <f>VLOOKUP($A43,'S49'!$C:$BQ,39,0)</f>
        <v>#N/A</v>
      </c>
      <c r="AW43" s="107" t="e">
        <f>VLOOKUP($A43,'S49'!$C:$BQ,40,0)</f>
        <v>#N/A</v>
      </c>
      <c r="AX43" s="107" t="e">
        <f>VLOOKUP($A43,'S49'!$C:$BQ,22,0)</f>
        <v>#N/A</v>
      </c>
      <c r="AY43" s="115" t="e">
        <f>VLOOKUP($A43,'S49'!$C:$BQ,29,0)</f>
        <v>#N/A</v>
      </c>
      <c r="AZ43" s="115" t="e">
        <f>VLOOKUP($A43,'S49'!$C:$BQ,30,0)</f>
        <v>#N/A</v>
      </c>
      <c r="BA43" s="115" t="e">
        <f>VLOOKUP($A43,'S49'!$C:$BQ,52,0)</f>
        <v>#N/A</v>
      </c>
      <c r="BB43" s="115" t="e">
        <f>VLOOKUP($A43,'S49'!$C:$BQ,59,0)</f>
        <v>#N/A</v>
      </c>
      <c r="BC43" s="115" t="e">
        <f>VLOOKUP($A43,'S49'!$C:$BQ,60,0)</f>
        <v>#N/A</v>
      </c>
      <c r="BD43" s="107" t="e">
        <f>VLOOKUP($A43,'S50'!$C:$BQ,32,0)</f>
        <v>#N/A</v>
      </c>
      <c r="BE43" s="107" t="e">
        <f>VLOOKUP($A43,'S50'!$C:$BQ,39,0)</f>
        <v>#N/A</v>
      </c>
      <c r="BF43" s="107" t="e">
        <f>VLOOKUP($A43,'S50'!$C:$BQ,40,0)</f>
        <v>#N/A</v>
      </c>
      <c r="BG43" s="107" t="e">
        <f>VLOOKUP($A43,'S50'!$C:$BQ,22,0)</f>
        <v>#N/A</v>
      </c>
      <c r="BH43" s="115" t="e">
        <f>VLOOKUP($A43,'S50'!$C:$BQ,29,0)</f>
        <v>#N/A</v>
      </c>
      <c r="BI43" s="115" t="e">
        <f>VLOOKUP($A43,'S50'!$C:$BQ,30,0)</f>
        <v>#N/A</v>
      </c>
      <c r="BJ43" s="115" t="e">
        <f>VLOOKUP($A43,'S50'!$C:$BQ,52,0)</f>
        <v>#N/A</v>
      </c>
      <c r="BK43" s="115" t="e">
        <f>VLOOKUP($A43,'S50'!$C:$BQ,59,0)</f>
        <v>#N/A</v>
      </c>
      <c r="BL43" s="115" t="e">
        <f>VLOOKUP($A43,'S50'!$C:$BQ,60,0)</f>
        <v>#N/A</v>
      </c>
    </row>
    <row r="44" spans="1:64" x14ac:dyDescent="0.2">
      <c r="A44" s="106" t="s">
        <v>100</v>
      </c>
      <c r="B44" s="107">
        <f>VLOOKUP($A44,'S0 remplacer avec S44'!$C:$BQ,32,0)</f>
        <v>96.25</v>
      </c>
      <c r="C44" s="107">
        <f>VLOOKUP($A44,'S0 remplacer avec S44'!$C:$BQ,39,0)</f>
        <v>50</v>
      </c>
      <c r="D44" s="107">
        <f>VLOOKUP($A44,'S0 remplacer avec S44'!$C:$BQ,40,0)</f>
        <v>79</v>
      </c>
      <c r="E44" s="107">
        <f>VLOOKUP($A44,'S0 remplacer avec S44'!$C:$BQ,22,0)</f>
        <v>1076.2046</v>
      </c>
      <c r="F44" s="115">
        <f>VLOOKUP($A44,'S0 remplacer avec S44'!$C:$BQ,29,0)</f>
        <v>248</v>
      </c>
      <c r="G44" s="115">
        <f>VLOOKUP($A44,'S0 remplacer avec S44'!$C:$BQ,30,0)</f>
        <v>513</v>
      </c>
      <c r="H44" s="115">
        <f>VLOOKUP($A44,'S0 remplacer avec S44'!$C:$BQ,52,0)</f>
        <v>63.2</v>
      </c>
      <c r="I44" s="115">
        <f>VLOOKUP($A44,'S0 remplacer avec S44'!$C:$BQ,59,0)</f>
        <v>11</v>
      </c>
      <c r="J44" s="115">
        <f>VLOOKUP($A44,'S0 remplacer avec S44'!$C:$BQ,60,0)</f>
        <v>26</v>
      </c>
      <c r="K44" s="107" t="e">
        <f>VLOOKUP($A44,'S45'!$C:$BQ,32,0)</f>
        <v>#N/A</v>
      </c>
      <c r="L44" s="107" t="e">
        <f>VLOOKUP($A44,'S45'!$C:$BQ,39,0)</f>
        <v>#N/A</v>
      </c>
      <c r="M44" s="107" t="e">
        <f>VLOOKUP($A44,'S45'!$C:$BQ,40,0)</f>
        <v>#N/A</v>
      </c>
      <c r="N44" s="107" t="e">
        <f>VLOOKUP($A44,'S45'!$C:$BQ,22,0)</f>
        <v>#N/A</v>
      </c>
      <c r="O44" s="115" t="e">
        <f>VLOOKUP($A44,'S45'!$C:$BQ,29,0)</f>
        <v>#N/A</v>
      </c>
      <c r="P44" s="115" t="e">
        <f>VLOOKUP($A44,'S45'!$C:$BQ,30,0)</f>
        <v>#N/A</v>
      </c>
      <c r="Q44" s="115" t="e">
        <f>VLOOKUP($A44,'S45'!$C:$BQ,52,0)</f>
        <v>#N/A</v>
      </c>
      <c r="R44" s="115" t="e">
        <f>VLOOKUP($A44,'S45'!$C:$BQ,59,0)</f>
        <v>#N/A</v>
      </c>
      <c r="S44" s="115" t="e">
        <f>VLOOKUP($A44,'S45'!$C:$BQ,60,0)</f>
        <v>#N/A</v>
      </c>
      <c r="T44" s="107" t="e">
        <f>VLOOKUP($A44,'S46'!$C:$BQ,32,0)</f>
        <v>#N/A</v>
      </c>
      <c r="U44" s="107" t="e">
        <f>VLOOKUP($A44,'S46'!$C:$BQ,39,0)</f>
        <v>#N/A</v>
      </c>
      <c r="V44" s="107" t="e">
        <f>VLOOKUP($A44,'S46'!$C:$BQ,40,0)</f>
        <v>#N/A</v>
      </c>
      <c r="W44" s="107" t="e">
        <f>VLOOKUP($A44,'S46'!$C:$BQ,22,0)</f>
        <v>#N/A</v>
      </c>
      <c r="X44" s="115" t="e">
        <f>VLOOKUP($A44,'S46'!$C:$BQ,29,0)</f>
        <v>#N/A</v>
      </c>
      <c r="Y44" s="115" t="e">
        <f>VLOOKUP($A44,'S46'!$C:$BQ,30,0)</f>
        <v>#N/A</v>
      </c>
      <c r="Z44" s="115" t="e">
        <f>VLOOKUP($A44,'S46'!$C:$BQ,52,0)</f>
        <v>#N/A</v>
      </c>
      <c r="AA44" s="115" t="e">
        <f>VLOOKUP($A44,'S46'!$C:$BQ,59,0)</f>
        <v>#N/A</v>
      </c>
      <c r="AB44" s="115" t="e">
        <f>VLOOKUP($A44,'S46'!$C:$BQ,60,0)</f>
        <v>#N/A</v>
      </c>
      <c r="AC44" s="107" t="e">
        <f>VLOOKUP($A44,'S47'!$C:$BQ,32,0)</f>
        <v>#N/A</v>
      </c>
      <c r="AD44" s="107" t="e">
        <f>VLOOKUP($A44,'S47'!$C:$BQ,39,0)</f>
        <v>#N/A</v>
      </c>
      <c r="AE44" s="107" t="e">
        <f>VLOOKUP($A44,'S47'!$C:$BQ,40,0)</f>
        <v>#N/A</v>
      </c>
      <c r="AF44" s="107" t="e">
        <f>VLOOKUP($A44,'S47'!$C:$BQ,22,0)</f>
        <v>#N/A</v>
      </c>
      <c r="AG44" s="115" t="e">
        <f>VLOOKUP($A44,'S47'!$C:$BQ,29,0)</f>
        <v>#N/A</v>
      </c>
      <c r="AH44" s="115" t="e">
        <f>VLOOKUP($A44,'S47'!$C:$BQ,30,0)</f>
        <v>#N/A</v>
      </c>
      <c r="AI44" s="115" t="e">
        <f>VLOOKUP($A44,'S47'!$C:$BQ,52,0)</f>
        <v>#N/A</v>
      </c>
      <c r="AJ44" s="115" t="e">
        <f>VLOOKUP($A44,'S47'!$C:$BQ,59,0)</f>
        <v>#N/A</v>
      </c>
      <c r="AK44" s="115" t="e">
        <f>VLOOKUP($A44,'S47'!$C:$BQ,60,0)</f>
        <v>#N/A</v>
      </c>
      <c r="AL44" s="107" t="e">
        <f>VLOOKUP($A44,'S48'!$C:$BQ,32,0)</f>
        <v>#N/A</v>
      </c>
      <c r="AM44" s="107" t="e">
        <f>VLOOKUP($A44,'S48'!$C:$BQ,39,0)</f>
        <v>#N/A</v>
      </c>
      <c r="AN44" s="107" t="e">
        <f>VLOOKUP($A44,'S48'!$C:$BQ,40,0)</f>
        <v>#N/A</v>
      </c>
      <c r="AO44" s="107" t="e">
        <f>VLOOKUP($A44,'S48'!$C:$BQ,22,0)</f>
        <v>#N/A</v>
      </c>
      <c r="AP44" s="115" t="e">
        <f>VLOOKUP($A44,'S48'!$C:$BQ,29,0)</f>
        <v>#N/A</v>
      </c>
      <c r="AQ44" s="115" t="e">
        <f>VLOOKUP($A44,'S48'!$C:$BQ,30,0)</f>
        <v>#N/A</v>
      </c>
      <c r="AR44" s="115" t="e">
        <f>VLOOKUP($A44,'S48'!$C:$BQ,52,0)</f>
        <v>#N/A</v>
      </c>
      <c r="AS44" s="115" t="e">
        <f>VLOOKUP($A44,'S48'!$C:$BQ,59,0)</f>
        <v>#N/A</v>
      </c>
      <c r="AT44" s="115" t="e">
        <f>VLOOKUP($A44,'S48'!$C:$BQ,60,0)</f>
        <v>#N/A</v>
      </c>
      <c r="AU44" s="107" t="e">
        <f>VLOOKUP($A44,'S49'!$C:$BQ,32,0)</f>
        <v>#N/A</v>
      </c>
      <c r="AV44" s="107" t="e">
        <f>VLOOKUP($A44,'S49'!$C:$BQ,39,0)</f>
        <v>#N/A</v>
      </c>
      <c r="AW44" s="107" t="e">
        <f>VLOOKUP($A44,'S49'!$C:$BQ,40,0)</f>
        <v>#N/A</v>
      </c>
      <c r="AX44" s="107" t="e">
        <f>VLOOKUP($A44,'S49'!$C:$BQ,22,0)</f>
        <v>#N/A</v>
      </c>
      <c r="AY44" s="115" t="e">
        <f>VLOOKUP($A44,'S49'!$C:$BQ,29,0)</f>
        <v>#N/A</v>
      </c>
      <c r="AZ44" s="115" t="e">
        <f>VLOOKUP($A44,'S49'!$C:$BQ,30,0)</f>
        <v>#N/A</v>
      </c>
      <c r="BA44" s="115" t="e">
        <f>VLOOKUP($A44,'S49'!$C:$BQ,52,0)</f>
        <v>#N/A</v>
      </c>
      <c r="BB44" s="115" t="e">
        <f>VLOOKUP($A44,'S49'!$C:$BQ,59,0)</f>
        <v>#N/A</v>
      </c>
      <c r="BC44" s="115" t="e">
        <f>VLOOKUP($A44,'S49'!$C:$BQ,60,0)</f>
        <v>#N/A</v>
      </c>
      <c r="BD44" s="107" t="e">
        <f>VLOOKUP($A44,'S50'!$C:$BQ,32,0)</f>
        <v>#N/A</v>
      </c>
      <c r="BE44" s="107" t="e">
        <f>VLOOKUP($A44,'S50'!$C:$BQ,39,0)</f>
        <v>#N/A</v>
      </c>
      <c r="BF44" s="107" t="e">
        <f>VLOOKUP($A44,'S50'!$C:$BQ,40,0)</f>
        <v>#N/A</v>
      </c>
      <c r="BG44" s="107" t="e">
        <f>VLOOKUP($A44,'S50'!$C:$BQ,22,0)</f>
        <v>#N/A</v>
      </c>
      <c r="BH44" s="115" t="e">
        <f>VLOOKUP($A44,'S50'!$C:$BQ,29,0)</f>
        <v>#N/A</v>
      </c>
      <c r="BI44" s="115" t="e">
        <f>VLOOKUP($A44,'S50'!$C:$BQ,30,0)</f>
        <v>#N/A</v>
      </c>
      <c r="BJ44" s="115" t="e">
        <f>VLOOKUP($A44,'S50'!$C:$BQ,52,0)</f>
        <v>#N/A</v>
      </c>
      <c r="BK44" s="115" t="e">
        <f>VLOOKUP($A44,'S50'!$C:$BQ,59,0)</f>
        <v>#N/A</v>
      </c>
      <c r="BL44" s="115" t="e">
        <f>VLOOKUP($A44,'S50'!$C:$BQ,60,0)</f>
        <v>#N/A</v>
      </c>
    </row>
    <row r="45" spans="1:64" x14ac:dyDescent="0.2">
      <c r="A45" s="106" t="s">
        <v>102</v>
      </c>
      <c r="B45" s="107">
        <f>VLOOKUP($A45,'S0 remplacer avec S44'!$C:$BQ,32,0)</f>
        <v>155.5</v>
      </c>
      <c r="C45" s="107">
        <f>VLOOKUP($A45,'S0 remplacer avec S44'!$C:$BQ,39,0)</f>
        <v>32</v>
      </c>
      <c r="D45" s="107">
        <f>VLOOKUP($A45,'S0 remplacer avec S44'!$C:$BQ,40,0)</f>
        <v>69</v>
      </c>
      <c r="E45" s="107">
        <f>VLOOKUP($A45,'S0 remplacer avec S44'!$C:$BQ,22,0)</f>
        <v>1375.4146149999999</v>
      </c>
      <c r="F45" s="115">
        <f>VLOOKUP($A45,'S0 remplacer avec S44'!$C:$BQ,29,0)</f>
        <v>323</v>
      </c>
      <c r="G45" s="115">
        <f>VLOOKUP($A45,'S0 remplacer avec S44'!$C:$BQ,30,0)</f>
        <v>663</v>
      </c>
      <c r="H45" s="115">
        <f>VLOOKUP($A45,'S0 remplacer avec S44'!$C:$BQ,52,0)</f>
        <v>118</v>
      </c>
      <c r="I45" s="115">
        <f>VLOOKUP($A45,'S0 remplacer avec S44'!$C:$BQ,59,0)</f>
        <v>0</v>
      </c>
      <c r="J45" s="115">
        <f>VLOOKUP($A45,'S0 remplacer avec S44'!$C:$BQ,60,0)</f>
        <v>0</v>
      </c>
      <c r="K45" s="107" t="e">
        <f>VLOOKUP($A45,'S45'!$C:$BQ,32,0)</f>
        <v>#N/A</v>
      </c>
      <c r="L45" s="107" t="e">
        <f>VLOOKUP($A45,'S45'!$C:$BQ,39,0)</f>
        <v>#N/A</v>
      </c>
      <c r="M45" s="107" t="e">
        <f>VLOOKUP($A45,'S45'!$C:$BQ,40,0)</f>
        <v>#N/A</v>
      </c>
      <c r="N45" s="107" t="e">
        <f>VLOOKUP($A45,'S45'!$C:$BQ,22,0)</f>
        <v>#N/A</v>
      </c>
      <c r="O45" s="115" t="e">
        <f>VLOOKUP($A45,'S45'!$C:$BQ,29,0)</f>
        <v>#N/A</v>
      </c>
      <c r="P45" s="115" t="e">
        <f>VLOOKUP($A45,'S45'!$C:$BQ,30,0)</f>
        <v>#N/A</v>
      </c>
      <c r="Q45" s="115" t="e">
        <f>VLOOKUP($A45,'S45'!$C:$BQ,52,0)</f>
        <v>#N/A</v>
      </c>
      <c r="R45" s="115" t="e">
        <f>VLOOKUP($A45,'S45'!$C:$BQ,59,0)</f>
        <v>#N/A</v>
      </c>
      <c r="S45" s="115" t="e">
        <f>VLOOKUP($A45,'S45'!$C:$BQ,60,0)</f>
        <v>#N/A</v>
      </c>
      <c r="T45" s="107" t="e">
        <f>VLOOKUP($A45,'S46'!$C:$BQ,32,0)</f>
        <v>#N/A</v>
      </c>
      <c r="U45" s="107" t="e">
        <f>VLOOKUP($A45,'S46'!$C:$BQ,39,0)</f>
        <v>#N/A</v>
      </c>
      <c r="V45" s="107" t="e">
        <f>VLOOKUP($A45,'S46'!$C:$BQ,40,0)</f>
        <v>#N/A</v>
      </c>
      <c r="W45" s="107" t="e">
        <f>VLOOKUP($A45,'S46'!$C:$BQ,22,0)</f>
        <v>#N/A</v>
      </c>
      <c r="X45" s="115" t="e">
        <f>VLOOKUP($A45,'S46'!$C:$BQ,29,0)</f>
        <v>#N/A</v>
      </c>
      <c r="Y45" s="115" t="e">
        <f>VLOOKUP($A45,'S46'!$C:$BQ,30,0)</f>
        <v>#N/A</v>
      </c>
      <c r="Z45" s="115" t="e">
        <f>VLOOKUP($A45,'S46'!$C:$BQ,52,0)</f>
        <v>#N/A</v>
      </c>
      <c r="AA45" s="115" t="e">
        <f>VLOOKUP($A45,'S46'!$C:$BQ,59,0)</f>
        <v>#N/A</v>
      </c>
      <c r="AB45" s="115" t="e">
        <f>VLOOKUP($A45,'S46'!$C:$BQ,60,0)</f>
        <v>#N/A</v>
      </c>
      <c r="AC45" s="107" t="e">
        <f>VLOOKUP($A45,'S47'!$C:$BQ,32,0)</f>
        <v>#N/A</v>
      </c>
      <c r="AD45" s="107" t="e">
        <f>VLOOKUP($A45,'S47'!$C:$BQ,39,0)</f>
        <v>#N/A</v>
      </c>
      <c r="AE45" s="107" t="e">
        <f>VLOOKUP($A45,'S47'!$C:$BQ,40,0)</f>
        <v>#N/A</v>
      </c>
      <c r="AF45" s="107" t="e">
        <f>VLOOKUP($A45,'S47'!$C:$BQ,22,0)</f>
        <v>#N/A</v>
      </c>
      <c r="AG45" s="115" t="e">
        <f>VLOOKUP($A45,'S47'!$C:$BQ,29,0)</f>
        <v>#N/A</v>
      </c>
      <c r="AH45" s="115" t="e">
        <f>VLOOKUP($A45,'S47'!$C:$BQ,30,0)</f>
        <v>#N/A</v>
      </c>
      <c r="AI45" s="115" t="e">
        <f>VLOOKUP($A45,'S47'!$C:$BQ,52,0)</f>
        <v>#N/A</v>
      </c>
      <c r="AJ45" s="115" t="e">
        <f>VLOOKUP($A45,'S47'!$C:$BQ,59,0)</f>
        <v>#N/A</v>
      </c>
      <c r="AK45" s="115" t="e">
        <f>VLOOKUP($A45,'S47'!$C:$BQ,60,0)</f>
        <v>#N/A</v>
      </c>
      <c r="AL45" s="107" t="e">
        <f>VLOOKUP($A45,'S48'!$C:$BQ,32,0)</f>
        <v>#N/A</v>
      </c>
      <c r="AM45" s="107" t="e">
        <f>VLOOKUP($A45,'S48'!$C:$BQ,39,0)</f>
        <v>#N/A</v>
      </c>
      <c r="AN45" s="107" t="e">
        <f>VLOOKUP($A45,'S48'!$C:$BQ,40,0)</f>
        <v>#N/A</v>
      </c>
      <c r="AO45" s="107" t="e">
        <f>VLOOKUP($A45,'S48'!$C:$BQ,22,0)</f>
        <v>#N/A</v>
      </c>
      <c r="AP45" s="115" t="e">
        <f>VLOOKUP($A45,'S48'!$C:$BQ,29,0)</f>
        <v>#N/A</v>
      </c>
      <c r="AQ45" s="115" t="e">
        <f>VLOOKUP($A45,'S48'!$C:$BQ,30,0)</f>
        <v>#N/A</v>
      </c>
      <c r="AR45" s="115" t="e">
        <f>VLOOKUP($A45,'S48'!$C:$BQ,52,0)</f>
        <v>#N/A</v>
      </c>
      <c r="AS45" s="115" t="e">
        <f>VLOOKUP($A45,'S48'!$C:$BQ,59,0)</f>
        <v>#N/A</v>
      </c>
      <c r="AT45" s="115" t="e">
        <f>VLOOKUP($A45,'S48'!$C:$BQ,60,0)</f>
        <v>#N/A</v>
      </c>
      <c r="AU45" s="107" t="e">
        <f>VLOOKUP($A45,'S49'!$C:$BQ,32,0)</f>
        <v>#N/A</v>
      </c>
      <c r="AV45" s="107" t="e">
        <f>VLOOKUP($A45,'S49'!$C:$BQ,39,0)</f>
        <v>#N/A</v>
      </c>
      <c r="AW45" s="107" t="e">
        <f>VLOOKUP($A45,'S49'!$C:$BQ,40,0)</f>
        <v>#N/A</v>
      </c>
      <c r="AX45" s="107" t="e">
        <f>VLOOKUP($A45,'S49'!$C:$BQ,22,0)</f>
        <v>#N/A</v>
      </c>
      <c r="AY45" s="115" t="e">
        <f>VLOOKUP($A45,'S49'!$C:$BQ,29,0)</f>
        <v>#N/A</v>
      </c>
      <c r="AZ45" s="115" t="e">
        <f>VLOOKUP($A45,'S49'!$C:$BQ,30,0)</f>
        <v>#N/A</v>
      </c>
      <c r="BA45" s="115" t="e">
        <f>VLOOKUP($A45,'S49'!$C:$BQ,52,0)</f>
        <v>#N/A</v>
      </c>
      <c r="BB45" s="115" t="e">
        <f>VLOOKUP($A45,'S49'!$C:$BQ,59,0)</f>
        <v>#N/A</v>
      </c>
      <c r="BC45" s="115" t="e">
        <f>VLOOKUP($A45,'S49'!$C:$BQ,60,0)</f>
        <v>#N/A</v>
      </c>
      <c r="BD45" s="107" t="e">
        <f>VLOOKUP($A45,'S50'!$C:$BQ,32,0)</f>
        <v>#N/A</v>
      </c>
      <c r="BE45" s="107" t="e">
        <f>VLOOKUP($A45,'S50'!$C:$BQ,39,0)</f>
        <v>#N/A</v>
      </c>
      <c r="BF45" s="107" t="e">
        <f>VLOOKUP($A45,'S50'!$C:$BQ,40,0)</f>
        <v>#N/A</v>
      </c>
      <c r="BG45" s="107" t="e">
        <f>VLOOKUP($A45,'S50'!$C:$BQ,22,0)</f>
        <v>#N/A</v>
      </c>
      <c r="BH45" s="115" t="e">
        <f>VLOOKUP($A45,'S50'!$C:$BQ,29,0)</f>
        <v>#N/A</v>
      </c>
      <c r="BI45" s="115" t="e">
        <f>VLOOKUP($A45,'S50'!$C:$BQ,30,0)</f>
        <v>#N/A</v>
      </c>
      <c r="BJ45" s="115" t="e">
        <f>VLOOKUP($A45,'S50'!$C:$BQ,52,0)</f>
        <v>#N/A</v>
      </c>
      <c r="BK45" s="115" t="e">
        <f>VLOOKUP($A45,'S50'!$C:$BQ,59,0)</f>
        <v>#N/A</v>
      </c>
      <c r="BL45" s="115" t="e">
        <f>VLOOKUP($A45,'S50'!$C:$BQ,60,0)</f>
        <v>#N/A</v>
      </c>
    </row>
    <row r="46" spans="1:64" x14ac:dyDescent="0.2">
      <c r="A46" s="106" t="s">
        <v>103</v>
      </c>
      <c r="B46" s="107">
        <f>VLOOKUP($A46,'S0 remplacer avec S44'!$C:$BQ,32,0)</f>
        <v>120.5</v>
      </c>
      <c r="C46" s="107">
        <f>VLOOKUP($A46,'S0 remplacer avec S44'!$C:$BQ,39,0)</f>
        <v>111</v>
      </c>
      <c r="D46" s="107">
        <f>VLOOKUP($A46,'S0 remplacer avec S44'!$C:$BQ,40,0)</f>
        <v>157</v>
      </c>
      <c r="E46" s="107">
        <f>VLOOKUP($A46,'S0 remplacer avec S44'!$C:$BQ,22,0)</f>
        <v>1623.6324750000001</v>
      </c>
      <c r="F46" s="115">
        <f>VLOOKUP($A46,'S0 remplacer avec S44'!$C:$BQ,29,0)</f>
        <v>476</v>
      </c>
      <c r="G46" s="115">
        <f>VLOOKUP($A46,'S0 remplacer avec S44'!$C:$BQ,30,0)</f>
        <v>895</v>
      </c>
      <c r="H46" s="115">
        <f>VLOOKUP($A46,'S0 remplacer avec S44'!$C:$BQ,52,0)</f>
        <v>90.6</v>
      </c>
      <c r="I46" s="115">
        <f>VLOOKUP($A46,'S0 remplacer avec S44'!$C:$BQ,59,0)</f>
        <v>27</v>
      </c>
      <c r="J46" s="115">
        <f>VLOOKUP($A46,'S0 remplacer avec S44'!$C:$BQ,60,0)</f>
        <v>51</v>
      </c>
      <c r="K46" s="107" t="e">
        <f>VLOOKUP($A46,'S45'!$C:$BQ,32,0)</f>
        <v>#N/A</v>
      </c>
      <c r="L46" s="107" t="e">
        <f>VLOOKUP($A46,'S45'!$C:$BQ,39,0)</f>
        <v>#N/A</v>
      </c>
      <c r="M46" s="107" t="e">
        <f>VLOOKUP($A46,'S45'!$C:$BQ,40,0)</f>
        <v>#N/A</v>
      </c>
      <c r="N46" s="107" t="e">
        <f>VLOOKUP($A46,'S45'!$C:$BQ,22,0)</f>
        <v>#N/A</v>
      </c>
      <c r="O46" s="115" t="e">
        <f>VLOOKUP($A46,'S45'!$C:$BQ,29,0)</f>
        <v>#N/A</v>
      </c>
      <c r="P46" s="115" t="e">
        <f>VLOOKUP($A46,'S45'!$C:$BQ,30,0)</f>
        <v>#N/A</v>
      </c>
      <c r="Q46" s="115" t="e">
        <f>VLOOKUP($A46,'S45'!$C:$BQ,52,0)</f>
        <v>#N/A</v>
      </c>
      <c r="R46" s="115" t="e">
        <f>VLOOKUP($A46,'S45'!$C:$BQ,59,0)</f>
        <v>#N/A</v>
      </c>
      <c r="S46" s="115" t="e">
        <f>VLOOKUP($A46,'S45'!$C:$BQ,60,0)</f>
        <v>#N/A</v>
      </c>
      <c r="T46" s="107" t="e">
        <f>VLOOKUP($A46,'S46'!$C:$BQ,32,0)</f>
        <v>#N/A</v>
      </c>
      <c r="U46" s="107" t="e">
        <f>VLOOKUP($A46,'S46'!$C:$BQ,39,0)</f>
        <v>#N/A</v>
      </c>
      <c r="V46" s="107" t="e">
        <f>VLOOKUP($A46,'S46'!$C:$BQ,40,0)</f>
        <v>#N/A</v>
      </c>
      <c r="W46" s="107" t="e">
        <f>VLOOKUP($A46,'S46'!$C:$BQ,22,0)</f>
        <v>#N/A</v>
      </c>
      <c r="X46" s="115" t="e">
        <f>VLOOKUP($A46,'S46'!$C:$BQ,29,0)</f>
        <v>#N/A</v>
      </c>
      <c r="Y46" s="115" t="e">
        <f>VLOOKUP($A46,'S46'!$C:$BQ,30,0)</f>
        <v>#N/A</v>
      </c>
      <c r="Z46" s="115" t="e">
        <f>VLOOKUP($A46,'S46'!$C:$BQ,52,0)</f>
        <v>#N/A</v>
      </c>
      <c r="AA46" s="115" t="e">
        <f>VLOOKUP($A46,'S46'!$C:$BQ,59,0)</f>
        <v>#N/A</v>
      </c>
      <c r="AB46" s="115" t="e">
        <f>VLOOKUP($A46,'S46'!$C:$BQ,60,0)</f>
        <v>#N/A</v>
      </c>
      <c r="AC46" s="107" t="e">
        <f>VLOOKUP($A46,'S47'!$C:$BQ,32,0)</f>
        <v>#N/A</v>
      </c>
      <c r="AD46" s="107" t="e">
        <f>VLOOKUP($A46,'S47'!$C:$BQ,39,0)</f>
        <v>#N/A</v>
      </c>
      <c r="AE46" s="107" t="e">
        <f>VLOOKUP($A46,'S47'!$C:$BQ,40,0)</f>
        <v>#N/A</v>
      </c>
      <c r="AF46" s="107" t="e">
        <f>VLOOKUP($A46,'S47'!$C:$BQ,22,0)</f>
        <v>#N/A</v>
      </c>
      <c r="AG46" s="115" t="e">
        <f>VLOOKUP($A46,'S47'!$C:$BQ,29,0)</f>
        <v>#N/A</v>
      </c>
      <c r="AH46" s="115" t="e">
        <f>VLOOKUP($A46,'S47'!$C:$BQ,30,0)</f>
        <v>#N/A</v>
      </c>
      <c r="AI46" s="115" t="e">
        <f>VLOOKUP($A46,'S47'!$C:$BQ,52,0)</f>
        <v>#N/A</v>
      </c>
      <c r="AJ46" s="115" t="e">
        <f>VLOOKUP($A46,'S47'!$C:$BQ,59,0)</f>
        <v>#N/A</v>
      </c>
      <c r="AK46" s="115" t="e">
        <f>VLOOKUP($A46,'S47'!$C:$BQ,60,0)</f>
        <v>#N/A</v>
      </c>
      <c r="AL46" s="107" t="e">
        <f>VLOOKUP($A46,'S48'!$C:$BQ,32,0)</f>
        <v>#N/A</v>
      </c>
      <c r="AM46" s="107" t="e">
        <f>VLOOKUP($A46,'S48'!$C:$BQ,39,0)</f>
        <v>#N/A</v>
      </c>
      <c r="AN46" s="107" t="e">
        <f>VLOOKUP($A46,'S48'!$C:$BQ,40,0)</f>
        <v>#N/A</v>
      </c>
      <c r="AO46" s="107" t="e">
        <f>VLOOKUP($A46,'S48'!$C:$BQ,22,0)</f>
        <v>#N/A</v>
      </c>
      <c r="AP46" s="115" t="e">
        <f>VLOOKUP($A46,'S48'!$C:$BQ,29,0)</f>
        <v>#N/A</v>
      </c>
      <c r="AQ46" s="115" t="e">
        <f>VLOOKUP($A46,'S48'!$C:$BQ,30,0)</f>
        <v>#N/A</v>
      </c>
      <c r="AR46" s="115" t="e">
        <f>VLOOKUP($A46,'S48'!$C:$BQ,52,0)</f>
        <v>#N/A</v>
      </c>
      <c r="AS46" s="115" t="e">
        <f>VLOOKUP($A46,'S48'!$C:$BQ,59,0)</f>
        <v>#N/A</v>
      </c>
      <c r="AT46" s="115" t="e">
        <f>VLOOKUP($A46,'S48'!$C:$BQ,60,0)</f>
        <v>#N/A</v>
      </c>
      <c r="AU46" s="107" t="e">
        <f>VLOOKUP($A46,'S49'!$C:$BQ,32,0)</f>
        <v>#N/A</v>
      </c>
      <c r="AV46" s="107" t="e">
        <f>VLOOKUP($A46,'S49'!$C:$BQ,39,0)</f>
        <v>#N/A</v>
      </c>
      <c r="AW46" s="107" t="e">
        <f>VLOOKUP($A46,'S49'!$C:$BQ,40,0)</f>
        <v>#N/A</v>
      </c>
      <c r="AX46" s="107" t="e">
        <f>VLOOKUP($A46,'S49'!$C:$BQ,22,0)</f>
        <v>#N/A</v>
      </c>
      <c r="AY46" s="115" t="e">
        <f>VLOOKUP($A46,'S49'!$C:$BQ,29,0)</f>
        <v>#N/A</v>
      </c>
      <c r="AZ46" s="115" t="e">
        <f>VLOOKUP($A46,'S49'!$C:$BQ,30,0)</f>
        <v>#N/A</v>
      </c>
      <c r="BA46" s="115" t="e">
        <f>VLOOKUP($A46,'S49'!$C:$BQ,52,0)</f>
        <v>#N/A</v>
      </c>
      <c r="BB46" s="115" t="e">
        <f>VLOOKUP($A46,'S49'!$C:$BQ,59,0)</f>
        <v>#N/A</v>
      </c>
      <c r="BC46" s="115" t="e">
        <f>VLOOKUP($A46,'S49'!$C:$BQ,60,0)</f>
        <v>#N/A</v>
      </c>
      <c r="BD46" s="107" t="e">
        <f>VLOOKUP($A46,'S50'!$C:$BQ,32,0)</f>
        <v>#N/A</v>
      </c>
      <c r="BE46" s="107" t="e">
        <f>VLOOKUP($A46,'S50'!$C:$BQ,39,0)</f>
        <v>#N/A</v>
      </c>
      <c r="BF46" s="107" t="e">
        <f>VLOOKUP($A46,'S50'!$C:$BQ,40,0)</f>
        <v>#N/A</v>
      </c>
      <c r="BG46" s="107" t="e">
        <f>VLOOKUP($A46,'S50'!$C:$BQ,22,0)</f>
        <v>#N/A</v>
      </c>
      <c r="BH46" s="115" t="e">
        <f>VLOOKUP($A46,'S50'!$C:$BQ,29,0)</f>
        <v>#N/A</v>
      </c>
      <c r="BI46" s="115" t="e">
        <f>VLOOKUP($A46,'S50'!$C:$BQ,30,0)</f>
        <v>#N/A</v>
      </c>
      <c r="BJ46" s="115" t="e">
        <f>VLOOKUP($A46,'S50'!$C:$BQ,52,0)</f>
        <v>#N/A</v>
      </c>
      <c r="BK46" s="115" t="e">
        <f>VLOOKUP($A46,'S50'!$C:$BQ,59,0)</f>
        <v>#N/A</v>
      </c>
      <c r="BL46" s="115" t="e">
        <f>VLOOKUP($A46,'S50'!$C:$BQ,60,0)</f>
        <v>#N/A</v>
      </c>
    </row>
    <row r="47" spans="1:64" x14ac:dyDescent="0.2">
      <c r="A47" s="106" t="s">
        <v>104</v>
      </c>
      <c r="B47" s="107">
        <f>VLOOKUP($A47,'S0 remplacer avec S44'!$C:$BQ,32,0)</f>
        <v>143.1</v>
      </c>
      <c r="C47" s="107">
        <f>VLOOKUP($A47,'S0 remplacer avec S44'!$C:$BQ,39,0)</f>
        <v>142</v>
      </c>
      <c r="D47" s="107">
        <f>VLOOKUP($A47,'S0 remplacer avec S44'!$C:$BQ,40,0)</f>
        <v>199</v>
      </c>
      <c r="E47" s="107">
        <f>VLOOKUP($A47,'S0 remplacer avec S44'!$C:$BQ,22,0)</f>
        <v>1433.9956099999999</v>
      </c>
      <c r="F47" s="115">
        <f>VLOOKUP($A47,'S0 remplacer avec S44'!$C:$BQ,29,0)</f>
        <v>1153</v>
      </c>
      <c r="G47" s="115">
        <f>VLOOKUP($A47,'S0 remplacer avec S44'!$C:$BQ,30,0)</f>
        <v>1670</v>
      </c>
      <c r="H47" s="115">
        <f>VLOOKUP($A47,'S0 remplacer avec S44'!$C:$BQ,52,0)</f>
        <v>102.6</v>
      </c>
      <c r="I47" s="115">
        <f>VLOOKUP($A47,'S0 remplacer avec S44'!$C:$BQ,59,0)</f>
        <v>42</v>
      </c>
      <c r="J47" s="115">
        <f>VLOOKUP($A47,'S0 remplacer avec S44'!$C:$BQ,60,0)</f>
        <v>71</v>
      </c>
      <c r="K47" s="107" t="e">
        <f>VLOOKUP($A47,'S45'!$C:$BQ,32,0)</f>
        <v>#N/A</v>
      </c>
      <c r="L47" s="107" t="e">
        <f>VLOOKUP($A47,'S45'!$C:$BQ,39,0)</f>
        <v>#N/A</v>
      </c>
      <c r="M47" s="107" t="e">
        <f>VLOOKUP($A47,'S45'!$C:$BQ,40,0)</f>
        <v>#N/A</v>
      </c>
      <c r="N47" s="107" t="e">
        <f>VLOOKUP($A47,'S45'!$C:$BQ,22,0)</f>
        <v>#N/A</v>
      </c>
      <c r="O47" s="115" t="e">
        <f>VLOOKUP($A47,'S45'!$C:$BQ,29,0)</f>
        <v>#N/A</v>
      </c>
      <c r="P47" s="115" t="e">
        <f>VLOOKUP($A47,'S45'!$C:$BQ,30,0)</f>
        <v>#N/A</v>
      </c>
      <c r="Q47" s="115" t="e">
        <f>VLOOKUP($A47,'S45'!$C:$BQ,52,0)</f>
        <v>#N/A</v>
      </c>
      <c r="R47" s="115" t="e">
        <f>VLOOKUP($A47,'S45'!$C:$BQ,59,0)</f>
        <v>#N/A</v>
      </c>
      <c r="S47" s="115" t="e">
        <f>VLOOKUP($A47,'S45'!$C:$BQ,60,0)</f>
        <v>#N/A</v>
      </c>
      <c r="T47" s="107" t="e">
        <f>VLOOKUP($A47,'S46'!$C:$BQ,32,0)</f>
        <v>#N/A</v>
      </c>
      <c r="U47" s="107" t="e">
        <f>VLOOKUP($A47,'S46'!$C:$BQ,39,0)</f>
        <v>#N/A</v>
      </c>
      <c r="V47" s="107" t="e">
        <f>VLOOKUP($A47,'S46'!$C:$BQ,40,0)</f>
        <v>#N/A</v>
      </c>
      <c r="W47" s="107" t="e">
        <f>VLOOKUP($A47,'S46'!$C:$BQ,22,0)</f>
        <v>#N/A</v>
      </c>
      <c r="X47" s="115" t="e">
        <f>VLOOKUP($A47,'S46'!$C:$BQ,29,0)</f>
        <v>#N/A</v>
      </c>
      <c r="Y47" s="115" t="e">
        <f>VLOOKUP($A47,'S46'!$C:$BQ,30,0)</f>
        <v>#N/A</v>
      </c>
      <c r="Z47" s="115" t="e">
        <f>VLOOKUP($A47,'S46'!$C:$BQ,52,0)</f>
        <v>#N/A</v>
      </c>
      <c r="AA47" s="115" t="e">
        <f>VLOOKUP($A47,'S46'!$C:$BQ,59,0)</f>
        <v>#N/A</v>
      </c>
      <c r="AB47" s="115" t="e">
        <f>VLOOKUP($A47,'S46'!$C:$BQ,60,0)</f>
        <v>#N/A</v>
      </c>
      <c r="AC47" s="107" t="e">
        <f>VLOOKUP($A47,'S47'!$C:$BQ,32,0)</f>
        <v>#N/A</v>
      </c>
      <c r="AD47" s="107" t="e">
        <f>VLOOKUP($A47,'S47'!$C:$BQ,39,0)</f>
        <v>#N/A</v>
      </c>
      <c r="AE47" s="107" t="e">
        <f>VLOOKUP($A47,'S47'!$C:$BQ,40,0)</f>
        <v>#N/A</v>
      </c>
      <c r="AF47" s="107" t="e">
        <f>VLOOKUP($A47,'S47'!$C:$BQ,22,0)</f>
        <v>#N/A</v>
      </c>
      <c r="AG47" s="115" t="e">
        <f>VLOOKUP($A47,'S47'!$C:$BQ,29,0)</f>
        <v>#N/A</v>
      </c>
      <c r="AH47" s="115" t="e">
        <f>VLOOKUP($A47,'S47'!$C:$BQ,30,0)</f>
        <v>#N/A</v>
      </c>
      <c r="AI47" s="115" t="e">
        <f>VLOOKUP($A47,'S47'!$C:$BQ,52,0)</f>
        <v>#N/A</v>
      </c>
      <c r="AJ47" s="115" t="e">
        <f>VLOOKUP($A47,'S47'!$C:$BQ,59,0)</f>
        <v>#N/A</v>
      </c>
      <c r="AK47" s="115" t="e">
        <f>VLOOKUP($A47,'S47'!$C:$BQ,60,0)</f>
        <v>#N/A</v>
      </c>
      <c r="AL47" s="107" t="e">
        <f>VLOOKUP($A47,'S48'!$C:$BQ,32,0)</f>
        <v>#N/A</v>
      </c>
      <c r="AM47" s="107" t="e">
        <f>VLOOKUP($A47,'S48'!$C:$BQ,39,0)</f>
        <v>#N/A</v>
      </c>
      <c r="AN47" s="107" t="e">
        <f>VLOOKUP($A47,'S48'!$C:$BQ,40,0)</f>
        <v>#N/A</v>
      </c>
      <c r="AO47" s="107" t="e">
        <f>VLOOKUP($A47,'S48'!$C:$BQ,22,0)</f>
        <v>#N/A</v>
      </c>
      <c r="AP47" s="115" t="e">
        <f>VLOOKUP($A47,'S48'!$C:$BQ,29,0)</f>
        <v>#N/A</v>
      </c>
      <c r="AQ47" s="115" t="e">
        <f>VLOOKUP($A47,'S48'!$C:$BQ,30,0)</f>
        <v>#N/A</v>
      </c>
      <c r="AR47" s="115" t="e">
        <f>VLOOKUP($A47,'S48'!$C:$BQ,52,0)</f>
        <v>#N/A</v>
      </c>
      <c r="AS47" s="115" t="e">
        <f>VLOOKUP($A47,'S48'!$C:$BQ,59,0)</f>
        <v>#N/A</v>
      </c>
      <c r="AT47" s="115" t="e">
        <f>VLOOKUP($A47,'S48'!$C:$BQ,60,0)</f>
        <v>#N/A</v>
      </c>
      <c r="AU47" s="107" t="e">
        <f>VLOOKUP($A47,'S49'!$C:$BQ,32,0)</f>
        <v>#N/A</v>
      </c>
      <c r="AV47" s="107" t="e">
        <f>VLOOKUP($A47,'S49'!$C:$BQ,39,0)</f>
        <v>#N/A</v>
      </c>
      <c r="AW47" s="107" t="e">
        <f>VLOOKUP($A47,'S49'!$C:$BQ,40,0)</f>
        <v>#N/A</v>
      </c>
      <c r="AX47" s="107" t="e">
        <f>VLOOKUP($A47,'S49'!$C:$BQ,22,0)</f>
        <v>#N/A</v>
      </c>
      <c r="AY47" s="115" t="e">
        <f>VLOOKUP($A47,'S49'!$C:$BQ,29,0)</f>
        <v>#N/A</v>
      </c>
      <c r="AZ47" s="115" t="e">
        <f>VLOOKUP($A47,'S49'!$C:$BQ,30,0)</f>
        <v>#N/A</v>
      </c>
      <c r="BA47" s="115" t="e">
        <f>VLOOKUP($A47,'S49'!$C:$BQ,52,0)</f>
        <v>#N/A</v>
      </c>
      <c r="BB47" s="115" t="e">
        <f>VLOOKUP($A47,'S49'!$C:$BQ,59,0)</f>
        <v>#N/A</v>
      </c>
      <c r="BC47" s="115" t="e">
        <f>VLOOKUP($A47,'S49'!$C:$BQ,60,0)</f>
        <v>#N/A</v>
      </c>
      <c r="BD47" s="107" t="e">
        <f>VLOOKUP($A47,'S50'!$C:$BQ,32,0)</f>
        <v>#N/A</v>
      </c>
      <c r="BE47" s="107" t="e">
        <f>VLOOKUP($A47,'S50'!$C:$BQ,39,0)</f>
        <v>#N/A</v>
      </c>
      <c r="BF47" s="107" t="e">
        <f>VLOOKUP($A47,'S50'!$C:$BQ,40,0)</f>
        <v>#N/A</v>
      </c>
      <c r="BG47" s="107" t="e">
        <f>VLOOKUP($A47,'S50'!$C:$BQ,22,0)</f>
        <v>#N/A</v>
      </c>
      <c r="BH47" s="115" t="e">
        <f>VLOOKUP($A47,'S50'!$C:$BQ,29,0)</f>
        <v>#N/A</v>
      </c>
      <c r="BI47" s="115" t="e">
        <f>VLOOKUP($A47,'S50'!$C:$BQ,30,0)</f>
        <v>#N/A</v>
      </c>
      <c r="BJ47" s="115" t="e">
        <f>VLOOKUP($A47,'S50'!$C:$BQ,52,0)</f>
        <v>#N/A</v>
      </c>
      <c r="BK47" s="115" t="e">
        <f>VLOOKUP($A47,'S50'!$C:$BQ,59,0)</f>
        <v>#N/A</v>
      </c>
      <c r="BL47" s="115" t="e">
        <f>VLOOKUP($A47,'S50'!$C:$BQ,60,0)</f>
        <v>#N/A</v>
      </c>
    </row>
    <row r="48" spans="1:64" x14ac:dyDescent="0.2">
      <c r="A48" s="106" t="s">
        <v>105</v>
      </c>
      <c r="B48" s="107">
        <f>VLOOKUP($A48,'S0 remplacer avec S44'!$C:$BQ,32,0)</f>
        <v>143.44999999999999</v>
      </c>
      <c r="C48" s="107">
        <f>VLOOKUP($A48,'S0 remplacer avec S44'!$C:$BQ,39,0)</f>
        <v>0</v>
      </c>
      <c r="D48" s="107">
        <f>VLOOKUP($A48,'S0 remplacer avec S44'!$C:$BQ,40,0)</f>
        <v>24</v>
      </c>
      <c r="E48" s="107">
        <f>VLOOKUP($A48,'S0 remplacer avec S44'!$C:$BQ,22,0)</f>
        <v>1098.531555</v>
      </c>
      <c r="F48" s="115">
        <f>VLOOKUP($A48,'S0 remplacer avec S44'!$C:$BQ,29,0)</f>
        <v>168</v>
      </c>
      <c r="G48" s="115">
        <f>VLOOKUP($A48,'S0 remplacer avec S44'!$C:$BQ,30,0)</f>
        <v>421</v>
      </c>
      <c r="H48" s="115">
        <f>VLOOKUP($A48,'S0 remplacer avec S44'!$C:$BQ,52,0)</f>
        <v>102.6</v>
      </c>
      <c r="I48" s="115">
        <f>VLOOKUP($A48,'S0 remplacer avec S44'!$C:$BQ,59,0)</f>
        <v>0</v>
      </c>
      <c r="J48" s="115">
        <f>VLOOKUP($A48,'S0 remplacer avec S44'!$C:$BQ,60,0)</f>
        <v>0</v>
      </c>
      <c r="K48" s="107" t="e">
        <f>VLOOKUP($A48,'S45'!$C:$BQ,32,0)</f>
        <v>#N/A</v>
      </c>
      <c r="L48" s="107" t="e">
        <f>VLOOKUP($A48,'S45'!$C:$BQ,39,0)</f>
        <v>#N/A</v>
      </c>
      <c r="M48" s="107" t="e">
        <f>VLOOKUP($A48,'S45'!$C:$BQ,40,0)</f>
        <v>#N/A</v>
      </c>
      <c r="N48" s="107" t="e">
        <f>VLOOKUP($A48,'S45'!$C:$BQ,22,0)</f>
        <v>#N/A</v>
      </c>
      <c r="O48" s="115" t="e">
        <f>VLOOKUP($A48,'S45'!$C:$BQ,29,0)</f>
        <v>#N/A</v>
      </c>
      <c r="P48" s="115" t="e">
        <f>VLOOKUP($A48,'S45'!$C:$BQ,30,0)</f>
        <v>#N/A</v>
      </c>
      <c r="Q48" s="115" t="e">
        <f>VLOOKUP($A48,'S45'!$C:$BQ,52,0)</f>
        <v>#N/A</v>
      </c>
      <c r="R48" s="115" t="e">
        <f>VLOOKUP($A48,'S45'!$C:$BQ,59,0)</f>
        <v>#N/A</v>
      </c>
      <c r="S48" s="115" t="e">
        <f>VLOOKUP($A48,'S45'!$C:$BQ,60,0)</f>
        <v>#N/A</v>
      </c>
      <c r="T48" s="107" t="e">
        <f>VLOOKUP($A48,'S46'!$C:$BQ,32,0)</f>
        <v>#N/A</v>
      </c>
      <c r="U48" s="107" t="e">
        <f>VLOOKUP($A48,'S46'!$C:$BQ,39,0)</f>
        <v>#N/A</v>
      </c>
      <c r="V48" s="107" t="e">
        <f>VLOOKUP($A48,'S46'!$C:$BQ,40,0)</f>
        <v>#N/A</v>
      </c>
      <c r="W48" s="107" t="e">
        <f>VLOOKUP($A48,'S46'!$C:$BQ,22,0)</f>
        <v>#N/A</v>
      </c>
      <c r="X48" s="115" t="e">
        <f>VLOOKUP($A48,'S46'!$C:$BQ,29,0)</f>
        <v>#N/A</v>
      </c>
      <c r="Y48" s="115" t="e">
        <f>VLOOKUP($A48,'S46'!$C:$BQ,30,0)</f>
        <v>#N/A</v>
      </c>
      <c r="Z48" s="115" t="e">
        <f>VLOOKUP($A48,'S46'!$C:$BQ,52,0)</f>
        <v>#N/A</v>
      </c>
      <c r="AA48" s="115" t="e">
        <f>VLOOKUP($A48,'S46'!$C:$BQ,59,0)</f>
        <v>#N/A</v>
      </c>
      <c r="AB48" s="115" t="e">
        <f>VLOOKUP($A48,'S46'!$C:$BQ,60,0)</f>
        <v>#N/A</v>
      </c>
      <c r="AC48" s="107" t="e">
        <f>VLOOKUP($A48,'S47'!$C:$BQ,32,0)</f>
        <v>#N/A</v>
      </c>
      <c r="AD48" s="107" t="e">
        <f>VLOOKUP($A48,'S47'!$C:$BQ,39,0)</f>
        <v>#N/A</v>
      </c>
      <c r="AE48" s="107" t="e">
        <f>VLOOKUP($A48,'S47'!$C:$BQ,40,0)</f>
        <v>#N/A</v>
      </c>
      <c r="AF48" s="107" t="e">
        <f>VLOOKUP($A48,'S47'!$C:$BQ,22,0)</f>
        <v>#N/A</v>
      </c>
      <c r="AG48" s="115" t="e">
        <f>VLOOKUP($A48,'S47'!$C:$BQ,29,0)</f>
        <v>#N/A</v>
      </c>
      <c r="AH48" s="115" t="e">
        <f>VLOOKUP($A48,'S47'!$C:$BQ,30,0)</f>
        <v>#N/A</v>
      </c>
      <c r="AI48" s="115" t="e">
        <f>VLOOKUP($A48,'S47'!$C:$BQ,52,0)</f>
        <v>#N/A</v>
      </c>
      <c r="AJ48" s="115" t="e">
        <f>VLOOKUP($A48,'S47'!$C:$BQ,59,0)</f>
        <v>#N/A</v>
      </c>
      <c r="AK48" s="115" t="e">
        <f>VLOOKUP($A48,'S47'!$C:$BQ,60,0)</f>
        <v>#N/A</v>
      </c>
      <c r="AL48" s="107" t="e">
        <f>VLOOKUP($A48,'S48'!$C:$BQ,32,0)</f>
        <v>#N/A</v>
      </c>
      <c r="AM48" s="107" t="e">
        <f>VLOOKUP($A48,'S48'!$C:$BQ,39,0)</f>
        <v>#N/A</v>
      </c>
      <c r="AN48" s="107" t="e">
        <f>VLOOKUP($A48,'S48'!$C:$BQ,40,0)</f>
        <v>#N/A</v>
      </c>
      <c r="AO48" s="107" t="e">
        <f>VLOOKUP($A48,'S48'!$C:$BQ,22,0)</f>
        <v>#N/A</v>
      </c>
      <c r="AP48" s="115" t="e">
        <f>VLOOKUP($A48,'S48'!$C:$BQ,29,0)</f>
        <v>#N/A</v>
      </c>
      <c r="AQ48" s="115" t="e">
        <f>VLOOKUP($A48,'S48'!$C:$BQ,30,0)</f>
        <v>#N/A</v>
      </c>
      <c r="AR48" s="115" t="e">
        <f>VLOOKUP($A48,'S48'!$C:$BQ,52,0)</f>
        <v>#N/A</v>
      </c>
      <c r="AS48" s="115" t="e">
        <f>VLOOKUP($A48,'S48'!$C:$BQ,59,0)</f>
        <v>#N/A</v>
      </c>
      <c r="AT48" s="115" t="e">
        <f>VLOOKUP($A48,'S48'!$C:$BQ,60,0)</f>
        <v>#N/A</v>
      </c>
      <c r="AU48" s="107" t="e">
        <f>VLOOKUP($A48,'S49'!$C:$BQ,32,0)</f>
        <v>#N/A</v>
      </c>
      <c r="AV48" s="107" t="e">
        <f>VLOOKUP($A48,'S49'!$C:$BQ,39,0)</f>
        <v>#N/A</v>
      </c>
      <c r="AW48" s="107" t="e">
        <f>VLOOKUP($A48,'S49'!$C:$BQ,40,0)</f>
        <v>#N/A</v>
      </c>
      <c r="AX48" s="107" t="e">
        <f>VLOOKUP($A48,'S49'!$C:$BQ,22,0)</f>
        <v>#N/A</v>
      </c>
      <c r="AY48" s="115" t="e">
        <f>VLOOKUP($A48,'S49'!$C:$BQ,29,0)</f>
        <v>#N/A</v>
      </c>
      <c r="AZ48" s="115" t="e">
        <f>VLOOKUP($A48,'S49'!$C:$BQ,30,0)</f>
        <v>#N/A</v>
      </c>
      <c r="BA48" s="115" t="e">
        <f>VLOOKUP($A48,'S49'!$C:$BQ,52,0)</f>
        <v>#N/A</v>
      </c>
      <c r="BB48" s="115" t="e">
        <f>VLOOKUP($A48,'S49'!$C:$BQ,59,0)</f>
        <v>#N/A</v>
      </c>
      <c r="BC48" s="115" t="e">
        <f>VLOOKUP($A48,'S49'!$C:$BQ,60,0)</f>
        <v>#N/A</v>
      </c>
      <c r="BD48" s="107" t="e">
        <f>VLOOKUP($A48,'S50'!$C:$BQ,32,0)</f>
        <v>#N/A</v>
      </c>
      <c r="BE48" s="107" t="e">
        <f>VLOOKUP($A48,'S50'!$C:$BQ,39,0)</f>
        <v>#N/A</v>
      </c>
      <c r="BF48" s="107" t="e">
        <f>VLOOKUP($A48,'S50'!$C:$BQ,40,0)</f>
        <v>#N/A</v>
      </c>
      <c r="BG48" s="107" t="e">
        <f>VLOOKUP($A48,'S50'!$C:$BQ,22,0)</f>
        <v>#N/A</v>
      </c>
      <c r="BH48" s="115" t="e">
        <f>VLOOKUP($A48,'S50'!$C:$BQ,29,0)</f>
        <v>#N/A</v>
      </c>
      <c r="BI48" s="115" t="e">
        <f>VLOOKUP($A48,'S50'!$C:$BQ,30,0)</f>
        <v>#N/A</v>
      </c>
      <c r="BJ48" s="115" t="e">
        <f>VLOOKUP($A48,'S50'!$C:$BQ,52,0)</f>
        <v>#N/A</v>
      </c>
      <c r="BK48" s="115" t="e">
        <f>VLOOKUP($A48,'S50'!$C:$BQ,59,0)</f>
        <v>#N/A</v>
      </c>
      <c r="BL48" s="115" t="e">
        <f>VLOOKUP($A48,'S50'!$C:$BQ,60,0)</f>
        <v>#N/A</v>
      </c>
    </row>
    <row r="49" spans="1:64" x14ac:dyDescent="0.2">
      <c r="A49" s="106" t="s">
        <v>106</v>
      </c>
      <c r="B49" s="107">
        <f>VLOOKUP($A49,'S0 remplacer avec S44'!$C:$BQ,32,0)</f>
        <v>415.7</v>
      </c>
      <c r="C49" s="107">
        <f>VLOOKUP($A49,'S0 remplacer avec S44'!$C:$BQ,39,0)</f>
        <v>73</v>
      </c>
      <c r="D49" s="107">
        <f>VLOOKUP($A49,'S0 remplacer avec S44'!$C:$BQ,40,0)</f>
        <v>171</v>
      </c>
      <c r="E49" s="107">
        <f>VLOOKUP($A49,'S0 remplacer avec S44'!$C:$BQ,22,0)</f>
        <v>4627.2380400000002</v>
      </c>
      <c r="F49" s="115">
        <f>VLOOKUP($A49,'S0 remplacer avec S44'!$C:$BQ,29,0)</f>
        <v>0</v>
      </c>
      <c r="G49" s="115">
        <f>VLOOKUP($A49,'S0 remplacer avec S44'!$C:$BQ,30,0)</f>
        <v>703</v>
      </c>
      <c r="H49" s="115">
        <f>VLOOKUP($A49,'S0 remplacer avec S44'!$C:$BQ,52,0)</f>
        <v>247.6</v>
      </c>
      <c r="I49" s="115">
        <f>VLOOKUP($A49,'S0 remplacer avec S44'!$C:$BQ,59,0)</f>
        <v>1</v>
      </c>
      <c r="J49" s="115">
        <f>VLOOKUP($A49,'S0 remplacer avec S44'!$C:$BQ,60,0)</f>
        <v>51</v>
      </c>
      <c r="K49" s="107" t="e">
        <f>VLOOKUP($A49,'S45'!$C:$BQ,32,0)</f>
        <v>#N/A</v>
      </c>
      <c r="L49" s="107" t="e">
        <f>VLOOKUP($A49,'S45'!$C:$BQ,39,0)</f>
        <v>#N/A</v>
      </c>
      <c r="M49" s="107" t="e">
        <f>VLOOKUP($A49,'S45'!$C:$BQ,40,0)</f>
        <v>#N/A</v>
      </c>
      <c r="N49" s="107" t="e">
        <f>VLOOKUP($A49,'S45'!$C:$BQ,22,0)</f>
        <v>#N/A</v>
      </c>
      <c r="O49" s="115" t="e">
        <f>VLOOKUP($A49,'S45'!$C:$BQ,29,0)</f>
        <v>#N/A</v>
      </c>
      <c r="P49" s="115" t="e">
        <f>VLOOKUP($A49,'S45'!$C:$BQ,30,0)</f>
        <v>#N/A</v>
      </c>
      <c r="Q49" s="115" t="e">
        <f>VLOOKUP($A49,'S45'!$C:$BQ,52,0)</f>
        <v>#N/A</v>
      </c>
      <c r="R49" s="115" t="e">
        <f>VLOOKUP($A49,'S45'!$C:$BQ,59,0)</f>
        <v>#N/A</v>
      </c>
      <c r="S49" s="115" t="e">
        <f>VLOOKUP($A49,'S45'!$C:$BQ,60,0)</f>
        <v>#N/A</v>
      </c>
      <c r="T49" s="107" t="e">
        <f>VLOOKUP($A49,'S46'!$C:$BQ,32,0)</f>
        <v>#N/A</v>
      </c>
      <c r="U49" s="107" t="e">
        <f>VLOOKUP($A49,'S46'!$C:$BQ,39,0)</f>
        <v>#N/A</v>
      </c>
      <c r="V49" s="107" t="e">
        <f>VLOOKUP($A49,'S46'!$C:$BQ,40,0)</f>
        <v>#N/A</v>
      </c>
      <c r="W49" s="107" t="e">
        <f>VLOOKUP($A49,'S46'!$C:$BQ,22,0)</f>
        <v>#N/A</v>
      </c>
      <c r="X49" s="115" t="e">
        <f>VLOOKUP($A49,'S46'!$C:$BQ,29,0)</f>
        <v>#N/A</v>
      </c>
      <c r="Y49" s="115" t="e">
        <f>VLOOKUP($A49,'S46'!$C:$BQ,30,0)</f>
        <v>#N/A</v>
      </c>
      <c r="Z49" s="115" t="e">
        <f>VLOOKUP($A49,'S46'!$C:$BQ,52,0)</f>
        <v>#N/A</v>
      </c>
      <c r="AA49" s="115" t="e">
        <f>VLOOKUP($A49,'S46'!$C:$BQ,59,0)</f>
        <v>#N/A</v>
      </c>
      <c r="AB49" s="115" t="e">
        <f>VLOOKUP($A49,'S46'!$C:$BQ,60,0)</f>
        <v>#N/A</v>
      </c>
      <c r="AC49" s="107" t="e">
        <f>VLOOKUP($A49,'S47'!$C:$BQ,32,0)</f>
        <v>#N/A</v>
      </c>
      <c r="AD49" s="107" t="e">
        <f>VLOOKUP($A49,'S47'!$C:$BQ,39,0)</f>
        <v>#N/A</v>
      </c>
      <c r="AE49" s="107" t="e">
        <f>VLOOKUP($A49,'S47'!$C:$BQ,40,0)</f>
        <v>#N/A</v>
      </c>
      <c r="AF49" s="107" t="e">
        <f>VLOOKUP($A49,'S47'!$C:$BQ,22,0)</f>
        <v>#N/A</v>
      </c>
      <c r="AG49" s="115" t="e">
        <f>VLOOKUP($A49,'S47'!$C:$BQ,29,0)</f>
        <v>#N/A</v>
      </c>
      <c r="AH49" s="115" t="e">
        <f>VLOOKUP($A49,'S47'!$C:$BQ,30,0)</f>
        <v>#N/A</v>
      </c>
      <c r="AI49" s="115" t="e">
        <f>VLOOKUP($A49,'S47'!$C:$BQ,52,0)</f>
        <v>#N/A</v>
      </c>
      <c r="AJ49" s="115" t="e">
        <f>VLOOKUP($A49,'S47'!$C:$BQ,59,0)</f>
        <v>#N/A</v>
      </c>
      <c r="AK49" s="115" t="e">
        <f>VLOOKUP($A49,'S47'!$C:$BQ,60,0)</f>
        <v>#N/A</v>
      </c>
      <c r="AL49" s="107" t="e">
        <f>VLOOKUP($A49,'S48'!$C:$BQ,32,0)</f>
        <v>#N/A</v>
      </c>
      <c r="AM49" s="107" t="e">
        <f>VLOOKUP($A49,'S48'!$C:$BQ,39,0)</f>
        <v>#N/A</v>
      </c>
      <c r="AN49" s="107" t="e">
        <f>VLOOKUP($A49,'S48'!$C:$BQ,40,0)</f>
        <v>#N/A</v>
      </c>
      <c r="AO49" s="107" t="e">
        <f>VLOOKUP($A49,'S48'!$C:$BQ,22,0)</f>
        <v>#N/A</v>
      </c>
      <c r="AP49" s="115" t="e">
        <f>VLOOKUP($A49,'S48'!$C:$BQ,29,0)</f>
        <v>#N/A</v>
      </c>
      <c r="AQ49" s="115" t="e">
        <f>VLOOKUP($A49,'S48'!$C:$BQ,30,0)</f>
        <v>#N/A</v>
      </c>
      <c r="AR49" s="115" t="e">
        <f>VLOOKUP($A49,'S48'!$C:$BQ,52,0)</f>
        <v>#N/A</v>
      </c>
      <c r="AS49" s="115" t="e">
        <f>VLOOKUP($A49,'S48'!$C:$BQ,59,0)</f>
        <v>#N/A</v>
      </c>
      <c r="AT49" s="115" t="e">
        <f>VLOOKUP($A49,'S48'!$C:$BQ,60,0)</f>
        <v>#N/A</v>
      </c>
      <c r="AU49" s="107" t="e">
        <f>VLOOKUP($A49,'S49'!$C:$BQ,32,0)</f>
        <v>#N/A</v>
      </c>
      <c r="AV49" s="107" t="e">
        <f>VLOOKUP($A49,'S49'!$C:$BQ,39,0)</f>
        <v>#N/A</v>
      </c>
      <c r="AW49" s="107" t="e">
        <f>VLOOKUP($A49,'S49'!$C:$BQ,40,0)</f>
        <v>#N/A</v>
      </c>
      <c r="AX49" s="107" t="e">
        <f>VLOOKUP($A49,'S49'!$C:$BQ,22,0)</f>
        <v>#N/A</v>
      </c>
      <c r="AY49" s="115" t="e">
        <f>VLOOKUP($A49,'S49'!$C:$BQ,29,0)</f>
        <v>#N/A</v>
      </c>
      <c r="AZ49" s="115" t="e">
        <f>VLOOKUP($A49,'S49'!$C:$BQ,30,0)</f>
        <v>#N/A</v>
      </c>
      <c r="BA49" s="115" t="e">
        <f>VLOOKUP($A49,'S49'!$C:$BQ,52,0)</f>
        <v>#N/A</v>
      </c>
      <c r="BB49" s="115" t="e">
        <f>VLOOKUP($A49,'S49'!$C:$BQ,59,0)</f>
        <v>#N/A</v>
      </c>
      <c r="BC49" s="115" t="e">
        <f>VLOOKUP($A49,'S49'!$C:$BQ,60,0)</f>
        <v>#N/A</v>
      </c>
      <c r="BD49" s="107" t="e">
        <f>VLOOKUP($A49,'S50'!$C:$BQ,32,0)</f>
        <v>#N/A</v>
      </c>
      <c r="BE49" s="107" t="e">
        <f>VLOOKUP($A49,'S50'!$C:$BQ,39,0)</f>
        <v>#N/A</v>
      </c>
      <c r="BF49" s="107" t="e">
        <f>VLOOKUP($A49,'S50'!$C:$BQ,40,0)</f>
        <v>#N/A</v>
      </c>
      <c r="BG49" s="107" t="e">
        <f>VLOOKUP($A49,'S50'!$C:$BQ,22,0)</f>
        <v>#N/A</v>
      </c>
      <c r="BH49" s="115" t="e">
        <f>VLOOKUP($A49,'S50'!$C:$BQ,29,0)</f>
        <v>#N/A</v>
      </c>
      <c r="BI49" s="115" t="e">
        <f>VLOOKUP($A49,'S50'!$C:$BQ,30,0)</f>
        <v>#N/A</v>
      </c>
      <c r="BJ49" s="115" t="e">
        <f>VLOOKUP($A49,'S50'!$C:$BQ,52,0)</f>
        <v>#N/A</v>
      </c>
      <c r="BK49" s="115" t="e">
        <f>VLOOKUP($A49,'S50'!$C:$BQ,59,0)</f>
        <v>#N/A</v>
      </c>
      <c r="BL49" s="115" t="e">
        <f>VLOOKUP($A49,'S50'!$C:$BQ,60,0)</f>
        <v>#N/A</v>
      </c>
    </row>
    <row r="50" spans="1:64" x14ac:dyDescent="0.2">
      <c r="A50" s="106" t="s">
        <v>107</v>
      </c>
      <c r="B50" s="107">
        <f>VLOOKUP($A50,'S0 remplacer avec S44'!$C:$BQ,32,0)</f>
        <v>163.15</v>
      </c>
      <c r="C50" s="107">
        <f>VLOOKUP($A50,'S0 remplacer avec S44'!$C:$BQ,39,0)</f>
        <v>138</v>
      </c>
      <c r="D50" s="107">
        <f>VLOOKUP($A50,'S0 remplacer avec S44'!$C:$BQ,40,0)</f>
        <v>199</v>
      </c>
      <c r="E50" s="107">
        <f>VLOOKUP($A50,'S0 remplacer avec S44'!$C:$BQ,22,0)</f>
        <v>2289.9461249999999</v>
      </c>
      <c r="F50" s="115">
        <f>VLOOKUP($A50,'S0 remplacer avec S44'!$C:$BQ,29,0)</f>
        <v>449</v>
      </c>
      <c r="G50" s="115">
        <f>VLOOKUP($A50,'S0 remplacer avec S44'!$C:$BQ,30,0)</f>
        <v>997</v>
      </c>
      <c r="H50" s="115">
        <f>VLOOKUP($A50,'S0 remplacer avec S44'!$C:$BQ,52,0)</f>
        <v>158.80000000000001</v>
      </c>
      <c r="I50" s="115">
        <f>VLOOKUP($A50,'S0 remplacer avec S44'!$C:$BQ,59,0)</f>
        <v>0</v>
      </c>
      <c r="J50" s="115">
        <f>VLOOKUP($A50,'S0 remplacer avec S44'!$C:$BQ,60,0)</f>
        <v>25</v>
      </c>
      <c r="K50" s="107" t="e">
        <f>VLOOKUP($A50,'S45'!$C:$BQ,32,0)</f>
        <v>#N/A</v>
      </c>
      <c r="L50" s="107" t="e">
        <f>VLOOKUP($A50,'S45'!$C:$BQ,39,0)</f>
        <v>#N/A</v>
      </c>
      <c r="M50" s="107" t="e">
        <f>VLOOKUP($A50,'S45'!$C:$BQ,40,0)</f>
        <v>#N/A</v>
      </c>
      <c r="N50" s="107" t="e">
        <f>VLOOKUP($A50,'S45'!$C:$BQ,22,0)</f>
        <v>#N/A</v>
      </c>
      <c r="O50" s="115" t="e">
        <f>VLOOKUP($A50,'S45'!$C:$BQ,29,0)</f>
        <v>#N/A</v>
      </c>
      <c r="P50" s="115" t="e">
        <f>VLOOKUP($A50,'S45'!$C:$BQ,30,0)</f>
        <v>#N/A</v>
      </c>
      <c r="Q50" s="115" t="e">
        <f>VLOOKUP($A50,'S45'!$C:$BQ,52,0)</f>
        <v>#N/A</v>
      </c>
      <c r="R50" s="115" t="e">
        <f>VLOOKUP($A50,'S45'!$C:$BQ,59,0)</f>
        <v>#N/A</v>
      </c>
      <c r="S50" s="115" t="e">
        <f>VLOOKUP($A50,'S45'!$C:$BQ,60,0)</f>
        <v>#N/A</v>
      </c>
      <c r="T50" s="107" t="e">
        <f>VLOOKUP($A50,'S46'!$C:$BQ,32,0)</f>
        <v>#N/A</v>
      </c>
      <c r="U50" s="107" t="e">
        <f>VLOOKUP($A50,'S46'!$C:$BQ,39,0)</f>
        <v>#N/A</v>
      </c>
      <c r="V50" s="107" t="e">
        <f>VLOOKUP($A50,'S46'!$C:$BQ,40,0)</f>
        <v>#N/A</v>
      </c>
      <c r="W50" s="107" t="e">
        <f>VLOOKUP($A50,'S46'!$C:$BQ,22,0)</f>
        <v>#N/A</v>
      </c>
      <c r="X50" s="115" t="e">
        <f>VLOOKUP($A50,'S46'!$C:$BQ,29,0)</f>
        <v>#N/A</v>
      </c>
      <c r="Y50" s="115" t="e">
        <f>VLOOKUP($A50,'S46'!$C:$BQ,30,0)</f>
        <v>#N/A</v>
      </c>
      <c r="Z50" s="115" t="e">
        <f>VLOOKUP($A50,'S46'!$C:$BQ,52,0)</f>
        <v>#N/A</v>
      </c>
      <c r="AA50" s="115" t="e">
        <f>VLOOKUP($A50,'S46'!$C:$BQ,59,0)</f>
        <v>#N/A</v>
      </c>
      <c r="AB50" s="115" t="e">
        <f>VLOOKUP($A50,'S46'!$C:$BQ,60,0)</f>
        <v>#N/A</v>
      </c>
      <c r="AC50" s="107" t="e">
        <f>VLOOKUP($A50,'S47'!$C:$BQ,32,0)</f>
        <v>#N/A</v>
      </c>
      <c r="AD50" s="107" t="e">
        <f>VLOOKUP($A50,'S47'!$C:$BQ,39,0)</f>
        <v>#N/A</v>
      </c>
      <c r="AE50" s="107" t="e">
        <f>VLOOKUP($A50,'S47'!$C:$BQ,40,0)</f>
        <v>#N/A</v>
      </c>
      <c r="AF50" s="107" t="e">
        <f>VLOOKUP($A50,'S47'!$C:$BQ,22,0)</f>
        <v>#N/A</v>
      </c>
      <c r="AG50" s="115" t="e">
        <f>VLOOKUP($A50,'S47'!$C:$BQ,29,0)</f>
        <v>#N/A</v>
      </c>
      <c r="AH50" s="115" t="e">
        <f>VLOOKUP($A50,'S47'!$C:$BQ,30,0)</f>
        <v>#N/A</v>
      </c>
      <c r="AI50" s="115" t="e">
        <f>VLOOKUP($A50,'S47'!$C:$BQ,52,0)</f>
        <v>#N/A</v>
      </c>
      <c r="AJ50" s="115" t="e">
        <f>VLOOKUP($A50,'S47'!$C:$BQ,59,0)</f>
        <v>#N/A</v>
      </c>
      <c r="AK50" s="115" t="e">
        <f>VLOOKUP($A50,'S47'!$C:$BQ,60,0)</f>
        <v>#N/A</v>
      </c>
      <c r="AL50" s="107" t="e">
        <f>VLOOKUP($A50,'S48'!$C:$BQ,32,0)</f>
        <v>#N/A</v>
      </c>
      <c r="AM50" s="107" t="e">
        <f>VLOOKUP($A50,'S48'!$C:$BQ,39,0)</f>
        <v>#N/A</v>
      </c>
      <c r="AN50" s="107" t="e">
        <f>VLOOKUP($A50,'S48'!$C:$BQ,40,0)</f>
        <v>#N/A</v>
      </c>
      <c r="AO50" s="107" t="e">
        <f>VLOOKUP($A50,'S48'!$C:$BQ,22,0)</f>
        <v>#N/A</v>
      </c>
      <c r="AP50" s="115" t="e">
        <f>VLOOKUP($A50,'S48'!$C:$BQ,29,0)</f>
        <v>#N/A</v>
      </c>
      <c r="AQ50" s="115" t="e">
        <f>VLOOKUP($A50,'S48'!$C:$BQ,30,0)</f>
        <v>#N/A</v>
      </c>
      <c r="AR50" s="115" t="e">
        <f>VLOOKUP($A50,'S48'!$C:$BQ,52,0)</f>
        <v>#N/A</v>
      </c>
      <c r="AS50" s="115" t="e">
        <f>VLOOKUP($A50,'S48'!$C:$BQ,59,0)</f>
        <v>#N/A</v>
      </c>
      <c r="AT50" s="115" t="e">
        <f>VLOOKUP($A50,'S48'!$C:$BQ,60,0)</f>
        <v>#N/A</v>
      </c>
      <c r="AU50" s="107" t="e">
        <f>VLOOKUP($A50,'S49'!$C:$BQ,32,0)</f>
        <v>#N/A</v>
      </c>
      <c r="AV50" s="107" t="e">
        <f>VLOOKUP($A50,'S49'!$C:$BQ,39,0)</f>
        <v>#N/A</v>
      </c>
      <c r="AW50" s="107" t="e">
        <f>VLOOKUP($A50,'S49'!$C:$BQ,40,0)</f>
        <v>#N/A</v>
      </c>
      <c r="AX50" s="107" t="e">
        <f>VLOOKUP($A50,'S49'!$C:$BQ,22,0)</f>
        <v>#N/A</v>
      </c>
      <c r="AY50" s="115" t="e">
        <f>VLOOKUP($A50,'S49'!$C:$BQ,29,0)</f>
        <v>#N/A</v>
      </c>
      <c r="AZ50" s="115" t="e">
        <f>VLOOKUP($A50,'S49'!$C:$BQ,30,0)</f>
        <v>#N/A</v>
      </c>
      <c r="BA50" s="115" t="e">
        <f>VLOOKUP($A50,'S49'!$C:$BQ,52,0)</f>
        <v>#N/A</v>
      </c>
      <c r="BB50" s="115" t="e">
        <f>VLOOKUP($A50,'S49'!$C:$BQ,59,0)</f>
        <v>#N/A</v>
      </c>
      <c r="BC50" s="115" t="e">
        <f>VLOOKUP($A50,'S49'!$C:$BQ,60,0)</f>
        <v>#N/A</v>
      </c>
      <c r="BD50" s="107" t="e">
        <f>VLOOKUP($A50,'S50'!$C:$BQ,32,0)</f>
        <v>#N/A</v>
      </c>
      <c r="BE50" s="107" t="e">
        <f>VLOOKUP($A50,'S50'!$C:$BQ,39,0)</f>
        <v>#N/A</v>
      </c>
      <c r="BF50" s="107" t="e">
        <f>VLOOKUP($A50,'S50'!$C:$BQ,40,0)</f>
        <v>#N/A</v>
      </c>
      <c r="BG50" s="107" t="e">
        <f>VLOOKUP($A50,'S50'!$C:$BQ,22,0)</f>
        <v>#N/A</v>
      </c>
      <c r="BH50" s="115" t="e">
        <f>VLOOKUP($A50,'S50'!$C:$BQ,29,0)</f>
        <v>#N/A</v>
      </c>
      <c r="BI50" s="115" t="e">
        <f>VLOOKUP($A50,'S50'!$C:$BQ,30,0)</f>
        <v>#N/A</v>
      </c>
      <c r="BJ50" s="115" t="e">
        <f>VLOOKUP($A50,'S50'!$C:$BQ,52,0)</f>
        <v>#N/A</v>
      </c>
      <c r="BK50" s="115" t="e">
        <f>VLOOKUP($A50,'S50'!$C:$BQ,59,0)</f>
        <v>#N/A</v>
      </c>
      <c r="BL50" s="115" t="e">
        <f>VLOOKUP($A50,'S50'!$C:$BQ,60,0)</f>
        <v>#N/A</v>
      </c>
    </row>
    <row r="51" spans="1:64" x14ac:dyDescent="0.2">
      <c r="A51" s="106" t="s">
        <v>108</v>
      </c>
      <c r="B51" s="107">
        <f>VLOOKUP($A51,'S0 remplacer avec S44'!$C:$BQ,32,0)</f>
        <v>167.3</v>
      </c>
      <c r="C51" s="107">
        <f>VLOOKUP($A51,'S0 remplacer avec S44'!$C:$BQ,39,0)</f>
        <v>0</v>
      </c>
      <c r="D51" s="107">
        <f>VLOOKUP($A51,'S0 remplacer avec S44'!$C:$BQ,40,0)</f>
        <v>24</v>
      </c>
      <c r="E51" s="107">
        <f>VLOOKUP($A51,'S0 remplacer avec S44'!$C:$BQ,22,0)</f>
        <v>1750.849835</v>
      </c>
      <c r="F51" s="115">
        <f>VLOOKUP($A51,'S0 remplacer avec S44'!$C:$BQ,29,0)</f>
        <v>0</v>
      </c>
      <c r="G51" s="115">
        <f>VLOOKUP($A51,'S0 remplacer avec S44'!$C:$BQ,30,0)</f>
        <v>0</v>
      </c>
      <c r="H51" s="115">
        <f>VLOOKUP($A51,'S0 remplacer avec S44'!$C:$BQ,52,0)</f>
        <v>78.8</v>
      </c>
      <c r="I51" s="115">
        <f>VLOOKUP($A51,'S0 remplacer avec S44'!$C:$BQ,59,0)</f>
        <v>2</v>
      </c>
      <c r="J51" s="115">
        <f>VLOOKUP($A51,'S0 remplacer avec S44'!$C:$BQ,60,0)</f>
        <v>18</v>
      </c>
      <c r="K51" s="107" t="e">
        <f>VLOOKUP($A51,'S45'!$C:$BQ,32,0)</f>
        <v>#N/A</v>
      </c>
      <c r="L51" s="107" t="e">
        <f>VLOOKUP($A51,'S45'!$C:$BQ,39,0)</f>
        <v>#N/A</v>
      </c>
      <c r="M51" s="107" t="e">
        <f>VLOOKUP($A51,'S45'!$C:$BQ,40,0)</f>
        <v>#N/A</v>
      </c>
      <c r="N51" s="107" t="e">
        <f>VLOOKUP($A51,'S45'!$C:$BQ,22,0)</f>
        <v>#N/A</v>
      </c>
      <c r="O51" s="115" t="e">
        <f>VLOOKUP($A51,'S45'!$C:$BQ,29,0)</f>
        <v>#N/A</v>
      </c>
      <c r="P51" s="115" t="e">
        <f>VLOOKUP($A51,'S45'!$C:$BQ,30,0)</f>
        <v>#N/A</v>
      </c>
      <c r="Q51" s="115" t="e">
        <f>VLOOKUP($A51,'S45'!$C:$BQ,52,0)</f>
        <v>#N/A</v>
      </c>
      <c r="R51" s="115" t="e">
        <f>VLOOKUP($A51,'S45'!$C:$BQ,59,0)</f>
        <v>#N/A</v>
      </c>
      <c r="S51" s="115" t="e">
        <f>VLOOKUP($A51,'S45'!$C:$BQ,60,0)</f>
        <v>#N/A</v>
      </c>
      <c r="T51" s="107" t="e">
        <f>VLOOKUP($A51,'S46'!$C:$BQ,32,0)</f>
        <v>#N/A</v>
      </c>
      <c r="U51" s="107" t="e">
        <f>VLOOKUP($A51,'S46'!$C:$BQ,39,0)</f>
        <v>#N/A</v>
      </c>
      <c r="V51" s="107" t="e">
        <f>VLOOKUP($A51,'S46'!$C:$BQ,40,0)</f>
        <v>#N/A</v>
      </c>
      <c r="W51" s="107" t="e">
        <f>VLOOKUP($A51,'S46'!$C:$BQ,22,0)</f>
        <v>#N/A</v>
      </c>
      <c r="X51" s="115" t="e">
        <f>VLOOKUP($A51,'S46'!$C:$BQ,29,0)</f>
        <v>#N/A</v>
      </c>
      <c r="Y51" s="115" t="e">
        <f>VLOOKUP($A51,'S46'!$C:$BQ,30,0)</f>
        <v>#N/A</v>
      </c>
      <c r="Z51" s="115" t="e">
        <f>VLOOKUP($A51,'S46'!$C:$BQ,52,0)</f>
        <v>#N/A</v>
      </c>
      <c r="AA51" s="115" t="e">
        <f>VLOOKUP($A51,'S46'!$C:$BQ,59,0)</f>
        <v>#N/A</v>
      </c>
      <c r="AB51" s="115" t="e">
        <f>VLOOKUP($A51,'S46'!$C:$BQ,60,0)</f>
        <v>#N/A</v>
      </c>
      <c r="AC51" s="107" t="e">
        <f>VLOOKUP($A51,'S47'!$C:$BQ,32,0)</f>
        <v>#N/A</v>
      </c>
      <c r="AD51" s="107" t="e">
        <f>VLOOKUP($A51,'S47'!$C:$BQ,39,0)</f>
        <v>#N/A</v>
      </c>
      <c r="AE51" s="107" t="e">
        <f>VLOOKUP($A51,'S47'!$C:$BQ,40,0)</f>
        <v>#N/A</v>
      </c>
      <c r="AF51" s="107" t="e">
        <f>VLOOKUP($A51,'S47'!$C:$BQ,22,0)</f>
        <v>#N/A</v>
      </c>
      <c r="AG51" s="115" t="e">
        <f>VLOOKUP($A51,'S47'!$C:$BQ,29,0)</f>
        <v>#N/A</v>
      </c>
      <c r="AH51" s="115" t="e">
        <f>VLOOKUP($A51,'S47'!$C:$BQ,30,0)</f>
        <v>#N/A</v>
      </c>
      <c r="AI51" s="115" t="e">
        <f>VLOOKUP($A51,'S47'!$C:$BQ,52,0)</f>
        <v>#N/A</v>
      </c>
      <c r="AJ51" s="115" t="e">
        <f>VLOOKUP($A51,'S47'!$C:$BQ,59,0)</f>
        <v>#N/A</v>
      </c>
      <c r="AK51" s="115" t="e">
        <f>VLOOKUP($A51,'S47'!$C:$BQ,60,0)</f>
        <v>#N/A</v>
      </c>
      <c r="AL51" s="107" t="e">
        <f>VLOOKUP($A51,'S48'!$C:$BQ,32,0)</f>
        <v>#N/A</v>
      </c>
      <c r="AM51" s="107" t="e">
        <f>VLOOKUP($A51,'S48'!$C:$BQ,39,0)</f>
        <v>#N/A</v>
      </c>
      <c r="AN51" s="107" t="e">
        <f>VLOOKUP($A51,'S48'!$C:$BQ,40,0)</f>
        <v>#N/A</v>
      </c>
      <c r="AO51" s="107" t="e">
        <f>VLOOKUP($A51,'S48'!$C:$BQ,22,0)</f>
        <v>#N/A</v>
      </c>
      <c r="AP51" s="115" t="e">
        <f>VLOOKUP($A51,'S48'!$C:$BQ,29,0)</f>
        <v>#N/A</v>
      </c>
      <c r="AQ51" s="115" t="e">
        <f>VLOOKUP($A51,'S48'!$C:$BQ,30,0)</f>
        <v>#N/A</v>
      </c>
      <c r="AR51" s="115" t="e">
        <f>VLOOKUP($A51,'S48'!$C:$BQ,52,0)</f>
        <v>#N/A</v>
      </c>
      <c r="AS51" s="115" t="e">
        <f>VLOOKUP($A51,'S48'!$C:$BQ,59,0)</f>
        <v>#N/A</v>
      </c>
      <c r="AT51" s="115" t="e">
        <f>VLOOKUP($A51,'S48'!$C:$BQ,60,0)</f>
        <v>#N/A</v>
      </c>
      <c r="AU51" s="107" t="e">
        <f>VLOOKUP($A51,'S49'!$C:$BQ,32,0)</f>
        <v>#N/A</v>
      </c>
      <c r="AV51" s="107" t="e">
        <f>VLOOKUP($A51,'S49'!$C:$BQ,39,0)</f>
        <v>#N/A</v>
      </c>
      <c r="AW51" s="107" t="e">
        <f>VLOOKUP($A51,'S49'!$C:$BQ,40,0)</f>
        <v>#N/A</v>
      </c>
      <c r="AX51" s="107" t="e">
        <f>VLOOKUP($A51,'S49'!$C:$BQ,22,0)</f>
        <v>#N/A</v>
      </c>
      <c r="AY51" s="115" t="e">
        <f>VLOOKUP($A51,'S49'!$C:$BQ,29,0)</f>
        <v>#N/A</v>
      </c>
      <c r="AZ51" s="115" t="e">
        <f>VLOOKUP($A51,'S49'!$C:$BQ,30,0)</f>
        <v>#N/A</v>
      </c>
      <c r="BA51" s="115" t="e">
        <f>VLOOKUP($A51,'S49'!$C:$BQ,52,0)</f>
        <v>#N/A</v>
      </c>
      <c r="BB51" s="115" t="e">
        <f>VLOOKUP($A51,'S49'!$C:$BQ,59,0)</f>
        <v>#N/A</v>
      </c>
      <c r="BC51" s="115" t="e">
        <f>VLOOKUP($A51,'S49'!$C:$BQ,60,0)</f>
        <v>#N/A</v>
      </c>
      <c r="BD51" s="107" t="e">
        <f>VLOOKUP($A51,'S50'!$C:$BQ,32,0)</f>
        <v>#N/A</v>
      </c>
      <c r="BE51" s="107" t="e">
        <f>VLOOKUP($A51,'S50'!$C:$BQ,39,0)</f>
        <v>#N/A</v>
      </c>
      <c r="BF51" s="107" t="e">
        <f>VLOOKUP($A51,'S50'!$C:$BQ,40,0)</f>
        <v>#N/A</v>
      </c>
      <c r="BG51" s="107" t="e">
        <f>VLOOKUP($A51,'S50'!$C:$BQ,22,0)</f>
        <v>#N/A</v>
      </c>
      <c r="BH51" s="115" t="e">
        <f>VLOOKUP($A51,'S50'!$C:$BQ,29,0)</f>
        <v>#N/A</v>
      </c>
      <c r="BI51" s="115" t="e">
        <f>VLOOKUP($A51,'S50'!$C:$BQ,30,0)</f>
        <v>#N/A</v>
      </c>
      <c r="BJ51" s="115" t="e">
        <f>VLOOKUP($A51,'S50'!$C:$BQ,52,0)</f>
        <v>#N/A</v>
      </c>
      <c r="BK51" s="115" t="e">
        <f>VLOOKUP($A51,'S50'!$C:$BQ,59,0)</f>
        <v>#N/A</v>
      </c>
      <c r="BL51" s="115" t="e">
        <f>VLOOKUP($A51,'S50'!$C:$BQ,60,0)</f>
        <v>#N/A</v>
      </c>
    </row>
    <row r="52" spans="1:64" x14ac:dyDescent="0.2">
      <c r="A52" s="106" t="s">
        <v>109</v>
      </c>
      <c r="B52" s="107">
        <f>VLOOKUP($A52,'S0 remplacer avec S44'!$C:$BQ,32,0)</f>
        <v>97.9</v>
      </c>
      <c r="C52" s="107">
        <f>VLOOKUP($A52,'S0 remplacer avec S44'!$C:$BQ,39,0)</f>
        <v>64</v>
      </c>
      <c r="D52" s="107">
        <f>VLOOKUP($A52,'S0 remplacer avec S44'!$C:$BQ,40,0)</f>
        <v>97</v>
      </c>
      <c r="E52" s="107">
        <f>VLOOKUP($A52,'S0 remplacer avec S44'!$C:$BQ,22,0)</f>
        <v>1005.73497</v>
      </c>
      <c r="F52" s="115">
        <f>VLOOKUP($A52,'S0 remplacer avec S44'!$C:$BQ,29,0)</f>
        <v>467</v>
      </c>
      <c r="G52" s="115">
        <f>VLOOKUP($A52,'S0 remplacer avec S44'!$C:$BQ,30,0)</f>
        <v>762</v>
      </c>
      <c r="H52" s="115">
        <f>VLOOKUP($A52,'S0 remplacer avec S44'!$C:$BQ,52,0)</f>
        <v>59.4</v>
      </c>
      <c r="I52" s="115">
        <f>VLOOKUP($A52,'S0 remplacer avec S44'!$C:$BQ,59,0)</f>
        <v>23</v>
      </c>
      <c r="J52" s="115">
        <f>VLOOKUP($A52,'S0 remplacer avec S44'!$C:$BQ,60,0)</f>
        <v>40</v>
      </c>
      <c r="K52" s="107" t="e">
        <f>VLOOKUP($A52,'S45'!$C:$BQ,32,0)</f>
        <v>#N/A</v>
      </c>
      <c r="L52" s="107" t="e">
        <f>VLOOKUP($A52,'S45'!$C:$BQ,39,0)</f>
        <v>#N/A</v>
      </c>
      <c r="M52" s="107" t="e">
        <f>VLOOKUP($A52,'S45'!$C:$BQ,40,0)</f>
        <v>#N/A</v>
      </c>
      <c r="N52" s="107" t="e">
        <f>VLOOKUP($A52,'S45'!$C:$BQ,22,0)</f>
        <v>#N/A</v>
      </c>
      <c r="O52" s="115" t="e">
        <f>VLOOKUP($A52,'S45'!$C:$BQ,29,0)</f>
        <v>#N/A</v>
      </c>
      <c r="P52" s="115" t="e">
        <f>VLOOKUP($A52,'S45'!$C:$BQ,30,0)</f>
        <v>#N/A</v>
      </c>
      <c r="Q52" s="115" t="e">
        <f>VLOOKUP($A52,'S45'!$C:$BQ,52,0)</f>
        <v>#N/A</v>
      </c>
      <c r="R52" s="115" t="e">
        <f>VLOOKUP($A52,'S45'!$C:$BQ,59,0)</f>
        <v>#N/A</v>
      </c>
      <c r="S52" s="115" t="e">
        <f>VLOOKUP($A52,'S45'!$C:$BQ,60,0)</f>
        <v>#N/A</v>
      </c>
      <c r="T52" s="107" t="e">
        <f>VLOOKUP($A52,'S46'!$C:$BQ,32,0)</f>
        <v>#N/A</v>
      </c>
      <c r="U52" s="107" t="e">
        <f>VLOOKUP($A52,'S46'!$C:$BQ,39,0)</f>
        <v>#N/A</v>
      </c>
      <c r="V52" s="107" t="e">
        <f>VLOOKUP($A52,'S46'!$C:$BQ,40,0)</f>
        <v>#N/A</v>
      </c>
      <c r="W52" s="107" t="e">
        <f>VLOOKUP($A52,'S46'!$C:$BQ,22,0)</f>
        <v>#N/A</v>
      </c>
      <c r="X52" s="115" t="e">
        <f>VLOOKUP($A52,'S46'!$C:$BQ,29,0)</f>
        <v>#N/A</v>
      </c>
      <c r="Y52" s="115" t="e">
        <f>VLOOKUP($A52,'S46'!$C:$BQ,30,0)</f>
        <v>#N/A</v>
      </c>
      <c r="Z52" s="115" t="e">
        <f>VLOOKUP($A52,'S46'!$C:$BQ,52,0)</f>
        <v>#N/A</v>
      </c>
      <c r="AA52" s="115" t="e">
        <f>VLOOKUP($A52,'S46'!$C:$BQ,59,0)</f>
        <v>#N/A</v>
      </c>
      <c r="AB52" s="115" t="e">
        <f>VLOOKUP($A52,'S46'!$C:$BQ,60,0)</f>
        <v>#N/A</v>
      </c>
      <c r="AC52" s="107" t="e">
        <f>VLOOKUP($A52,'S47'!$C:$BQ,32,0)</f>
        <v>#N/A</v>
      </c>
      <c r="AD52" s="107" t="e">
        <f>VLOOKUP($A52,'S47'!$C:$BQ,39,0)</f>
        <v>#N/A</v>
      </c>
      <c r="AE52" s="107" t="e">
        <f>VLOOKUP($A52,'S47'!$C:$BQ,40,0)</f>
        <v>#N/A</v>
      </c>
      <c r="AF52" s="107" t="e">
        <f>VLOOKUP($A52,'S47'!$C:$BQ,22,0)</f>
        <v>#N/A</v>
      </c>
      <c r="AG52" s="115" t="e">
        <f>VLOOKUP($A52,'S47'!$C:$BQ,29,0)</f>
        <v>#N/A</v>
      </c>
      <c r="AH52" s="115" t="e">
        <f>VLOOKUP($A52,'S47'!$C:$BQ,30,0)</f>
        <v>#N/A</v>
      </c>
      <c r="AI52" s="115" t="e">
        <f>VLOOKUP($A52,'S47'!$C:$BQ,52,0)</f>
        <v>#N/A</v>
      </c>
      <c r="AJ52" s="115" t="e">
        <f>VLOOKUP($A52,'S47'!$C:$BQ,59,0)</f>
        <v>#N/A</v>
      </c>
      <c r="AK52" s="115" t="e">
        <f>VLOOKUP($A52,'S47'!$C:$BQ,60,0)</f>
        <v>#N/A</v>
      </c>
      <c r="AL52" s="107" t="e">
        <f>VLOOKUP($A52,'S48'!$C:$BQ,32,0)</f>
        <v>#N/A</v>
      </c>
      <c r="AM52" s="107" t="e">
        <f>VLOOKUP($A52,'S48'!$C:$BQ,39,0)</f>
        <v>#N/A</v>
      </c>
      <c r="AN52" s="107" t="e">
        <f>VLOOKUP($A52,'S48'!$C:$BQ,40,0)</f>
        <v>#N/A</v>
      </c>
      <c r="AO52" s="107" t="e">
        <f>VLOOKUP($A52,'S48'!$C:$BQ,22,0)</f>
        <v>#N/A</v>
      </c>
      <c r="AP52" s="115" t="e">
        <f>VLOOKUP($A52,'S48'!$C:$BQ,29,0)</f>
        <v>#N/A</v>
      </c>
      <c r="AQ52" s="115" t="e">
        <f>VLOOKUP($A52,'S48'!$C:$BQ,30,0)</f>
        <v>#N/A</v>
      </c>
      <c r="AR52" s="115" t="e">
        <f>VLOOKUP($A52,'S48'!$C:$BQ,52,0)</f>
        <v>#N/A</v>
      </c>
      <c r="AS52" s="115" t="e">
        <f>VLOOKUP($A52,'S48'!$C:$BQ,59,0)</f>
        <v>#N/A</v>
      </c>
      <c r="AT52" s="115" t="e">
        <f>VLOOKUP($A52,'S48'!$C:$BQ,60,0)</f>
        <v>#N/A</v>
      </c>
      <c r="AU52" s="107" t="e">
        <f>VLOOKUP($A52,'S49'!$C:$BQ,32,0)</f>
        <v>#N/A</v>
      </c>
      <c r="AV52" s="107" t="e">
        <f>VLOOKUP($A52,'S49'!$C:$BQ,39,0)</f>
        <v>#N/A</v>
      </c>
      <c r="AW52" s="107" t="e">
        <f>VLOOKUP($A52,'S49'!$C:$BQ,40,0)</f>
        <v>#N/A</v>
      </c>
      <c r="AX52" s="107" t="e">
        <f>VLOOKUP($A52,'S49'!$C:$BQ,22,0)</f>
        <v>#N/A</v>
      </c>
      <c r="AY52" s="115" t="e">
        <f>VLOOKUP($A52,'S49'!$C:$BQ,29,0)</f>
        <v>#N/A</v>
      </c>
      <c r="AZ52" s="115" t="e">
        <f>VLOOKUP($A52,'S49'!$C:$BQ,30,0)</f>
        <v>#N/A</v>
      </c>
      <c r="BA52" s="115" t="e">
        <f>VLOOKUP($A52,'S49'!$C:$BQ,52,0)</f>
        <v>#N/A</v>
      </c>
      <c r="BB52" s="115" t="e">
        <f>VLOOKUP($A52,'S49'!$C:$BQ,59,0)</f>
        <v>#N/A</v>
      </c>
      <c r="BC52" s="115" t="e">
        <f>VLOOKUP($A52,'S49'!$C:$BQ,60,0)</f>
        <v>#N/A</v>
      </c>
      <c r="BD52" s="107" t="e">
        <f>VLOOKUP($A52,'S50'!$C:$BQ,32,0)</f>
        <v>#N/A</v>
      </c>
      <c r="BE52" s="107" t="e">
        <f>VLOOKUP($A52,'S50'!$C:$BQ,39,0)</f>
        <v>#N/A</v>
      </c>
      <c r="BF52" s="107" t="e">
        <f>VLOOKUP($A52,'S50'!$C:$BQ,40,0)</f>
        <v>#N/A</v>
      </c>
      <c r="BG52" s="107" t="e">
        <f>VLOOKUP($A52,'S50'!$C:$BQ,22,0)</f>
        <v>#N/A</v>
      </c>
      <c r="BH52" s="115" t="e">
        <f>VLOOKUP($A52,'S50'!$C:$BQ,29,0)</f>
        <v>#N/A</v>
      </c>
      <c r="BI52" s="115" t="e">
        <f>VLOOKUP($A52,'S50'!$C:$BQ,30,0)</f>
        <v>#N/A</v>
      </c>
      <c r="BJ52" s="115" t="e">
        <f>VLOOKUP($A52,'S50'!$C:$BQ,52,0)</f>
        <v>#N/A</v>
      </c>
      <c r="BK52" s="115" t="e">
        <f>VLOOKUP($A52,'S50'!$C:$BQ,59,0)</f>
        <v>#N/A</v>
      </c>
      <c r="BL52" s="115" t="e">
        <f>VLOOKUP($A52,'S50'!$C:$BQ,60,0)</f>
        <v>#N/A</v>
      </c>
    </row>
    <row r="53" spans="1:64" x14ac:dyDescent="0.2">
      <c r="A53" s="106" t="s">
        <v>110</v>
      </c>
      <c r="B53" s="107">
        <f>VLOOKUP($A53,'S0 remplacer avec S44'!$C:$BQ,32,0)</f>
        <v>145.80000000000001</v>
      </c>
      <c r="C53" s="107">
        <f>VLOOKUP($A53,'S0 remplacer avec S44'!$C:$BQ,39,0)</f>
        <v>185</v>
      </c>
      <c r="D53" s="107">
        <f>VLOOKUP($A53,'S0 remplacer avec S44'!$C:$BQ,40,0)</f>
        <v>251</v>
      </c>
      <c r="E53" s="107">
        <f>VLOOKUP($A53,'S0 remplacer avec S44'!$C:$BQ,22,0)</f>
        <v>2171.8479699999998</v>
      </c>
      <c r="F53" s="115">
        <f>VLOOKUP($A53,'S0 remplacer avec S44'!$C:$BQ,29,0)</f>
        <v>831</v>
      </c>
      <c r="G53" s="115">
        <f>VLOOKUP($A53,'S0 remplacer avec S44'!$C:$BQ,30,0)</f>
        <v>1431</v>
      </c>
      <c r="H53" s="115">
        <f>VLOOKUP($A53,'S0 remplacer avec S44'!$C:$BQ,52,0)</f>
        <v>178.8</v>
      </c>
      <c r="I53" s="115">
        <f>VLOOKUP($A53,'S0 remplacer avec S44'!$C:$BQ,59,0)</f>
        <v>0</v>
      </c>
      <c r="J53" s="115">
        <f>VLOOKUP($A53,'S0 remplacer avec S44'!$C:$BQ,60,0)</f>
        <v>23</v>
      </c>
      <c r="K53" s="107" t="e">
        <f>VLOOKUP($A53,'S45'!$C:$BQ,32,0)</f>
        <v>#N/A</v>
      </c>
      <c r="L53" s="107" t="e">
        <f>VLOOKUP($A53,'S45'!$C:$BQ,39,0)</f>
        <v>#N/A</v>
      </c>
      <c r="M53" s="107" t="e">
        <f>VLOOKUP($A53,'S45'!$C:$BQ,40,0)</f>
        <v>#N/A</v>
      </c>
      <c r="N53" s="107" t="e">
        <f>VLOOKUP($A53,'S45'!$C:$BQ,22,0)</f>
        <v>#N/A</v>
      </c>
      <c r="O53" s="115" t="e">
        <f>VLOOKUP($A53,'S45'!$C:$BQ,29,0)</f>
        <v>#N/A</v>
      </c>
      <c r="P53" s="115" t="e">
        <f>VLOOKUP($A53,'S45'!$C:$BQ,30,0)</f>
        <v>#N/A</v>
      </c>
      <c r="Q53" s="115" t="e">
        <f>VLOOKUP($A53,'S45'!$C:$BQ,52,0)</f>
        <v>#N/A</v>
      </c>
      <c r="R53" s="115" t="e">
        <f>VLOOKUP($A53,'S45'!$C:$BQ,59,0)</f>
        <v>#N/A</v>
      </c>
      <c r="S53" s="115" t="e">
        <f>VLOOKUP($A53,'S45'!$C:$BQ,60,0)</f>
        <v>#N/A</v>
      </c>
      <c r="T53" s="107" t="e">
        <f>VLOOKUP($A53,'S46'!$C:$BQ,32,0)</f>
        <v>#N/A</v>
      </c>
      <c r="U53" s="107" t="e">
        <f>VLOOKUP($A53,'S46'!$C:$BQ,39,0)</f>
        <v>#N/A</v>
      </c>
      <c r="V53" s="107" t="e">
        <f>VLOOKUP($A53,'S46'!$C:$BQ,40,0)</f>
        <v>#N/A</v>
      </c>
      <c r="W53" s="107" t="e">
        <f>VLOOKUP($A53,'S46'!$C:$BQ,22,0)</f>
        <v>#N/A</v>
      </c>
      <c r="X53" s="115" t="e">
        <f>VLOOKUP($A53,'S46'!$C:$BQ,29,0)</f>
        <v>#N/A</v>
      </c>
      <c r="Y53" s="115" t="e">
        <f>VLOOKUP($A53,'S46'!$C:$BQ,30,0)</f>
        <v>#N/A</v>
      </c>
      <c r="Z53" s="115" t="e">
        <f>VLOOKUP($A53,'S46'!$C:$BQ,52,0)</f>
        <v>#N/A</v>
      </c>
      <c r="AA53" s="115" t="e">
        <f>VLOOKUP($A53,'S46'!$C:$BQ,59,0)</f>
        <v>#N/A</v>
      </c>
      <c r="AB53" s="115" t="e">
        <f>VLOOKUP($A53,'S46'!$C:$BQ,60,0)</f>
        <v>#N/A</v>
      </c>
      <c r="AC53" s="107" t="e">
        <f>VLOOKUP($A53,'S47'!$C:$BQ,32,0)</f>
        <v>#N/A</v>
      </c>
      <c r="AD53" s="107" t="e">
        <f>VLOOKUP($A53,'S47'!$C:$BQ,39,0)</f>
        <v>#N/A</v>
      </c>
      <c r="AE53" s="107" t="e">
        <f>VLOOKUP($A53,'S47'!$C:$BQ,40,0)</f>
        <v>#N/A</v>
      </c>
      <c r="AF53" s="107" t="e">
        <f>VLOOKUP($A53,'S47'!$C:$BQ,22,0)</f>
        <v>#N/A</v>
      </c>
      <c r="AG53" s="115" t="e">
        <f>VLOOKUP($A53,'S47'!$C:$BQ,29,0)</f>
        <v>#N/A</v>
      </c>
      <c r="AH53" s="115" t="e">
        <f>VLOOKUP($A53,'S47'!$C:$BQ,30,0)</f>
        <v>#N/A</v>
      </c>
      <c r="AI53" s="115" t="e">
        <f>VLOOKUP($A53,'S47'!$C:$BQ,52,0)</f>
        <v>#N/A</v>
      </c>
      <c r="AJ53" s="115" t="e">
        <f>VLOOKUP($A53,'S47'!$C:$BQ,59,0)</f>
        <v>#N/A</v>
      </c>
      <c r="AK53" s="115" t="e">
        <f>VLOOKUP($A53,'S47'!$C:$BQ,60,0)</f>
        <v>#N/A</v>
      </c>
      <c r="AL53" s="107" t="e">
        <f>VLOOKUP($A53,'S48'!$C:$BQ,32,0)</f>
        <v>#N/A</v>
      </c>
      <c r="AM53" s="107" t="e">
        <f>VLOOKUP($A53,'S48'!$C:$BQ,39,0)</f>
        <v>#N/A</v>
      </c>
      <c r="AN53" s="107" t="e">
        <f>VLOOKUP($A53,'S48'!$C:$BQ,40,0)</f>
        <v>#N/A</v>
      </c>
      <c r="AO53" s="107" t="e">
        <f>VLOOKUP($A53,'S48'!$C:$BQ,22,0)</f>
        <v>#N/A</v>
      </c>
      <c r="AP53" s="115" t="e">
        <f>VLOOKUP($A53,'S48'!$C:$BQ,29,0)</f>
        <v>#N/A</v>
      </c>
      <c r="AQ53" s="115" t="e">
        <f>VLOOKUP($A53,'S48'!$C:$BQ,30,0)</f>
        <v>#N/A</v>
      </c>
      <c r="AR53" s="115" t="e">
        <f>VLOOKUP($A53,'S48'!$C:$BQ,52,0)</f>
        <v>#N/A</v>
      </c>
      <c r="AS53" s="115" t="e">
        <f>VLOOKUP($A53,'S48'!$C:$BQ,59,0)</f>
        <v>#N/A</v>
      </c>
      <c r="AT53" s="115" t="e">
        <f>VLOOKUP($A53,'S48'!$C:$BQ,60,0)</f>
        <v>#N/A</v>
      </c>
      <c r="AU53" s="107" t="e">
        <f>VLOOKUP($A53,'S49'!$C:$BQ,32,0)</f>
        <v>#N/A</v>
      </c>
      <c r="AV53" s="107" t="e">
        <f>VLOOKUP($A53,'S49'!$C:$BQ,39,0)</f>
        <v>#N/A</v>
      </c>
      <c r="AW53" s="107" t="e">
        <f>VLOOKUP($A53,'S49'!$C:$BQ,40,0)</f>
        <v>#N/A</v>
      </c>
      <c r="AX53" s="107" t="e">
        <f>VLOOKUP($A53,'S49'!$C:$BQ,22,0)</f>
        <v>#N/A</v>
      </c>
      <c r="AY53" s="115" t="e">
        <f>VLOOKUP($A53,'S49'!$C:$BQ,29,0)</f>
        <v>#N/A</v>
      </c>
      <c r="AZ53" s="115" t="e">
        <f>VLOOKUP($A53,'S49'!$C:$BQ,30,0)</f>
        <v>#N/A</v>
      </c>
      <c r="BA53" s="115" t="e">
        <f>VLOOKUP($A53,'S49'!$C:$BQ,52,0)</f>
        <v>#N/A</v>
      </c>
      <c r="BB53" s="115" t="e">
        <f>VLOOKUP($A53,'S49'!$C:$BQ,59,0)</f>
        <v>#N/A</v>
      </c>
      <c r="BC53" s="115" t="e">
        <f>VLOOKUP($A53,'S49'!$C:$BQ,60,0)</f>
        <v>#N/A</v>
      </c>
      <c r="BD53" s="107" t="e">
        <f>VLOOKUP($A53,'S50'!$C:$BQ,32,0)</f>
        <v>#N/A</v>
      </c>
      <c r="BE53" s="107" t="e">
        <f>VLOOKUP($A53,'S50'!$C:$BQ,39,0)</f>
        <v>#N/A</v>
      </c>
      <c r="BF53" s="107" t="e">
        <f>VLOOKUP($A53,'S50'!$C:$BQ,40,0)</f>
        <v>#N/A</v>
      </c>
      <c r="BG53" s="107" t="e">
        <f>VLOOKUP($A53,'S50'!$C:$BQ,22,0)</f>
        <v>#N/A</v>
      </c>
      <c r="BH53" s="115" t="e">
        <f>VLOOKUP($A53,'S50'!$C:$BQ,29,0)</f>
        <v>#N/A</v>
      </c>
      <c r="BI53" s="115" t="e">
        <f>VLOOKUP($A53,'S50'!$C:$BQ,30,0)</f>
        <v>#N/A</v>
      </c>
      <c r="BJ53" s="115" t="e">
        <f>VLOOKUP($A53,'S50'!$C:$BQ,52,0)</f>
        <v>#N/A</v>
      </c>
      <c r="BK53" s="115" t="e">
        <f>VLOOKUP($A53,'S50'!$C:$BQ,59,0)</f>
        <v>#N/A</v>
      </c>
      <c r="BL53" s="115" t="e">
        <f>VLOOKUP($A53,'S50'!$C:$BQ,60,0)</f>
        <v>#N/A</v>
      </c>
    </row>
    <row r="54" spans="1:64" x14ac:dyDescent="0.2">
      <c r="A54" s="106" t="s">
        <v>111</v>
      </c>
      <c r="B54" s="107">
        <f>VLOOKUP($A54,'S0 remplacer avec S44'!$C:$BQ,32,0)</f>
        <v>148.94999999999999</v>
      </c>
      <c r="C54" s="107">
        <f>VLOOKUP($A54,'S0 remplacer avec S44'!$C:$BQ,39,0)</f>
        <v>18</v>
      </c>
      <c r="D54" s="107">
        <f>VLOOKUP($A54,'S0 remplacer avec S44'!$C:$BQ,40,0)</f>
        <v>51</v>
      </c>
      <c r="E54" s="107">
        <f>VLOOKUP($A54,'S0 remplacer avec S44'!$C:$BQ,22,0)</f>
        <v>1869.0135700000001</v>
      </c>
      <c r="F54" s="115">
        <f>VLOOKUP($A54,'S0 remplacer avec S44'!$C:$BQ,29,0)</f>
        <v>0</v>
      </c>
      <c r="G54" s="115">
        <f>VLOOKUP($A54,'S0 remplacer avec S44'!$C:$BQ,30,0)</f>
        <v>0</v>
      </c>
      <c r="H54" s="115">
        <f>VLOOKUP($A54,'S0 remplacer avec S44'!$C:$BQ,52,0)</f>
        <v>134.80000000000001</v>
      </c>
      <c r="I54" s="115">
        <f>VLOOKUP($A54,'S0 remplacer avec S44'!$C:$BQ,59,0)</f>
        <v>0</v>
      </c>
      <c r="J54" s="115">
        <f>VLOOKUP($A54,'S0 remplacer avec S44'!$C:$BQ,60,0)</f>
        <v>0</v>
      </c>
      <c r="K54" s="107" t="e">
        <f>VLOOKUP($A54,'S45'!$C:$BQ,32,0)</f>
        <v>#N/A</v>
      </c>
      <c r="L54" s="107" t="e">
        <f>VLOOKUP($A54,'S45'!$C:$BQ,39,0)</f>
        <v>#N/A</v>
      </c>
      <c r="M54" s="107" t="e">
        <f>VLOOKUP($A54,'S45'!$C:$BQ,40,0)</f>
        <v>#N/A</v>
      </c>
      <c r="N54" s="107" t="e">
        <f>VLOOKUP($A54,'S45'!$C:$BQ,22,0)</f>
        <v>#N/A</v>
      </c>
      <c r="O54" s="115" t="e">
        <f>VLOOKUP($A54,'S45'!$C:$BQ,29,0)</f>
        <v>#N/A</v>
      </c>
      <c r="P54" s="115" t="e">
        <f>VLOOKUP($A54,'S45'!$C:$BQ,30,0)</f>
        <v>#N/A</v>
      </c>
      <c r="Q54" s="115" t="e">
        <f>VLOOKUP($A54,'S45'!$C:$BQ,52,0)</f>
        <v>#N/A</v>
      </c>
      <c r="R54" s="115" t="e">
        <f>VLOOKUP($A54,'S45'!$C:$BQ,59,0)</f>
        <v>#N/A</v>
      </c>
      <c r="S54" s="115" t="e">
        <f>VLOOKUP($A54,'S45'!$C:$BQ,60,0)</f>
        <v>#N/A</v>
      </c>
      <c r="T54" s="107" t="e">
        <f>VLOOKUP($A54,'S46'!$C:$BQ,32,0)</f>
        <v>#N/A</v>
      </c>
      <c r="U54" s="107" t="e">
        <f>VLOOKUP($A54,'S46'!$C:$BQ,39,0)</f>
        <v>#N/A</v>
      </c>
      <c r="V54" s="107" t="e">
        <f>VLOOKUP($A54,'S46'!$C:$BQ,40,0)</f>
        <v>#N/A</v>
      </c>
      <c r="W54" s="107" t="e">
        <f>VLOOKUP($A54,'S46'!$C:$BQ,22,0)</f>
        <v>#N/A</v>
      </c>
      <c r="X54" s="115" t="e">
        <f>VLOOKUP($A54,'S46'!$C:$BQ,29,0)</f>
        <v>#N/A</v>
      </c>
      <c r="Y54" s="115" t="e">
        <f>VLOOKUP($A54,'S46'!$C:$BQ,30,0)</f>
        <v>#N/A</v>
      </c>
      <c r="Z54" s="115" t="e">
        <f>VLOOKUP($A54,'S46'!$C:$BQ,52,0)</f>
        <v>#N/A</v>
      </c>
      <c r="AA54" s="115" t="e">
        <f>VLOOKUP($A54,'S46'!$C:$BQ,59,0)</f>
        <v>#N/A</v>
      </c>
      <c r="AB54" s="115" t="e">
        <f>VLOOKUP($A54,'S46'!$C:$BQ,60,0)</f>
        <v>#N/A</v>
      </c>
      <c r="AC54" s="107" t="e">
        <f>VLOOKUP($A54,'S47'!$C:$BQ,32,0)</f>
        <v>#N/A</v>
      </c>
      <c r="AD54" s="107" t="e">
        <f>VLOOKUP($A54,'S47'!$C:$BQ,39,0)</f>
        <v>#N/A</v>
      </c>
      <c r="AE54" s="107" t="e">
        <f>VLOOKUP($A54,'S47'!$C:$BQ,40,0)</f>
        <v>#N/A</v>
      </c>
      <c r="AF54" s="107" t="e">
        <f>VLOOKUP($A54,'S47'!$C:$BQ,22,0)</f>
        <v>#N/A</v>
      </c>
      <c r="AG54" s="115" t="e">
        <f>VLOOKUP($A54,'S47'!$C:$BQ,29,0)</f>
        <v>#N/A</v>
      </c>
      <c r="AH54" s="115" t="e">
        <f>VLOOKUP($A54,'S47'!$C:$BQ,30,0)</f>
        <v>#N/A</v>
      </c>
      <c r="AI54" s="115" t="e">
        <f>VLOOKUP($A54,'S47'!$C:$BQ,52,0)</f>
        <v>#N/A</v>
      </c>
      <c r="AJ54" s="115" t="e">
        <f>VLOOKUP($A54,'S47'!$C:$BQ,59,0)</f>
        <v>#N/A</v>
      </c>
      <c r="AK54" s="115" t="e">
        <f>VLOOKUP($A54,'S47'!$C:$BQ,60,0)</f>
        <v>#N/A</v>
      </c>
      <c r="AL54" s="107" t="e">
        <f>VLOOKUP($A54,'S48'!$C:$BQ,32,0)</f>
        <v>#N/A</v>
      </c>
      <c r="AM54" s="107" t="e">
        <f>VLOOKUP($A54,'S48'!$C:$BQ,39,0)</f>
        <v>#N/A</v>
      </c>
      <c r="AN54" s="107" t="e">
        <f>VLOOKUP($A54,'S48'!$C:$BQ,40,0)</f>
        <v>#N/A</v>
      </c>
      <c r="AO54" s="107" t="e">
        <f>VLOOKUP($A54,'S48'!$C:$BQ,22,0)</f>
        <v>#N/A</v>
      </c>
      <c r="AP54" s="115" t="e">
        <f>VLOOKUP($A54,'S48'!$C:$BQ,29,0)</f>
        <v>#N/A</v>
      </c>
      <c r="AQ54" s="115" t="e">
        <f>VLOOKUP($A54,'S48'!$C:$BQ,30,0)</f>
        <v>#N/A</v>
      </c>
      <c r="AR54" s="115" t="e">
        <f>VLOOKUP($A54,'S48'!$C:$BQ,52,0)</f>
        <v>#N/A</v>
      </c>
      <c r="AS54" s="115" t="e">
        <f>VLOOKUP($A54,'S48'!$C:$BQ,59,0)</f>
        <v>#N/A</v>
      </c>
      <c r="AT54" s="115" t="e">
        <f>VLOOKUP($A54,'S48'!$C:$BQ,60,0)</f>
        <v>#N/A</v>
      </c>
      <c r="AU54" s="107" t="e">
        <f>VLOOKUP($A54,'S49'!$C:$BQ,32,0)</f>
        <v>#N/A</v>
      </c>
      <c r="AV54" s="107" t="e">
        <f>VLOOKUP($A54,'S49'!$C:$BQ,39,0)</f>
        <v>#N/A</v>
      </c>
      <c r="AW54" s="107" t="e">
        <f>VLOOKUP($A54,'S49'!$C:$BQ,40,0)</f>
        <v>#N/A</v>
      </c>
      <c r="AX54" s="107" t="e">
        <f>VLOOKUP($A54,'S49'!$C:$BQ,22,0)</f>
        <v>#N/A</v>
      </c>
      <c r="AY54" s="115" t="e">
        <f>VLOOKUP($A54,'S49'!$C:$BQ,29,0)</f>
        <v>#N/A</v>
      </c>
      <c r="AZ54" s="115" t="e">
        <f>VLOOKUP($A54,'S49'!$C:$BQ,30,0)</f>
        <v>#N/A</v>
      </c>
      <c r="BA54" s="115" t="e">
        <f>VLOOKUP($A54,'S49'!$C:$BQ,52,0)</f>
        <v>#N/A</v>
      </c>
      <c r="BB54" s="115" t="e">
        <f>VLOOKUP($A54,'S49'!$C:$BQ,59,0)</f>
        <v>#N/A</v>
      </c>
      <c r="BC54" s="115" t="e">
        <f>VLOOKUP($A54,'S49'!$C:$BQ,60,0)</f>
        <v>#N/A</v>
      </c>
      <c r="BD54" s="107" t="e">
        <f>VLOOKUP($A54,'S50'!$C:$BQ,32,0)</f>
        <v>#N/A</v>
      </c>
      <c r="BE54" s="107" t="e">
        <f>VLOOKUP($A54,'S50'!$C:$BQ,39,0)</f>
        <v>#N/A</v>
      </c>
      <c r="BF54" s="107" t="e">
        <f>VLOOKUP($A54,'S50'!$C:$BQ,40,0)</f>
        <v>#N/A</v>
      </c>
      <c r="BG54" s="107" t="e">
        <f>VLOOKUP($A54,'S50'!$C:$BQ,22,0)</f>
        <v>#N/A</v>
      </c>
      <c r="BH54" s="115" t="e">
        <f>VLOOKUP($A54,'S50'!$C:$BQ,29,0)</f>
        <v>#N/A</v>
      </c>
      <c r="BI54" s="115" t="e">
        <f>VLOOKUP($A54,'S50'!$C:$BQ,30,0)</f>
        <v>#N/A</v>
      </c>
      <c r="BJ54" s="115" t="e">
        <f>VLOOKUP($A54,'S50'!$C:$BQ,52,0)</f>
        <v>#N/A</v>
      </c>
      <c r="BK54" s="115" t="e">
        <f>VLOOKUP($A54,'S50'!$C:$BQ,59,0)</f>
        <v>#N/A</v>
      </c>
      <c r="BL54" s="115" t="e">
        <f>VLOOKUP($A54,'S50'!$C:$BQ,60,0)</f>
        <v>#N/A</v>
      </c>
    </row>
    <row r="55" spans="1:64" x14ac:dyDescent="0.2">
      <c r="A55" s="106" t="s">
        <v>112</v>
      </c>
      <c r="B55" s="107">
        <f>VLOOKUP($A55,'S0 remplacer avec S44'!$C:$BQ,32,0)</f>
        <v>237.7</v>
      </c>
      <c r="C55" s="107">
        <f>VLOOKUP($A55,'S0 remplacer avec S44'!$C:$BQ,39,0)</f>
        <v>100</v>
      </c>
      <c r="D55" s="107">
        <f>VLOOKUP($A55,'S0 remplacer avec S44'!$C:$BQ,40,0)</f>
        <v>168</v>
      </c>
      <c r="E55" s="107">
        <f>VLOOKUP($A55,'S0 remplacer avec S44'!$C:$BQ,22,0)</f>
        <v>1907.5543150000001</v>
      </c>
      <c r="F55" s="115">
        <f>VLOOKUP($A55,'S0 remplacer avec S44'!$C:$BQ,29,0)</f>
        <v>1162</v>
      </c>
      <c r="G55" s="115">
        <f>VLOOKUP($A55,'S0 remplacer avec S44'!$C:$BQ,30,0)</f>
        <v>1776</v>
      </c>
      <c r="H55" s="115">
        <f>VLOOKUP($A55,'S0 remplacer avec S44'!$C:$BQ,52,0)</f>
        <v>188.2</v>
      </c>
      <c r="I55" s="115">
        <f>VLOOKUP($A55,'S0 remplacer avec S44'!$C:$BQ,59,0)</f>
        <v>0</v>
      </c>
      <c r="J55" s="115">
        <f>VLOOKUP($A55,'S0 remplacer avec S44'!$C:$BQ,60,0)</f>
        <v>18</v>
      </c>
      <c r="K55" s="107" t="e">
        <f>VLOOKUP($A55,'S45'!$C:$BQ,32,0)</f>
        <v>#N/A</v>
      </c>
      <c r="L55" s="107" t="e">
        <f>VLOOKUP($A55,'S45'!$C:$BQ,39,0)</f>
        <v>#N/A</v>
      </c>
      <c r="M55" s="107" t="e">
        <f>VLOOKUP($A55,'S45'!$C:$BQ,40,0)</f>
        <v>#N/A</v>
      </c>
      <c r="N55" s="107" t="e">
        <f>VLOOKUP($A55,'S45'!$C:$BQ,22,0)</f>
        <v>#N/A</v>
      </c>
      <c r="O55" s="115" t="e">
        <f>VLOOKUP($A55,'S45'!$C:$BQ,29,0)</f>
        <v>#N/A</v>
      </c>
      <c r="P55" s="115" t="e">
        <f>VLOOKUP($A55,'S45'!$C:$BQ,30,0)</f>
        <v>#N/A</v>
      </c>
      <c r="Q55" s="115" t="e">
        <f>VLOOKUP($A55,'S45'!$C:$BQ,52,0)</f>
        <v>#N/A</v>
      </c>
      <c r="R55" s="115" t="e">
        <f>VLOOKUP($A55,'S45'!$C:$BQ,59,0)</f>
        <v>#N/A</v>
      </c>
      <c r="S55" s="115" t="e">
        <f>VLOOKUP($A55,'S45'!$C:$BQ,60,0)</f>
        <v>#N/A</v>
      </c>
      <c r="T55" s="107" t="e">
        <f>VLOOKUP($A55,'S46'!$C:$BQ,32,0)</f>
        <v>#N/A</v>
      </c>
      <c r="U55" s="107" t="e">
        <f>VLOOKUP($A55,'S46'!$C:$BQ,39,0)</f>
        <v>#N/A</v>
      </c>
      <c r="V55" s="107" t="e">
        <f>VLOOKUP($A55,'S46'!$C:$BQ,40,0)</f>
        <v>#N/A</v>
      </c>
      <c r="W55" s="107" t="e">
        <f>VLOOKUP($A55,'S46'!$C:$BQ,22,0)</f>
        <v>#N/A</v>
      </c>
      <c r="X55" s="115" t="e">
        <f>VLOOKUP($A55,'S46'!$C:$BQ,29,0)</f>
        <v>#N/A</v>
      </c>
      <c r="Y55" s="115" t="e">
        <f>VLOOKUP($A55,'S46'!$C:$BQ,30,0)</f>
        <v>#N/A</v>
      </c>
      <c r="Z55" s="115" t="e">
        <f>VLOOKUP($A55,'S46'!$C:$BQ,52,0)</f>
        <v>#N/A</v>
      </c>
      <c r="AA55" s="115" t="e">
        <f>VLOOKUP($A55,'S46'!$C:$BQ,59,0)</f>
        <v>#N/A</v>
      </c>
      <c r="AB55" s="115" t="e">
        <f>VLOOKUP($A55,'S46'!$C:$BQ,60,0)</f>
        <v>#N/A</v>
      </c>
      <c r="AC55" s="107" t="e">
        <f>VLOOKUP($A55,'S47'!$C:$BQ,32,0)</f>
        <v>#N/A</v>
      </c>
      <c r="AD55" s="107" t="e">
        <f>VLOOKUP($A55,'S47'!$C:$BQ,39,0)</f>
        <v>#N/A</v>
      </c>
      <c r="AE55" s="107" t="e">
        <f>VLOOKUP($A55,'S47'!$C:$BQ,40,0)</f>
        <v>#N/A</v>
      </c>
      <c r="AF55" s="107" t="e">
        <f>VLOOKUP($A55,'S47'!$C:$BQ,22,0)</f>
        <v>#N/A</v>
      </c>
      <c r="AG55" s="115" t="e">
        <f>VLOOKUP($A55,'S47'!$C:$BQ,29,0)</f>
        <v>#N/A</v>
      </c>
      <c r="AH55" s="115" t="e">
        <f>VLOOKUP($A55,'S47'!$C:$BQ,30,0)</f>
        <v>#N/A</v>
      </c>
      <c r="AI55" s="115" t="e">
        <f>VLOOKUP($A55,'S47'!$C:$BQ,52,0)</f>
        <v>#N/A</v>
      </c>
      <c r="AJ55" s="115" t="e">
        <f>VLOOKUP($A55,'S47'!$C:$BQ,59,0)</f>
        <v>#N/A</v>
      </c>
      <c r="AK55" s="115" t="e">
        <f>VLOOKUP($A55,'S47'!$C:$BQ,60,0)</f>
        <v>#N/A</v>
      </c>
      <c r="AL55" s="107" t="e">
        <f>VLOOKUP($A55,'S48'!$C:$BQ,32,0)</f>
        <v>#N/A</v>
      </c>
      <c r="AM55" s="107" t="e">
        <f>VLOOKUP($A55,'S48'!$C:$BQ,39,0)</f>
        <v>#N/A</v>
      </c>
      <c r="AN55" s="107" t="e">
        <f>VLOOKUP($A55,'S48'!$C:$BQ,40,0)</f>
        <v>#N/A</v>
      </c>
      <c r="AO55" s="107" t="e">
        <f>VLOOKUP($A55,'S48'!$C:$BQ,22,0)</f>
        <v>#N/A</v>
      </c>
      <c r="AP55" s="115" t="e">
        <f>VLOOKUP($A55,'S48'!$C:$BQ,29,0)</f>
        <v>#N/A</v>
      </c>
      <c r="AQ55" s="115" t="e">
        <f>VLOOKUP($A55,'S48'!$C:$BQ,30,0)</f>
        <v>#N/A</v>
      </c>
      <c r="AR55" s="115" t="e">
        <f>VLOOKUP($A55,'S48'!$C:$BQ,52,0)</f>
        <v>#N/A</v>
      </c>
      <c r="AS55" s="115" t="e">
        <f>VLOOKUP($A55,'S48'!$C:$BQ,59,0)</f>
        <v>#N/A</v>
      </c>
      <c r="AT55" s="115" t="e">
        <f>VLOOKUP($A55,'S48'!$C:$BQ,60,0)</f>
        <v>#N/A</v>
      </c>
      <c r="AU55" s="107" t="e">
        <f>VLOOKUP($A55,'S49'!$C:$BQ,32,0)</f>
        <v>#N/A</v>
      </c>
      <c r="AV55" s="107" t="e">
        <f>VLOOKUP($A55,'S49'!$C:$BQ,39,0)</f>
        <v>#N/A</v>
      </c>
      <c r="AW55" s="107" t="e">
        <f>VLOOKUP($A55,'S49'!$C:$BQ,40,0)</f>
        <v>#N/A</v>
      </c>
      <c r="AX55" s="107" t="e">
        <f>VLOOKUP($A55,'S49'!$C:$BQ,22,0)</f>
        <v>#N/A</v>
      </c>
      <c r="AY55" s="115" t="e">
        <f>VLOOKUP($A55,'S49'!$C:$BQ,29,0)</f>
        <v>#N/A</v>
      </c>
      <c r="AZ55" s="115" t="e">
        <f>VLOOKUP($A55,'S49'!$C:$BQ,30,0)</f>
        <v>#N/A</v>
      </c>
      <c r="BA55" s="115" t="e">
        <f>VLOOKUP($A55,'S49'!$C:$BQ,52,0)</f>
        <v>#N/A</v>
      </c>
      <c r="BB55" s="115" t="e">
        <f>VLOOKUP($A55,'S49'!$C:$BQ,59,0)</f>
        <v>#N/A</v>
      </c>
      <c r="BC55" s="115" t="e">
        <f>VLOOKUP($A55,'S49'!$C:$BQ,60,0)</f>
        <v>#N/A</v>
      </c>
      <c r="BD55" s="107" t="e">
        <f>VLOOKUP($A55,'S50'!$C:$BQ,32,0)</f>
        <v>#N/A</v>
      </c>
      <c r="BE55" s="107" t="e">
        <f>VLOOKUP($A55,'S50'!$C:$BQ,39,0)</f>
        <v>#N/A</v>
      </c>
      <c r="BF55" s="107" t="e">
        <f>VLOOKUP($A55,'S50'!$C:$BQ,40,0)</f>
        <v>#N/A</v>
      </c>
      <c r="BG55" s="107" t="e">
        <f>VLOOKUP($A55,'S50'!$C:$BQ,22,0)</f>
        <v>#N/A</v>
      </c>
      <c r="BH55" s="115" t="e">
        <f>VLOOKUP($A55,'S50'!$C:$BQ,29,0)</f>
        <v>#N/A</v>
      </c>
      <c r="BI55" s="115" t="e">
        <f>VLOOKUP($A55,'S50'!$C:$BQ,30,0)</f>
        <v>#N/A</v>
      </c>
      <c r="BJ55" s="115" t="e">
        <f>VLOOKUP($A55,'S50'!$C:$BQ,52,0)</f>
        <v>#N/A</v>
      </c>
      <c r="BK55" s="115" t="e">
        <f>VLOOKUP($A55,'S50'!$C:$BQ,59,0)</f>
        <v>#N/A</v>
      </c>
      <c r="BL55" s="115" t="e">
        <f>VLOOKUP($A55,'S50'!$C:$BQ,60,0)</f>
        <v>#N/A</v>
      </c>
    </row>
    <row r="56" spans="1:64" x14ac:dyDescent="0.2">
      <c r="A56" s="106" t="s">
        <v>113</v>
      </c>
      <c r="B56" s="107">
        <f>VLOOKUP($A56,'S0 remplacer avec S44'!$C:$BQ,32,0)</f>
        <v>61.3</v>
      </c>
      <c r="C56" s="107">
        <f>VLOOKUP($A56,'S0 remplacer avec S44'!$C:$BQ,39,0)</f>
        <v>26</v>
      </c>
      <c r="D56" s="107">
        <f>VLOOKUP($A56,'S0 remplacer avec S44'!$C:$BQ,40,0)</f>
        <v>44</v>
      </c>
      <c r="E56" s="107">
        <f>VLOOKUP($A56,'S0 remplacer avec S44'!$C:$BQ,22,0)</f>
        <v>698.67079000000001</v>
      </c>
      <c r="F56" s="115">
        <f>VLOOKUP($A56,'S0 remplacer avec S44'!$C:$BQ,29,0)</f>
        <v>94</v>
      </c>
      <c r="G56" s="115">
        <f>VLOOKUP($A56,'S0 remplacer avec S44'!$C:$BQ,30,0)</f>
        <v>253</v>
      </c>
      <c r="H56" s="115">
        <f>VLOOKUP($A56,'S0 remplacer avec S44'!$C:$BQ,52,0)</f>
        <v>34</v>
      </c>
      <c r="I56" s="115">
        <f>VLOOKUP($A56,'S0 remplacer avec S44'!$C:$BQ,59,0)</f>
        <v>11</v>
      </c>
      <c r="J56" s="115">
        <f>VLOOKUP($A56,'S0 remplacer avec S44'!$C:$BQ,60,0)</f>
        <v>20</v>
      </c>
      <c r="K56" s="107" t="e">
        <f>VLOOKUP($A56,'S45'!$C:$BQ,32,0)</f>
        <v>#N/A</v>
      </c>
      <c r="L56" s="107" t="e">
        <f>VLOOKUP($A56,'S45'!$C:$BQ,39,0)</f>
        <v>#N/A</v>
      </c>
      <c r="M56" s="107" t="e">
        <f>VLOOKUP($A56,'S45'!$C:$BQ,40,0)</f>
        <v>#N/A</v>
      </c>
      <c r="N56" s="107" t="e">
        <f>VLOOKUP($A56,'S45'!$C:$BQ,22,0)</f>
        <v>#N/A</v>
      </c>
      <c r="O56" s="115" t="e">
        <f>VLOOKUP($A56,'S45'!$C:$BQ,29,0)</f>
        <v>#N/A</v>
      </c>
      <c r="P56" s="115" t="e">
        <f>VLOOKUP($A56,'S45'!$C:$BQ,30,0)</f>
        <v>#N/A</v>
      </c>
      <c r="Q56" s="115" t="e">
        <f>VLOOKUP($A56,'S45'!$C:$BQ,52,0)</f>
        <v>#N/A</v>
      </c>
      <c r="R56" s="115" t="e">
        <f>VLOOKUP($A56,'S45'!$C:$BQ,59,0)</f>
        <v>#N/A</v>
      </c>
      <c r="S56" s="115" t="e">
        <f>VLOOKUP($A56,'S45'!$C:$BQ,60,0)</f>
        <v>#N/A</v>
      </c>
      <c r="T56" s="107" t="e">
        <f>VLOOKUP($A56,'S46'!$C:$BQ,32,0)</f>
        <v>#N/A</v>
      </c>
      <c r="U56" s="107" t="e">
        <f>VLOOKUP($A56,'S46'!$C:$BQ,39,0)</f>
        <v>#N/A</v>
      </c>
      <c r="V56" s="107" t="e">
        <f>VLOOKUP($A56,'S46'!$C:$BQ,40,0)</f>
        <v>#N/A</v>
      </c>
      <c r="W56" s="107" t="e">
        <f>VLOOKUP($A56,'S46'!$C:$BQ,22,0)</f>
        <v>#N/A</v>
      </c>
      <c r="X56" s="115" t="e">
        <f>VLOOKUP($A56,'S46'!$C:$BQ,29,0)</f>
        <v>#N/A</v>
      </c>
      <c r="Y56" s="115" t="e">
        <f>VLOOKUP($A56,'S46'!$C:$BQ,30,0)</f>
        <v>#N/A</v>
      </c>
      <c r="Z56" s="115" t="e">
        <f>VLOOKUP($A56,'S46'!$C:$BQ,52,0)</f>
        <v>#N/A</v>
      </c>
      <c r="AA56" s="115" t="e">
        <f>VLOOKUP($A56,'S46'!$C:$BQ,59,0)</f>
        <v>#N/A</v>
      </c>
      <c r="AB56" s="115" t="e">
        <f>VLOOKUP($A56,'S46'!$C:$BQ,60,0)</f>
        <v>#N/A</v>
      </c>
      <c r="AC56" s="107" t="e">
        <f>VLOOKUP($A56,'S47'!$C:$BQ,32,0)</f>
        <v>#N/A</v>
      </c>
      <c r="AD56" s="107" t="e">
        <f>VLOOKUP($A56,'S47'!$C:$BQ,39,0)</f>
        <v>#N/A</v>
      </c>
      <c r="AE56" s="107" t="e">
        <f>VLOOKUP($A56,'S47'!$C:$BQ,40,0)</f>
        <v>#N/A</v>
      </c>
      <c r="AF56" s="107" t="e">
        <f>VLOOKUP($A56,'S47'!$C:$BQ,22,0)</f>
        <v>#N/A</v>
      </c>
      <c r="AG56" s="115" t="e">
        <f>VLOOKUP($A56,'S47'!$C:$BQ,29,0)</f>
        <v>#N/A</v>
      </c>
      <c r="AH56" s="115" t="e">
        <f>VLOOKUP($A56,'S47'!$C:$BQ,30,0)</f>
        <v>#N/A</v>
      </c>
      <c r="AI56" s="115" t="e">
        <f>VLOOKUP($A56,'S47'!$C:$BQ,52,0)</f>
        <v>#N/A</v>
      </c>
      <c r="AJ56" s="115" t="e">
        <f>VLOOKUP($A56,'S47'!$C:$BQ,59,0)</f>
        <v>#N/A</v>
      </c>
      <c r="AK56" s="115" t="e">
        <f>VLOOKUP($A56,'S47'!$C:$BQ,60,0)</f>
        <v>#N/A</v>
      </c>
      <c r="AL56" s="107" t="e">
        <f>VLOOKUP($A56,'S48'!$C:$BQ,32,0)</f>
        <v>#N/A</v>
      </c>
      <c r="AM56" s="107" t="e">
        <f>VLOOKUP($A56,'S48'!$C:$BQ,39,0)</f>
        <v>#N/A</v>
      </c>
      <c r="AN56" s="107" t="e">
        <f>VLOOKUP($A56,'S48'!$C:$BQ,40,0)</f>
        <v>#N/A</v>
      </c>
      <c r="AO56" s="107" t="e">
        <f>VLOOKUP($A56,'S48'!$C:$BQ,22,0)</f>
        <v>#N/A</v>
      </c>
      <c r="AP56" s="115" t="e">
        <f>VLOOKUP($A56,'S48'!$C:$BQ,29,0)</f>
        <v>#N/A</v>
      </c>
      <c r="AQ56" s="115" t="e">
        <f>VLOOKUP($A56,'S48'!$C:$BQ,30,0)</f>
        <v>#N/A</v>
      </c>
      <c r="AR56" s="115" t="e">
        <f>VLOOKUP($A56,'S48'!$C:$BQ,52,0)</f>
        <v>#N/A</v>
      </c>
      <c r="AS56" s="115" t="e">
        <f>VLOOKUP($A56,'S48'!$C:$BQ,59,0)</f>
        <v>#N/A</v>
      </c>
      <c r="AT56" s="115" t="e">
        <f>VLOOKUP($A56,'S48'!$C:$BQ,60,0)</f>
        <v>#N/A</v>
      </c>
      <c r="AU56" s="107" t="e">
        <f>VLOOKUP($A56,'S49'!$C:$BQ,32,0)</f>
        <v>#N/A</v>
      </c>
      <c r="AV56" s="107" t="e">
        <f>VLOOKUP($A56,'S49'!$C:$BQ,39,0)</f>
        <v>#N/A</v>
      </c>
      <c r="AW56" s="107" t="e">
        <f>VLOOKUP($A56,'S49'!$C:$BQ,40,0)</f>
        <v>#N/A</v>
      </c>
      <c r="AX56" s="107" t="e">
        <f>VLOOKUP($A56,'S49'!$C:$BQ,22,0)</f>
        <v>#N/A</v>
      </c>
      <c r="AY56" s="115" t="e">
        <f>VLOOKUP($A56,'S49'!$C:$BQ,29,0)</f>
        <v>#N/A</v>
      </c>
      <c r="AZ56" s="115" t="e">
        <f>VLOOKUP($A56,'S49'!$C:$BQ,30,0)</f>
        <v>#N/A</v>
      </c>
      <c r="BA56" s="115" t="e">
        <f>VLOOKUP($A56,'S49'!$C:$BQ,52,0)</f>
        <v>#N/A</v>
      </c>
      <c r="BB56" s="115" t="e">
        <f>VLOOKUP($A56,'S49'!$C:$BQ,59,0)</f>
        <v>#N/A</v>
      </c>
      <c r="BC56" s="115" t="e">
        <f>VLOOKUP($A56,'S49'!$C:$BQ,60,0)</f>
        <v>#N/A</v>
      </c>
      <c r="BD56" s="107" t="e">
        <f>VLOOKUP($A56,'S50'!$C:$BQ,32,0)</f>
        <v>#N/A</v>
      </c>
      <c r="BE56" s="107" t="e">
        <f>VLOOKUP($A56,'S50'!$C:$BQ,39,0)</f>
        <v>#N/A</v>
      </c>
      <c r="BF56" s="107" t="e">
        <f>VLOOKUP($A56,'S50'!$C:$BQ,40,0)</f>
        <v>#N/A</v>
      </c>
      <c r="BG56" s="107" t="e">
        <f>VLOOKUP($A56,'S50'!$C:$BQ,22,0)</f>
        <v>#N/A</v>
      </c>
      <c r="BH56" s="115" t="e">
        <f>VLOOKUP($A56,'S50'!$C:$BQ,29,0)</f>
        <v>#N/A</v>
      </c>
      <c r="BI56" s="115" t="e">
        <f>VLOOKUP($A56,'S50'!$C:$BQ,30,0)</f>
        <v>#N/A</v>
      </c>
      <c r="BJ56" s="115" t="e">
        <f>VLOOKUP($A56,'S50'!$C:$BQ,52,0)</f>
        <v>#N/A</v>
      </c>
      <c r="BK56" s="115" t="e">
        <f>VLOOKUP($A56,'S50'!$C:$BQ,59,0)</f>
        <v>#N/A</v>
      </c>
      <c r="BL56" s="115" t="e">
        <f>VLOOKUP($A56,'S50'!$C:$BQ,60,0)</f>
        <v>#N/A</v>
      </c>
    </row>
    <row r="57" spans="1:64" x14ac:dyDescent="0.2">
      <c r="A57" s="106" t="s">
        <v>114</v>
      </c>
      <c r="B57" s="107">
        <f>VLOOKUP($A57,'S0 remplacer avec S44'!$C:$BQ,32,0)</f>
        <v>168.3</v>
      </c>
      <c r="C57" s="107">
        <f>VLOOKUP($A57,'S0 remplacer avec S44'!$C:$BQ,39,0)</f>
        <v>21</v>
      </c>
      <c r="D57" s="107">
        <f>VLOOKUP($A57,'S0 remplacer avec S44'!$C:$BQ,40,0)</f>
        <v>59</v>
      </c>
      <c r="E57" s="107">
        <f>VLOOKUP($A57,'S0 remplacer avec S44'!$C:$BQ,22,0)</f>
        <v>1932.6159299999999</v>
      </c>
      <c r="F57" s="115">
        <f>VLOOKUP($A57,'S0 remplacer avec S44'!$C:$BQ,29,0)</f>
        <v>0</v>
      </c>
      <c r="G57" s="115">
        <f>VLOOKUP($A57,'S0 remplacer avec S44'!$C:$BQ,30,0)</f>
        <v>133</v>
      </c>
      <c r="H57" s="115">
        <f>VLOOKUP($A57,'S0 remplacer avec S44'!$C:$BQ,52,0)</f>
        <v>129.80000000000001</v>
      </c>
      <c r="I57" s="115">
        <f>VLOOKUP($A57,'S0 remplacer avec S44'!$C:$BQ,59,0)</f>
        <v>0</v>
      </c>
      <c r="J57" s="115">
        <f>VLOOKUP($A57,'S0 remplacer avec S44'!$C:$BQ,60,0)</f>
        <v>0</v>
      </c>
      <c r="K57" s="107" t="e">
        <f>VLOOKUP($A57,'S45'!$C:$BQ,32,0)</f>
        <v>#N/A</v>
      </c>
      <c r="L57" s="107" t="e">
        <f>VLOOKUP($A57,'S45'!$C:$BQ,39,0)</f>
        <v>#N/A</v>
      </c>
      <c r="M57" s="107" t="e">
        <f>VLOOKUP($A57,'S45'!$C:$BQ,40,0)</f>
        <v>#N/A</v>
      </c>
      <c r="N57" s="107" t="e">
        <f>VLOOKUP($A57,'S45'!$C:$BQ,22,0)</f>
        <v>#N/A</v>
      </c>
      <c r="O57" s="115" t="e">
        <f>VLOOKUP($A57,'S45'!$C:$BQ,29,0)</f>
        <v>#N/A</v>
      </c>
      <c r="P57" s="115" t="e">
        <f>VLOOKUP($A57,'S45'!$C:$BQ,30,0)</f>
        <v>#N/A</v>
      </c>
      <c r="Q57" s="115" t="e">
        <f>VLOOKUP($A57,'S45'!$C:$BQ,52,0)</f>
        <v>#N/A</v>
      </c>
      <c r="R57" s="115" t="e">
        <f>VLOOKUP($A57,'S45'!$C:$BQ,59,0)</f>
        <v>#N/A</v>
      </c>
      <c r="S57" s="115" t="e">
        <f>VLOOKUP($A57,'S45'!$C:$BQ,60,0)</f>
        <v>#N/A</v>
      </c>
      <c r="T57" s="107" t="e">
        <f>VLOOKUP($A57,'S46'!$C:$BQ,32,0)</f>
        <v>#N/A</v>
      </c>
      <c r="U57" s="107" t="e">
        <f>VLOOKUP($A57,'S46'!$C:$BQ,39,0)</f>
        <v>#N/A</v>
      </c>
      <c r="V57" s="107" t="e">
        <f>VLOOKUP($A57,'S46'!$C:$BQ,40,0)</f>
        <v>#N/A</v>
      </c>
      <c r="W57" s="107" t="e">
        <f>VLOOKUP($A57,'S46'!$C:$BQ,22,0)</f>
        <v>#N/A</v>
      </c>
      <c r="X57" s="115" t="e">
        <f>VLOOKUP($A57,'S46'!$C:$BQ,29,0)</f>
        <v>#N/A</v>
      </c>
      <c r="Y57" s="115" t="e">
        <f>VLOOKUP($A57,'S46'!$C:$BQ,30,0)</f>
        <v>#N/A</v>
      </c>
      <c r="Z57" s="115" t="e">
        <f>VLOOKUP($A57,'S46'!$C:$BQ,52,0)</f>
        <v>#N/A</v>
      </c>
      <c r="AA57" s="115" t="e">
        <f>VLOOKUP($A57,'S46'!$C:$BQ,59,0)</f>
        <v>#N/A</v>
      </c>
      <c r="AB57" s="115" t="e">
        <f>VLOOKUP($A57,'S46'!$C:$BQ,60,0)</f>
        <v>#N/A</v>
      </c>
      <c r="AC57" s="107" t="e">
        <f>VLOOKUP($A57,'S47'!$C:$BQ,32,0)</f>
        <v>#N/A</v>
      </c>
      <c r="AD57" s="107" t="e">
        <f>VLOOKUP($A57,'S47'!$C:$BQ,39,0)</f>
        <v>#N/A</v>
      </c>
      <c r="AE57" s="107" t="e">
        <f>VLOOKUP($A57,'S47'!$C:$BQ,40,0)</f>
        <v>#N/A</v>
      </c>
      <c r="AF57" s="107" t="e">
        <f>VLOOKUP($A57,'S47'!$C:$BQ,22,0)</f>
        <v>#N/A</v>
      </c>
      <c r="AG57" s="115" t="e">
        <f>VLOOKUP($A57,'S47'!$C:$BQ,29,0)</f>
        <v>#N/A</v>
      </c>
      <c r="AH57" s="115" t="e">
        <f>VLOOKUP($A57,'S47'!$C:$BQ,30,0)</f>
        <v>#N/A</v>
      </c>
      <c r="AI57" s="115" t="e">
        <f>VLOOKUP($A57,'S47'!$C:$BQ,52,0)</f>
        <v>#N/A</v>
      </c>
      <c r="AJ57" s="115" t="e">
        <f>VLOOKUP($A57,'S47'!$C:$BQ,59,0)</f>
        <v>#N/A</v>
      </c>
      <c r="AK57" s="115" t="e">
        <f>VLOOKUP($A57,'S47'!$C:$BQ,60,0)</f>
        <v>#N/A</v>
      </c>
      <c r="AL57" s="107" t="e">
        <f>VLOOKUP($A57,'S48'!$C:$BQ,32,0)</f>
        <v>#N/A</v>
      </c>
      <c r="AM57" s="107" t="e">
        <f>VLOOKUP($A57,'S48'!$C:$BQ,39,0)</f>
        <v>#N/A</v>
      </c>
      <c r="AN57" s="107" t="e">
        <f>VLOOKUP($A57,'S48'!$C:$BQ,40,0)</f>
        <v>#N/A</v>
      </c>
      <c r="AO57" s="107" t="e">
        <f>VLOOKUP($A57,'S48'!$C:$BQ,22,0)</f>
        <v>#N/A</v>
      </c>
      <c r="AP57" s="115" t="e">
        <f>VLOOKUP($A57,'S48'!$C:$BQ,29,0)</f>
        <v>#N/A</v>
      </c>
      <c r="AQ57" s="115" t="e">
        <f>VLOOKUP($A57,'S48'!$C:$BQ,30,0)</f>
        <v>#N/A</v>
      </c>
      <c r="AR57" s="115" t="e">
        <f>VLOOKUP($A57,'S48'!$C:$BQ,52,0)</f>
        <v>#N/A</v>
      </c>
      <c r="AS57" s="115" t="e">
        <f>VLOOKUP($A57,'S48'!$C:$BQ,59,0)</f>
        <v>#N/A</v>
      </c>
      <c r="AT57" s="115" t="e">
        <f>VLOOKUP($A57,'S48'!$C:$BQ,60,0)</f>
        <v>#N/A</v>
      </c>
      <c r="AU57" s="107" t="e">
        <f>VLOOKUP($A57,'S49'!$C:$BQ,32,0)</f>
        <v>#N/A</v>
      </c>
      <c r="AV57" s="107" t="e">
        <f>VLOOKUP($A57,'S49'!$C:$BQ,39,0)</f>
        <v>#N/A</v>
      </c>
      <c r="AW57" s="107" t="e">
        <f>VLOOKUP($A57,'S49'!$C:$BQ,40,0)</f>
        <v>#N/A</v>
      </c>
      <c r="AX57" s="107" t="e">
        <f>VLOOKUP($A57,'S49'!$C:$BQ,22,0)</f>
        <v>#N/A</v>
      </c>
      <c r="AY57" s="115" t="e">
        <f>VLOOKUP($A57,'S49'!$C:$BQ,29,0)</f>
        <v>#N/A</v>
      </c>
      <c r="AZ57" s="115" t="e">
        <f>VLOOKUP($A57,'S49'!$C:$BQ,30,0)</f>
        <v>#N/A</v>
      </c>
      <c r="BA57" s="115" t="e">
        <f>VLOOKUP($A57,'S49'!$C:$BQ,52,0)</f>
        <v>#N/A</v>
      </c>
      <c r="BB57" s="115" t="e">
        <f>VLOOKUP($A57,'S49'!$C:$BQ,59,0)</f>
        <v>#N/A</v>
      </c>
      <c r="BC57" s="115" t="e">
        <f>VLOOKUP($A57,'S49'!$C:$BQ,60,0)</f>
        <v>#N/A</v>
      </c>
      <c r="BD57" s="107" t="e">
        <f>VLOOKUP($A57,'S50'!$C:$BQ,32,0)</f>
        <v>#N/A</v>
      </c>
      <c r="BE57" s="107" t="e">
        <f>VLOOKUP($A57,'S50'!$C:$BQ,39,0)</f>
        <v>#N/A</v>
      </c>
      <c r="BF57" s="107" t="e">
        <f>VLOOKUP($A57,'S50'!$C:$BQ,40,0)</f>
        <v>#N/A</v>
      </c>
      <c r="BG57" s="107" t="e">
        <f>VLOOKUP($A57,'S50'!$C:$BQ,22,0)</f>
        <v>#N/A</v>
      </c>
      <c r="BH57" s="115" t="e">
        <f>VLOOKUP($A57,'S50'!$C:$BQ,29,0)</f>
        <v>#N/A</v>
      </c>
      <c r="BI57" s="115" t="e">
        <f>VLOOKUP($A57,'S50'!$C:$BQ,30,0)</f>
        <v>#N/A</v>
      </c>
      <c r="BJ57" s="115" t="e">
        <f>VLOOKUP($A57,'S50'!$C:$BQ,52,0)</f>
        <v>#N/A</v>
      </c>
      <c r="BK57" s="115" t="e">
        <f>VLOOKUP($A57,'S50'!$C:$BQ,59,0)</f>
        <v>#N/A</v>
      </c>
      <c r="BL57" s="115" t="e">
        <f>VLOOKUP($A57,'S50'!$C:$BQ,60,0)</f>
        <v>#N/A</v>
      </c>
    </row>
    <row r="58" spans="1:64" x14ac:dyDescent="0.2">
      <c r="A58" s="106" t="s">
        <v>115</v>
      </c>
      <c r="B58" s="107">
        <f>VLOOKUP($A58,'S0 remplacer avec S44'!$C:$BQ,32,0)</f>
        <v>410.8</v>
      </c>
      <c r="C58" s="107">
        <f>VLOOKUP($A58,'S0 remplacer avec S44'!$C:$BQ,39,0)</f>
        <v>100</v>
      </c>
      <c r="D58" s="107">
        <f>VLOOKUP($A58,'S0 remplacer avec S44'!$C:$BQ,40,0)</f>
        <v>202</v>
      </c>
      <c r="E58" s="107">
        <f>VLOOKUP($A58,'S0 remplacer avec S44'!$C:$BQ,22,0)</f>
        <v>4849.3081000000002</v>
      </c>
      <c r="F58" s="115">
        <f>VLOOKUP($A58,'S0 remplacer avec S44'!$C:$BQ,29,0)</f>
        <v>0</v>
      </c>
      <c r="G58" s="115">
        <f>VLOOKUP($A58,'S0 remplacer avec S44'!$C:$BQ,30,0)</f>
        <v>719</v>
      </c>
      <c r="H58" s="115">
        <f>VLOOKUP($A58,'S0 remplacer avec S44'!$C:$BQ,52,0)</f>
        <v>292.60000000000002</v>
      </c>
      <c r="I58" s="115">
        <f>VLOOKUP($A58,'S0 remplacer avec S44'!$C:$BQ,59,0)</f>
        <v>0</v>
      </c>
      <c r="J58" s="115">
        <f>VLOOKUP($A58,'S0 remplacer avec S44'!$C:$BQ,60,0)</f>
        <v>19</v>
      </c>
      <c r="K58" s="107" t="e">
        <f>VLOOKUP($A58,'S45'!$C:$BQ,32,0)</f>
        <v>#N/A</v>
      </c>
      <c r="L58" s="107" t="e">
        <f>VLOOKUP($A58,'S45'!$C:$BQ,39,0)</f>
        <v>#N/A</v>
      </c>
      <c r="M58" s="107" t="e">
        <f>VLOOKUP($A58,'S45'!$C:$BQ,40,0)</f>
        <v>#N/A</v>
      </c>
      <c r="N58" s="107" t="e">
        <f>VLOOKUP($A58,'S45'!$C:$BQ,22,0)</f>
        <v>#N/A</v>
      </c>
      <c r="O58" s="115" t="e">
        <f>VLOOKUP($A58,'S45'!$C:$BQ,29,0)</f>
        <v>#N/A</v>
      </c>
      <c r="P58" s="115" t="e">
        <f>VLOOKUP($A58,'S45'!$C:$BQ,30,0)</f>
        <v>#N/A</v>
      </c>
      <c r="Q58" s="115" t="e">
        <f>VLOOKUP($A58,'S45'!$C:$BQ,52,0)</f>
        <v>#N/A</v>
      </c>
      <c r="R58" s="115" t="e">
        <f>VLOOKUP($A58,'S45'!$C:$BQ,59,0)</f>
        <v>#N/A</v>
      </c>
      <c r="S58" s="115" t="e">
        <f>VLOOKUP($A58,'S45'!$C:$BQ,60,0)</f>
        <v>#N/A</v>
      </c>
      <c r="T58" s="107" t="e">
        <f>VLOOKUP($A58,'S46'!$C:$BQ,32,0)</f>
        <v>#N/A</v>
      </c>
      <c r="U58" s="107" t="e">
        <f>VLOOKUP($A58,'S46'!$C:$BQ,39,0)</f>
        <v>#N/A</v>
      </c>
      <c r="V58" s="107" t="e">
        <f>VLOOKUP($A58,'S46'!$C:$BQ,40,0)</f>
        <v>#N/A</v>
      </c>
      <c r="W58" s="107" t="e">
        <f>VLOOKUP($A58,'S46'!$C:$BQ,22,0)</f>
        <v>#N/A</v>
      </c>
      <c r="X58" s="115" t="e">
        <f>VLOOKUP($A58,'S46'!$C:$BQ,29,0)</f>
        <v>#N/A</v>
      </c>
      <c r="Y58" s="115" t="e">
        <f>VLOOKUP($A58,'S46'!$C:$BQ,30,0)</f>
        <v>#N/A</v>
      </c>
      <c r="Z58" s="115" t="e">
        <f>VLOOKUP($A58,'S46'!$C:$BQ,52,0)</f>
        <v>#N/A</v>
      </c>
      <c r="AA58" s="115" t="e">
        <f>VLOOKUP($A58,'S46'!$C:$BQ,59,0)</f>
        <v>#N/A</v>
      </c>
      <c r="AB58" s="115" t="e">
        <f>VLOOKUP($A58,'S46'!$C:$BQ,60,0)</f>
        <v>#N/A</v>
      </c>
      <c r="AC58" s="107" t="e">
        <f>VLOOKUP($A58,'S47'!$C:$BQ,32,0)</f>
        <v>#N/A</v>
      </c>
      <c r="AD58" s="107" t="e">
        <f>VLOOKUP($A58,'S47'!$C:$BQ,39,0)</f>
        <v>#N/A</v>
      </c>
      <c r="AE58" s="107" t="e">
        <f>VLOOKUP($A58,'S47'!$C:$BQ,40,0)</f>
        <v>#N/A</v>
      </c>
      <c r="AF58" s="107" t="e">
        <f>VLOOKUP($A58,'S47'!$C:$BQ,22,0)</f>
        <v>#N/A</v>
      </c>
      <c r="AG58" s="115" t="e">
        <f>VLOOKUP($A58,'S47'!$C:$BQ,29,0)</f>
        <v>#N/A</v>
      </c>
      <c r="AH58" s="115" t="e">
        <f>VLOOKUP($A58,'S47'!$C:$BQ,30,0)</f>
        <v>#N/A</v>
      </c>
      <c r="AI58" s="115" t="e">
        <f>VLOOKUP($A58,'S47'!$C:$BQ,52,0)</f>
        <v>#N/A</v>
      </c>
      <c r="AJ58" s="115" t="e">
        <f>VLOOKUP($A58,'S47'!$C:$BQ,59,0)</f>
        <v>#N/A</v>
      </c>
      <c r="AK58" s="115" t="e">
        <f>VLOOKUP($A58,'S47'!$C:$BQ,60,0)</f>
        <v>#N/A</v>
      </c>
      <c r="AL58" s="107" t="e">
        <f>VLOOKUP($A58,'S48'!$C:$BQ,32,0)</f>
        <v>#N/A</v>
      </c>
      <c r="AM58" s="107" t="e">
        <f>VLOOKUP($A58,'S48'!$C:$BQ,39,0)</f>
        <v>#N/A</v>
      </c>
      <c r="AN58" s="107" t="e">
        <f>VLOOKUP($A58,'S48'!$C:$BQ,40,0)</f>
        <v>#N/A</v>
      </c>
      <c r="AO58" s="107" t="e">
        <f>VLOOKUP($A58,'S48'!$C:$BQ,22,0)</f>
        <v>#N/A</v>
      </c>
      <c r="AP58" s="115" t="e">
        <f>VLOOKUP($A58,'S48'!$C:$BQ,29,0)</f>
        <v>#N/A</v>
      </c>
      <c r="AQ58" s="115" t="e">
        <f>VLOOKUP($A58,'S48'!$C:$BQ,30,0)</f>
        <v>#N/A</v>
      </c>
      <c r="AR58" s="115" t="e">
        <f>VLOOKUP($A58,'S48'!$C:$BQ,52,0)</f>
        <v>#N/A</v>
      </c>
      <c r="AS58" s="115" t="e">
        <f>VLOOKUP($A58,'S48'!$C:$BQ,59,0)</f>
        <v>#N/A</v>
      </c>
      <c r="AT58" s="115" t="e">
        <f>VLOOKUP($A58,'S48'!$C:$BQ,60,0)</f>
        <v>#N/A</v>
      </c>
      <c r="AU58" s="107" t="e">
        <f>VLOOKUP($A58,'S49'!$C:$BQ,32,0)</f>
        <v>#N/A</v>
      </c>
      <c r="AV58" s="107" t="e">
        <f>VLOOKUP($A58,'S49'!$C:$BQ,39,0)</f>
        <v>#N/A</v>
      </c>
      <c r="AW58" s="107" t="e">
        <f>VLOOKUP($A58,'S49'!$C:$BQ,40,0)</f>
        <v>#N/A</v>
      </c>
      <c r="AX58" s="107" t="e">
        <f>VLOOKUP($A58,'S49'!$C:$BQ,22,0)</f>
        <v>#N/A</v>
      </c>
      <c r="AY58" s="115" t="e">
        <f>VLOOKUP($A58,'S49'!$C:$BQ,29,0)</f>
        <v>#N/A</v>
      </c>
      <c r="AZ58" s="115" t="e">
        <f>VLOOKUP($A58,'S49'!$C:$BQ,30,0)</f>
        <v>#N/A</v>
      </c>
      <c r="BA58" s="115" t="e">
        <f>VLOOKUP($A58,'S49'!$C:$BQ,52,0)</f>
        <v>#N/A</v>
      </c>
      <c r="BB58" s="115" t="e">
        <f>VLOOKUP($A58,'S49'!$C:$BQ,59,0)</f>
        <v>#N/A</v>
      </c>
      <c r="BC58" s="115" t="e">
        <f>VLOOKUP($A58,'S49'!$C:$BQ,60,0)</f>
        <v>#N/A</v>
      </c>
      <c r="BD58" s="107" t="e">
        <f>VLOOKUP($A58,'S50'!$C:$BQ,32,0)</f>
        <v>#N/A</v>
      </c>
      <c r="BE58" s="107" t="e">
        <f>VLOOKUP($A58,'S50'!$C:$BQ,39,0)</f>
        <v>#N/A</v>
      </c>
      <c r="BF58" s="107" t="e">
        <f>VLOOKUP($A58,'S50'!$C:$BQ,40,0)</f>
        <v>#N/A</v>
      </c>
      <c r="BG58" s="107" t="e">
        <f>VLOOKUP($A58,'S50'!$C:$BQ,22,0)</f>
        <v>#N/A</v>
      </c>
      <c r="BH58" s="115" t="e">
        <f>VLOOKUP($A58,'S50'!$C:$BQ,29,0)</f>
        <v>#N/A</v>
      </c>
      <c r="BI58" s="115" t="e">
        <f>VLOOKUP($A58,'S50'!$C:$BQ,30,0)</f>
        <v>#N/A</v>
      </c>
      <c r="BJ58" s="115" t="e">
        <f>VLOOKUP($A58,'S50'!$C:$BQ,52,0)</f>
        <v>#N/A</v>
      </c>
      <c r="BK58" s="115" t="e">
        <f>VLOOKUP($A58,'S50'!$C:$BQ,59,0)</f>
        <v>#N/A</v>
      </c>
      <c r="BL58" s="115" t="e">
        <f>VLOOKUP($A58,'S50'!$C:$BQ,60,0)</f>
        <v>#N/A</v>
      </c>
    </row>
    <row r="59" spans="1:64" x14ac:dyDescent="0.2">
      <c r="A59" s="106" t="s">
        <v>116</v>
      </c>
      <c r="B59" s="107">
        <f>VLOOKUP($A59,'S0 remplacer avec S44'!$C:$BQ,32,0)</f>
        <v>130.4</v>
      </c>
      <c r="C59" s="107">
        <f>VLOOKUP($A59,'S0 remplacer avec S44'!$C:$BQ,39,0)</f>
        <v>0</v>
      </c>
      <c r="D59" s="107">
        <f>VLOOKUP($A59,'S0 remplacer avec S44'!$C:$BQ,40,0)</f>
        <v>13</v>
      </c>
      <c r="E59" s="107">
        <f>VLOOKUP($A59,'S0 remplacer avec S44'!$C:$BQ,22,0)</f>
        <v>1029.84358</v>
      </c>
      <c r="F59" s="115">
        <f>VLOOKUP($A59,'S0 remplacer avec S44'!$C:$BQ,29,0)</f>
        <v>57</v>
      </c>
      <c r="G59" s="115">
        <f>VLOOKUP($A59,'S0 remplacer avec S44'!$C:$BQ,30,0)</f>
        <v>274</v>
      </c>
      <c r="H59" s="115">
        <f>VLOOKUP($A59,'S0 remplacer avec S44'!$C:$BQ,52,0)</f>
        <v>77</v>
      </c>
      <c r="I59" s="115">
        <f>VLOOKUP($A59,'S0 remplacer avec S44'!$C:$BQ,59,0)</f>
        <v>0</v>
      </c>
      <c r="J59" s="115">
        <f>VLOOKUP($A59,'S0 remplacer avec S44'!$C:$BQ,60,0)</f>
        <v>0</v>
      </c>
      <c r="K59" s="107" t="e">
        <f>VLOOKUP($A59,'S45'!$C:$BQ,32,0)</f>
        <v>#N/A</v>
      </c>
      <c r="L59" s="107" t="e">
        <f>VLOOKUP($A59,'S45'!$C:$BQ,39,0)</f>
        <v>#N/A</v>
      </c>
      <c r="M59" s="107" t="e">
        <f>VLOOKUP($A59,'S45'!$C:$BQ,40,0)</f>
        <v>#N/A</v>
      </c>
      <c r="N59" s="107" t="e">
        <f>VLOOKUP($A59,'S45'!$C:$BQ,22,0)</f>
        <v>#N/A</v>
      </c>
      <c r="O59" s="115" t="e">
        <f>VLOOKUP($A59,'S45'!$C:$BQ,29,0)</f>
        <v>#N/A</v>
      </c>
      <c r="P59" s="115" t="e">
        <f>VLOOKUP($A59,'S45'!$C:$BQ,30,0)</f>
        <v>#N/A</v>
      </c>
      <c r="Q59" s="115" t="e">
        <f>VLOOKUP($A59,'S45'!$C:$BQ,52,0)</f>
        <v>#N/A</v>
      </c>
      <c r="R59" s="115" t="e">
        <f>VLOOKUP($A59,'S45'!$C:$BQ,59,0)</f>
        <v>#N/A</v>
      </c>
      <c r="S59" s="115" t="e">
        <f>VLOOKUP($A59,'S45'!$C:$BQ,60,0)</f>
        <v>#N/A</v>
      </c>
      <c r="T59" s="107" t="e">
        <f>VLOOKUP($A59,'S46'!$C:$BQ,32,0)</f>
        <v>#N/A</v>
      </c>
      <c r="U59" s="107" t="e">
        <f>VLOOKUP($A59,'S46'!$C:$BQ,39,0)</f>
        <v>#N/A</v>
      </c>
      <c r="V59" s="107" t="e">
        <f>VLOOKUP($A59,'S46'!$C:$BQ,40,0)</f>
        <v>#N/A</v>
      </c>
      <c r="W59" s="107" t="e">
        <f>VLOOKUP($A59,'S46'!$C:$BQ,22,0)</f>
        <v>#N/A</v>
      </c>
      <c r="X59" s="115" t="e">
        <f>VLOOKUP($A59,'S46'!$C:$BQ,29,0)</f>
        <v>#N/A</v>
      </c>
      <c r="Y59" s="115" t="e">
        <f>VLOOKUP($A59,'S46'!$C:$BQ,30,0)</f>
        <v>#N/A</v>
      </c>
      <c r="Z59" s="115" t="e">
        <f>VLOOKUP($A59,'S46'!$C:$BQ,52,0)</f>
        <v>#N/A</v>
      </c>
      <c r="AA59" s="115" t="e">
        <f>VLOOKUP($A59,'S46'!$C:$BQ,59,0)</f>
        <v>#N/A</v>
      </c>
      <c r="AB59" s="115" t="e">
        <f>VLOOKUP($A59,'S46'!$C:$BQ,60,0)</f>
        <v>#N/A</v>
      </c>
      <c r="AC59" s="107" t="e">
        <f>VLOOKUP($A59,'S47'!$C:$BQ,32,0)</f>
        <v>#N/A</v>
      </c>
      <c r="AD59" s="107" t="e">
        <f>VLOOKUP($A59,'S47'!$C:$BQ,39,0)</f>
        <v>#N/A</v>
      </c>
      <c r="AE59" s="107" t="e">
        <f>VLOOKUP($A59,'S47'!$C:$BQ,40,0)</f>
        <v>#N/A</v>
      </c>
      <c r="AF59" s="107" t="e">
        <f>VLOOKUP($A59,'S47'!$C:$BQ,22,0)</f>
        <v>#N/A</v>
      </c>
      <c r="AG59" s="115" t="e">
        <f>VLOOKUP($A59,'S47'!$C:$BQ,29,0)</f>
        <v>#N/A</v>
      </c>
      <c r="AH59" s="115" t="e">
        <f>VLOOKUP($A59,'S47'!$C:$BQ,30,0)</f>
        <v>#N/A</v>
      </c>
      <c r="AI59" s="115" t="e">
        <f>VLOOKUP($A59,'S47'!$C:$BQ,52,0)</f>
        <v>#N/A</v>
      </c>
      <c r="AJ59" s="115" t="e">
        <f>VLOOKUP($A59,'S47'!$C:$BQ,59,0)</f>
        <v>#N/A</v>
      </c>
      <c r="AK59" s="115" t="e">
        <f>VLOOKUP($A59,'S47'!$C:$BQ,60,0)</f>
        <v>#N/A</v>
      </c>
      <c r="AL59" s="107" t="e">
        <f>VLOOKUP($A59,'S48'!$C:$BQ,32,0)</f>
        <v>#N/A</v>
      </c>
      <c r="AM59" s="107" t="e">
        <f>VLOOKUP($A59,'S48'!$C:$BQ,39,0)</f>
        <v>#N/A</v>
      </c>
      <c r="AN59" s="107" t="e">
        <f>VLOOKUP($A59,'S48'!$C:$BQ,40,0)</f>
        <v>#N/A</v>
      </c>
      <c r="AO59" s="107" t="e">
        <f>VLOOKUP($A59,'S48'!$C:$BQ,22,0)</f>
        <v>#N/A</v>
      </c>
      <c r="AP59" s="115" t="e">
        <f>VLOOKUP($A59,'S48'!$C:$BQ,29,0)</f>
        <v>#N/A</v>
      </c>
      <c r="AQ59" s="115" t="e">
        <f>VLOOKUP($A59,'S48'!$C:$BQ,30,0)</f>
        <v>#N/A</v>
      </c>
      <c r="AR59" s="115" t="e">
        <f>VLOOKUP($A59,'S48'!$C:$BQ,52,0)</f>
        <v>#N/A</v>
      </c>
      <c r="AS59" s="115" t="e">
        <f>VLOOKUP($A59,'S48'!$C:$BQ,59,0)</f>
        <v>#N/A</v>
      </c>
      <c r="AT59" s="115" t="e">
        <f>VLOOKUP($A59,'S48'!$C:$BQ,60,0)</f>
        <v>#N/A</v>
      </c>
      <c r="AU59" s="107" t="e">
        <f>VLOOKUP($A59,'S49'!$C:$BQ,32,0)</f>
        <v>#N/A</v>
      </c>
      <c r="AV59" s="107" t="e">
        <f>VLOOKUP($A59,'S49'!$C:$BQ,39,0)</f>
        <v>#N/A</v>
      </c>
      <c r="AW59" s="107" t="e">
        <f>VLOOKUP($A59,'S49'!$C:$BQ,40,0)</f>
        <v>#N/A</v>
      </c>
      <c r="AX59" s="107" t="e">
        <f>VLOOKUP($A59,'S49'!$C:$BQ,22,0)</f>
        <v>#N/A</v>
      </c>
      <c r="AY59" s="115" t="e">
        <f>VLOOKUP($A59,'S49'!$C:$BQ,29,0)</f>
        <v>#N/A</v>
      </c>
      <c r="AZ59" s="115" t="e">
        <f>VLOOKUP($A59,'S49'!$C:$BQ,30,0)</f>
        <v>#N/A</v>
      </c>
      <c r="BA59" s="115" t="e">
        <f>VLOOKUP($A59,'S49'!$C:$BQ,52,0)</f>
        <v>#N/A</v>
      </c>
      <c r="BB59" s="115" t="e">
        <f>VLOOKUP($A59,'S49'!$C:$BQ,59,0)</f>
        <v>#N/A</v>
      </c>
      <c r="BC59" s="115" t="e">
        <f>VLOOKUP($A59,'S49'!$C:$BQ,60,0)</f>
        <v>#N/A</v>
      </c>
      <c r="BD59" s="107" t="e">
        <f>VLOOKUP($A59,'S50'!$C:$BQ,32,0)</f>
        <v>#N/A</v>
      </c>
      <c r="BE59" s="107" t="e">
        <f>VLOOKUP($A59,'S50'!$C:$BQ,39,0)</f>
        <v>#N/A</v>
      </c>
      <c r="BF59" s="107" t="e">
        <f>VLOOKUP($A59,'S50'!$C:$BQ,40,0)</f>
        <v>#N/A</v>
      </c>
      <c r="BG59" s="107" t="e">
        <f>VLOOKUP($A59,'S50'!$C:$BQ,22,0)</f>
        <v>#N/A</v>
      </c>
      <c r="BH59" s="115" t="e">
        <f>VLOOKUP($A59,'S50'!$C:$BQ,29,0)</f>
        <v>#N/A</v>
      </c>
      <c r="BI59" s="115" t="e">
        <f>VLOOKUP($A59,'S50'!$C:$BQ,30,0)</f>
        <v>#N/A</v>
      </c>
      <c r="BJ59" s="115" t="e">
        <f>VLOOKUP($A59,'S50'!$C:$BQ,52,0)</f>
        <v>#N/A</v>
      </c>
      <c r="BK59" s="115" t="e">
        <f>VLOOKUP($A59,'S50'!$C:$BQ,59,0)</f>
        <v>#N/A</v>
      </c>
      <c r="BL59" s="115" t="e">
        <f>VLOOKUP($A59,'S50'!$C:$BQ,60,0)</f>
        <v>#N/A</v>
      </c>
    </row>
    <row r="60" spans="1:64" x14ac:dyDescent="0.2">
      <c r="A60" s="106" t="s">
        <v>117</v>
      </c>
      <c r="B60" s="107">
        <f>VLOOKUP($A60,'S0 remplacer avec S44'!$C:$BQ,32,0)</f>
        <v>139.5</v>
      </c>
      <c r="C60" s="107">
        <f>VLOOKUP($A60,'S0 remplacer avec S44'!$C:$BQ,39,0)</f>
        <v>0</v>
      </c>
      <c r="D60" s="107">
        <f>VLOOKUP($A60,'S0 remplacer avec S44'!$C:$BQ,40,0)</f>
        <v>21</v>
      </c>
      <c r="E60" s="107">
        <f>VLOOKUP($A60,'S0 remplacer avec S44'!$C:$BQ,22,0)</f>
        <v>1198.4255000000001</v>
      </c>
      <c r="F60" s="115">
        <f>VLOOKUP($A60,'S0 remplacer avec S44'!$C:$BQ,29,0)</f>
        <v>17</v>
      </c>
      <c r="G60" s="115">
        <f>VLOOKUP($A60,'S0 remplacer avec S44'!$C:$BQ,30,0)</f>
        <v>260</v>
      </c>
      <c r="H60" s="115">
        <f>VLOOKUP($A60,'S0 remplacer avec S44'!$C:$BQ,52,0)</f>
        <v>89.8</v>
      </c>
      <c r="I60" s="115">
        <f>VLOOKUP($A60,'S0 remplacer avec S44'!$C:$BQ,59,0)</f>
        <v>0</v>
      </c>
      <c r="J60" s="115">
        <f>VLOOKUP($A60,'S0 remplacer avec S44'!$C:$BQ,60,0)</f>
        <v>0</v>
      </c>
      <c r="K60" s="107" t="e">
        <f>VLOOKUP($A60,'S45'!$C:$BQ,32,0)</f>
        <v>#N/A</v>
      </c>
      <c r="L60" s="107" t="e">
        <f>VLOOKUP($A60,'S45'!$C:$BQ,39,0)</f>
        <v>#N/A</v>
      </c>
      <c r="M60" s="107" t="e">
        <f>VLOOKUP($A60,'S45'!$C:$BQ,40,0)</f>
        <v>#N/A</v>
      </c>
      <c r="N60" s="107" t="e">
        <f>VLOOKUP($A60,'S45'!$C:$BQ,22,0)</f>
        <v>#N/A</v>
      </c>
      <c r="O60" s="115" t="e">
        <f>VLOOKUP($A60,'S45'!$C:$BQ,29,0)</f>
        <v>#N/A</v>
      </c>
      <c r="P60" s="115" t="e">
        <f>VLOOKUP($A60,'S45'!$C:$BQ,30,0)</f>
        <v>#N/A</v>
      </c>
      <c r="Q60" s="115" t="e">
        <f>VLOOKUP($A60,'S45'!$C:$BQ,52,0)</f>
        <v>#N/A</v>
      </c>
      <c r="R60" s="115" t="e">
        <f>VLOOKUP($A60,'S45'!$C:$BQ,59,0)</f>
        <v>#N/A</v>
      </c>
      <c r="S60" s="115" t="e">
        <f>VLOOKUP($A60,'S45'!$C:$BQ,60,0)</f>
        <v>#N/A</v>
      </c>
      <c r="T60" s="107" t="e">
        <f>VLOOKUP($A60,'S46'!$C:$BQ,32,0)</f>
        <v>#N/A</v>
      </c>
      <c r="U60" s="107" t="e">
        <f>VLOOKUP($A60,'S46'!$C:$BQ,39,0)</f>
        <v>#N/A</v>
      </c>
      <c r="V60" s="107" t="e">
        <f>VLOOKUP($A60,'S46'!$C:$BQ,40,0)</f>
        <v>#N/A</v>
      </c>
      <c r="W60" s="107" t="e">
        <f>VLOOKUP($A60,'S46'!$C:$BQ,22,0)</f>
        <v>#N/A</v>
      </c>
      <c r="X60" s="115" t="e">
        <f>VLOOKUP($A60,'S46'!$C:$BQ,29,0)</f>
        <v>#N/A</v>
      </c>
      <c r="Y60" s="115" t="e">
        <f>VLOOKUP($A60,'S46'!$C:$BQ,30,0)</f>
        <v>#N/A</v>
      </c>
      <c r="Z60" s="115" t="e">
        <f>VLOOKUP($A60,'S46'!$C:$BQ,52,0)</f>
        <v>#N/A</v>
      </c>
      <c r="AA60" s="115" t="e">
        <f>VLOOKUP($A60,'S46'!$C:$BQ,59,0)</f>
        <v>#N/A</v>
      </c>
      <c r="AB60" s="115" t="e">
        <f>VLOOKUP($A60,'S46'!$C:$BQ,60,0)</f>
        <v>#N/A</v>
      </c>
      <c r="AC60" s="107" t="e">
        <f>VLOOKUP($A60,'S47'!$C:$BQ,32,0)</f>
        <v>#N/A</v>
      </c>
      <c r="AD60" s="107" t="e">
        <f>VLOOKUP($A60,'S47'!$C:$BQ,39,0)</f>
        <v>#N/A</v>
      </c>
      <c r="AE60" s="107" t="e">
        <f>VLOOKUP($A60,'S47'!$C:$BQ,40,0)</f>
        <v>#N/A</v>
      </c>
      <c r="AF60" s="107" t="e">
        <f>VLOOKUP($A60,'S47'!$C:$BQ,22,0)</f>
        <v>#N/A</v>
      </c>
      <c r="AG60" s="115" t="e">
        <f>VLOOKUP($A60,'S47'!$C:$BQ,29,0)</f>
        <v>#N/A</v>
      </c>
      <c r="AH60" s="115" t="e">
        <f>VLOOKUP($A60,'S47'!$C:$BQ,30,0)</f>
        <v>#N/A</v>
      </c>
      <c r="AI60" s="115" t="e">
        <f>VLOOKUP($A60,'S47'!$C:$BQ,52,0)</f>
        <v>#N/A</v>
      </c>
      <c r="AJ60" s="115" t="e">
        <f>VLOOKUP($A60,'S47'!$C:$BQ,59,0)</f>
        <v>#N/A</v>
      </c>
      <c r="AK60" s="115" t="e">
        <f>VLOOKUP($A60,'S47'!$C:$BQ,60,0)</f>
        <v>#N/A</v>
      </c>
      <c r="AL60" s="107" t="e">
        <f>VLOOKUP($A60,'S48'!$C:$BQ,32,0)</f>
        <v>#N/A</v>
      </c>
      <c r="AM60" s="107" t="e">
        <f>VLOOKUP($A60,'S48'!$C:$BQ,39,0)</f>
        <v>#N/A</v>
      </c>
      <c r="AN60" s="107" t="e">
        <f>VLOOKUP($A60,'S48'!$C:$BQ,40,0)</f>
        <v>#N/A</v>
      </c>
      <c r="AO60" s="107" t="e">
        <f>VLOOKUP($A60,'S48'!$C:$BQ,22,0)</f>
        <v>#N/A</v>
      </c>
      <c r="AP60" s="115" t="e">
        <f>VLOOKUP($A60,'S48'!$C:$BQ,29,0)</f>
        <v>#N/A</v>
      </c>
      <c r="AQ60" s="115" t="e">
        <f>VLOOKUP($A60,'S48'!$C:$BQ,30,0)</f>
        <v>#N/A</v>
      </c>
      <c r="AR60" s="115" t="e">
        <f>VLOOKUP($A60,'S48'!$C:$BQ,52,0)</f>
        <v>#N/A</v>
      </c>
      <c r="AS60" s="115" t="e">
        <f>VLOOKUP($A60,'S48'!$C:$BQ,59,0)</f>
        <v>#N/A</v>
      </c>
      <c r="AT60" s="115" t="e">
        <f>VLOOKUP($A60,'S48'!$C:$BQ,60,0)</f>
        <v>#N/A</v>
      </c>
      <c r="AU60" s="107" t="e">
        <f>VLOOKUP($A60,'S49'!$C:$BQ,32,0)</f>
        <v>#N/A</v>
      </c>
      <c r="AV60" s="107" t="e">
        <f>VLOOKUP($A60,'S49'!$C:$BQ,39,0)</f>
        <v>#N/A</v>
      </c>
      <c r="AW60" s="107" t="e">
        <f>VLOOKUP($A60,'S49'!$C:$BQ,40,0)</f>
        <v>#N/A</v>
      </c>
      <c r="AX60" s="107" t="e">
        <f>VLOOKUP($A60,'S49'!$C:$BQ,22,0)</f>
        <v>#N/A</v>
      </c>
      <c r="AY60" s="115" t="e">
        <f>VLOOKUP($A60,'S49'!$C:$BQ,29,0)</f>
        <v>#N/A</v>
      </c>
      <c r="AZ60" s="115" t="e">
        <f>VLOOKUP($A60,'S49'!$C:$BQ,30,0)</f>
        <v>#N/A</v>
      </c>
      <c r="BA60" s="115" t="e">
        <f>VLOOKUP($A60,'S49'!$C:$BQ,52,0)</f>
        <v>#N/A</v>
      </c>
      <c r="BB60" s="115" t="e">
        <f>VLOOKUP($A60,'S49'!$C:$BQ,59,0)</f>
        <v>#N/A</v>
      </c>
      <c r="BC60" s="115" t="e">
        <f>VLOOKUP($A60,'S49'!$C:$BQ,60,0)</f>
        <v>#N/A</v>
      </c>
      <c r="BD60" s="107" t="e">
        <f>VLOOKUP($A60,'S50'!$C:$BQ,32,0)</f>
        <v>#N/A</v>
      </c>
      <c r="BE60" s="107" t="e">
        <f>VLOOKUP($A60,'S50'!$C:$BQ,39,0)</f>
        <v>#N/A</v>
      </c>
      <c r="BF60" s="107" t="e">
        <f>VLOOKUP($A60,'S50'!$C:$BQ,40,0)</f>
        <v>#N/A</v>
      </c>
      <c r="BG60" s="107" t="e">
        <f>VLOOKUP($A60,'S50'!$C:$BQ,22,0)</f>
        <v>#N/A</v>
      </c>
      <c r="BH60" s="115" t="e">
        <f>VLOOKUP($A60,'S50'!$C:$BQ,29,0)</f>
        <v>#N/A</v>
      </c>
      <c r="BI60" s="115" t="e">
        <f>VLOOKUP($A60,'S50'!$C:$BQ,30,0)</f>
        <v>#N/A</v>
      </c>
      <c r="BJ60" s="115" t="e">
        <f>VLOOKUP($A60,'S50'!$C:$BQ,52,0)</f>
        <v>#N/A</v>
      </c>
      <c r="BK60" s="115" t="e">
        <f>VLOOKUP($A60,'S50'!$C:$BQ,59,0)</f>
        <v>#N/A</v>
      </c>
      <c r="BL60" s="115" t="e">
        <f>VLOOKUP($A60,'S50'!$C:$BQ,60,0)</f>
        <v>#N/A</v>
      </c>
    </row>
    <row r="61" spans="1:64" x14ac:dyDescent="0.2">
      <c r="A61" s="106" t="s">
        <v>118</v>
      </c>
      <c r="B61" s="107">
        <f>VLOOKUP($A61,'S0 remplacer avec S44'!$C:$BQ,32,0)</f>
        <v>121.45</v>
      </c>
      <c r="C61" s="107">
        <f>VLOOKUP($A61,'S0 remplacer avec S44'!$C:$BQ,39,0)</f>
        <v>40</v>
      </c>
      <c r="D61" s="107">
        <f>VLOOKUP($A61,'S0 remplacer avec S44'!$C:$BQ,40,0)</f>
        <v>72</v>
      </c>
      <c r="E61" s="107">
        <f>VLOOKUP($A61,'S0 remplacer avec S44'!$C:$BQ,22,0)</f>
        <v>1774.87022</v>
      </c>
      <c r="F61" s="115">
        <f>VLOOKUP($A61,'S0 remplacer avec S44'!$C:$BQ,29,0)</f>
        <v>0</v>
      </c>
      <c r="G61" s="115">
        <f>VLOOKUP($A61,'S0 remplacer avec S44'!$C:$BQ,30,0)</f>
        <v>0</v>
      </c>
      <c r="H61" s="115">
        <f>VLOOKUP($A61,'S0 remplacer avec S44'!$C:$BQ,52,0)</f>
        <v>100.8</v>
      </c>
      <c r="I61" s="115">
        <f>VLOOKUP($A61,'S0 remplacer avec S44'!$C:$BQ,59,0)</f>
        <v>0</v>
      </c>
      <c r="J61" s="115">
        <f>VLOOKUP($A61,'S0 remplacer avec S44'!$C:$BQ,60,0)</f>
        <v>0</v>
      </c>
      <c r="K61" s="107" t="e">
        <f>VLOOKUP($A61,'S45'!$C:$BQ,32,0)</f>
        <v>#N/A</v>
      </c>
      <c r="L61" s="107" t="e">
        <f>VLOOKUP($A61,'S45'!$C:$BQ,39,0)</f>
        <v>#N/A</v>
      </c>
      <c r="M61" s="107" t="e">
        <f>VLOOKUP($A61,'S45'!$C:$BQ,40,0)</f>
        <v>#N/A</v>
      </c>
      <c r="N61" s="107" t="e">
        <f>VLOOKUP($A61,'S45'!$C:$BQ,22,0)</f>
        <v>#N/A</v>
      </c>
      <c r="O61" s="115" t="e">
        <f>VLOOKUP($A61,'S45'!$C:$BQ,29,0)</f>
        <v>#N/A</v>
      </c>
      <c r="P61" s="115" t="e">
        <f>VLOOKUP($A61,'S45'!$C:$BQ,30,0)</f>
        <v>#N/A</v>
      </c>
      <c r="Q61" s="115" t="e">
        <f>VLOOKUP($A61,'S45'!$C:$BQ,52,0)</f>
        <v>#N/A</v>
      </c>
      <c r="R61" s="115" t="e">
        <f>VLOOKUP($A61,'S45'!$C:$BQ,59,0)</f>
        <v>#N/A</v>
      </c>
      <c r="S61" s="115" t="e">
        <f>VLOOKUP($A61,'S45'!$C:$BQ,60,0)</f>
        <v>#N/A</v>
      </c>
      <c r="T61" s="107" t="e">
        <f>VLOOKUP($A61,'S46'!$C:$BQ,32,0)</f>
        <v>#N/A</v>
      </c>
      <c r="U61" s="107" t="e">
        <f>VLOOKUP($A61,'S46'!$C:$BQ,39,0)</f>
        <v>#N/A</v>
      </c>
      <c r="V61" s="107" t="e">
        <f>VLOOKUP($A61,'S46'!$C:$BQ,40,0)</f>
        <v>#N/A</v>
      </c>
      <c r="W61" s="107" t="e">
        <f>VLOOKUP($A61,'S46'!$C:$BQ,22,0)</f>
        <v>#N/A</v>
      </c>
      <c r="X61" s="115" t="e">
        <f>VLOOKUP($A61,'S46'!$C:$BQ,29,0)</f>
        <v>#N/A</v>
      </c>
      <c r="Y61" s="115" t="e">
        <f>VLOOKUP($A61,'S46'!$C:$BQ,30,0)</f>
        <v>#N/A</v>
      </c>
      <c r="Z61" s="115" t="e">
        <f>VLOOKUP($A61,'S46'!$C:$BQ,52,0)</f>
        <v>#N/A</v>
      </c>
      <c r="AA61" s="115" t="e">
        <f>VLOOKUP($A61,'S46'!$C:$BQ,59,0)</f>
        <v>#N/A</v>
      </c>
      <c r="AB61" s="115" t="e">
        <f>VLOOKUP($A61,'S46'!$C:$BQ,60,0)</f>
        <v>#N/A</v>
      </c>
      <c r="AC61" s="107" t="e">
        <f>VLOOKUP($A61,'S47'!$C:$BQ,32,0)</f>
        <v>#N/A</v>
      </c>
      <c r="AD61" s="107" t="e">
        <f>VLOOKUP($A61,'S47'!$C:$BQ,39,0)</f>
        <v>#N/A</v>
      </c>
      <c r="AE61" s="107" t="e">
        <f>VLOOKUP($A61,'S47'!$C:$BQ,40,0)</f>
        <v>#N/A</v>
      </c>
      <c r="AF61" s="107" t="e">
        <f>VLOOKUP($A61,'S47'!$C:$BQ,22,0)</f>
        <v>#N/A</v>
      </c>
      <c r="AG61" s="115" t="e">
        <f>VLOOKUP($A61,'S47'!$C:$BQ,29,0)</f>
        <v>#N/A</v>
      </c>
      <c r="AH61" s="115" t="e">
        <f>VLOOKUP($A61,'S47'!$C:$BQ,30,0)</f>
        <v>#N/A</v>
      </c>
      <c r="AI61" s="115" t="e">
        <f>VLOOKUP($A61,'S47'!$C:$BQ,52,0)</f>
        <v>#N/A</v>
      </c>
      <c r="AJ61" s="115" t="e">
        <f>VLOOKUP($A61,'S47'!$C:$BQ,59,0)</f>
        <v>#N/A</v>
      </c>
      <c r="AK61" s="115" t="e">
        <f>VLOOKUP($A61,'S47'!$C:$BQ,60,0)</f>
        <v>#N/A</v>
      </c>
      <c r="AL61" s="107" t="e">
        <f>VLOOKUP($A61,'S48'!$C:$BQ,32,0)</f>
        <v>#N/A</v>
      </c>
      <c r="AM61" s="107" t="e">
        <f>VLOOKUP($A61,'S48'!$C:$BQ,39,0)</f>
        <v>#N/A</v>
      </c>
      <c r="AN61" s="107" t="e">
        <f>VLOOKUP($A61,'S48'!$C:$BQ,40,0)</f>
        <v>#N/A</v>
      </c>
      <c r="AO61" s="107" t="e">
        <f>VLOOKUP($A61,'S48'!$C:$BQ,22,0)</f>
        <v>#N/A</v>
      </c>
      <c r="AP61" s="115" t="e">
        <f>VLOOKUP($A61,'S48'!$C:$BQ,29,0)</f>
        <v>#N/A</v>
      </c>
      <c r="AQ61" s="115" t="e">
        <f>VLOOKUP($A61,'S48'!$C:$BQ,30,0)</f>
        <v>#N/A</v>
      </c>
      <c r="AR61" s="115" t="e">
        <f>VLOOKUP($A61,'S48'!$C:$BQ,52,0)</f>
        <v>#N/A</v>
      </c>
      <c r="AS61" s="115" t="e">
        <f>VLOOKUP($A61,'S48'!$C:$BQ,59,0)</f>
        <v>#N/A</v>
      </c>
      <c r="AT61" s="115" t="e">
        <f>VLOOKUP($A61,'S48'!$C:$BQ,60,0)</f>
        <v>#N/A</v>
      </c>
      <c r="AU61" s="107" t="e">
        <f>VLOOKUP($A61,'S49'!$C:$BQ,32,0)</f>
        <v>#N/A</v>
      </c>
      <c r="AV61" s="107" t="e">
        <f>VLOOKUP($A61,'S49'!$C:$BQ,39,0)</f>
        <v>#N/A</v>
      </c>
      <c r="AW61" s="107" t="e">
        <f>VLOOKUP($A61,'S49'!$C:$BQ,40,0)</f>
        <v>#N/A</v>
      </c>
      <c r="AX61" s="107" t="e">
        <f>VLOOKUP($A61,'S49'!$C:$BQ,22,0)</f>
        <v>#N/A</v>
      </c>
      <c r="AY61" s="115" t="e">
        <f>VLOOKUP($A61,'S49'!$C:$BQ,29,0)</f>
        <v>#N/A</v>
      </c>
      <c r="AZ61" s="115" t="e">
        <f>VLOOKUP($A61,'S49'!$C:$BQ,30,0)</f>
        <v>#N/A</v>
      </c>
      <c r="BA61" s="115" t="e">
        <f>VLOOKUP($A61,'S49'!$C:$BQ,52,0)</f>
        <v>#N/A</v>
      </c>
      <c r="BB61" s="115" t="e">
        <f>VLOOKUP($A61,'S49'!$C:$BQ,59,0)</f>
        <v>#N/A</v>
      </c>
      <c r="BC61" s="115" t="e">
        <f>VLOOKUP($A61,'S49'!$C:$BQ,60,0)</f>
        <v>#N/A</v>
      </c>
      <c r="BD61" s="107" t="e">
        <f>VLOOKUP($A61,'S50'!$C:$BQ,32,0)</f>
        <v>#N/A</v>
      </c>
      <c r="BE61" s="107" t="e">
        <f>VLOOKUP($A61,'S50'!$C:$BQ,39,0)</f>
        <v>#N/A</v>
      </c>
      <c r="BF61" s="107" t="e">
        <f>VLOOKUP($A61,'S50'!$C:$BQ,40,0)</f>
        <v>#N/A</v>
      </c>
      <c r="BG61" s="107" t="e">
        <f>VLOOKUP($A61,'S50'!$C:$BQ,22,0)</f>
        <v>#N/A</v>
      </c>
      <c r="BH61" s="115" t="e">
        <f>VLOOKUP($A61,'S50'!$C:$BQ,29,0)</f>
        <v>#N/A</v>
      </c>
      <c r="BI61" s="115" t="e">
        <f>VLOOKUP($A61,'S50'!$C:$BQ,30,0)</f>
        <v>#N/A</v>
      </c>
      <c r="BJ61" s="115" t="e">
        <f>VLOOKUP($A61,'S50'!$C:$BQ,52,0)</f>
        <v>#N/A</v>
      </c>
      <c r="BK61" s="115" t="e">
        <f>VLOOKUP($A61,'S50'!$C:$BQ,59,0)</f>
        <v>#N/A</v>
      </c>
      <c r="BL61" s="115" t="e">
        <f>VLOOKUP($A61,'S50'!$C:$BQ,60,0)</f>
        <v>#N/A</v>
      </c>
    </row>
    <row r="62" spans="1:64" x14ac:dyDescent="0.2">
      <c r="A62" s="106" t="s">
        <v>120</v>
      </c>
      <c r="B62" s="107">
        <f>VLOOKUP($A62,'S0 remplacer avec S44'!$C:$BQ,32,0)</f>
        <v>149.75</v>
      </c>
      <c r="C62" s="107">
        <f>VLOOKUP($A62,'S0 remplacer avec S44'!$C:$BQ,39,0)</f>
        <v>27</v>
      </c>
      <c r="D62" s="107">
        <f>VLOOKUP($A62,'S0 remplacer avec S44'!$C:$BQ,40,0)</f>
        <v>62</v>
      </c>
      <c r="E62" s="107">
        <f>VLOOKUP($A62,'S0 remplacer avec S44'!$C:$BQ,22,0)</f>
        <v>1382.06512</v>
      </c>
      <c r="F62" s="115">
        <f>VLOOKUP($A62,'S0 remplacer avec S44'!$C:$BQ,29,0)</f>
        <v>220</v>
      </c>
      <c r="G62" s="115">
        <f>VLOOKUP($A62,'S0 remplacer avec S44'!$C:$BQ,30,0)</f>
        <v>540</v>
      </c>
      <c r="H62" s="115">
        <f>VLOOKUP($A62,'S0 remplacer avec S44'!$C:$BQ,52,0)</f>
        <v>124.2</v>
      </c>
      <c r="I62" s="115">
        <f>VLOOKUP($A62,'S0 remplacer avec S44'!$C:$BQ,59,0)</f>
        <v>0</v>
      </c>
      <c r="J62" s="115">
        <f>VLOOKUP($A62,'S0 remplacer avec S44'!$C:$BQ,60,0)</f>
        <v>0</v>
      </c>
      <c r="K62" s="107" t="e">
        <f>VLOOKUP($A62,'S45'!$C:$BQ,32,0)</f>
        <v>#N/A</v>
      </c>
      <c r="L62" s="107" t="e">
        <f>VLOOKUP($A62,'S45'!$C:$BQ,39,0)</f>
        <v>#N/A</v>
      </c>
      <c r="M62" s="107" t="e">
        <f>VLOOKUP($A62,'S45'!$C:$BQ,40,0)</f>
        <v>#N/A</v>
      </c>
      <c r="N62" s="107" t="e">
        <f>VLOOKUP($A62,'S45'!$C:$BQ,22,0)</f>
        <v>#N/A</v>
      </c>
      <c r="O62" s="115" t="e">
        <f>VLOOKUP($A62,'S45'!$C:$BQ,29,0)</f>
        <v>#N/A</v>
      </c>
      <c r="P62" s="115" t="e">
        <f>VLOOKUP($A62,'S45'!$C:$BQ,30,0)</f>
        <v>#N/A</v>
      </c>
      <c r="Q62" s="115" t="e">
        <f>VLOOKUP($A62,'S45'!$C:$BQ,52,0)</f>
        <v>#N/A</v>
      </c>
      <c r="R62" s="115" t="e">
        <f>VLOOKUP($A62,'S45'!$C:$BQ,59,0)</f>
        <v>#N/A</v>
      </c>
      <c r="S62" s="115" t="e">
        <f>VLOOKUP($A62,'S45'!$C:$BQ,60,0)</f>
        <v>#N/A</v>
      </c>
      <c r="T62" s="107" t="e">
        <f>VLOOKUP($A62,'S46'!$C:$BQ,32,0)</f>
        <v>#N/A</v>
      </c>
      <c r="U62" s="107" t="e">
        <f>VLOOKUP($A62,'S46'!$C:$BQ,39,0)</f>
        <v>#N/A</v>
      </c>
      <c r="V62" s="107" t="e">
        <f>VLOOKUP($A62,'S46'!$C:$BQ,40,0)</f>
        <v>#N/A</v>
      </c>
      <c r="W62" s="107" t="e">
        <f>VLOOKUP($A62,'S46'!$C:$BQ,22,0)</f>
        <v>#N/A</v>
      </c>
      <c r="X62" s="115" t="e">
        <f>VLOOKUP($A62,'S46'!$C:$BQ,29,0)</f>
        <v>#N/A</v>
      </c>
      <c r="Y62" s="115" t="e">
        <f>VLOOKUP($A62,'S46'!$C:$BQ,30,0)</f>
        <v>#N/A</v>
      </c>
      <c r="Z62" s="115" t="e">
        <f>VLOOKUP($A62,'S46'!$C:$BQ,52,0)</f>
        <v>#N/A</v>
      </c>
      <c r="AA62" s="115" t="e">
        <f>VLOOKUP($A62,'S46'!$C:$BQ,59,0)</f>
        <v>#N/A</v>
      </c>
      <c r="AB62" s="115" t="e">
        <f>VLOOKUP($A62,'S46'!$C:$BQ,60,0)</f>
        <v>#N/A</v>
      </c>
      <c r="AC62" s="107" t="e">
        <f>VLOOKUP($A62,'S47'!$C:$BQ,32,0)</f>
        <v>#N/A</v>
      </c>
      <c r="AD62" s="107" t="e">
        <f>VLOOKUP($A62,'S47'!$C:$BQ,39,0)</f>
        <v>#N/A</v>
      </c>
      <c r="AE62" s="107" t="e">
        <f>VLOOKUP($A62,'S47'!$C:$BQ,40,0)</f>
        <v>#N/A</v>
      </c>
      <c r="AF62" s="107" t="e">
        <f>VLOOKUP($A62,'S47'!$C:$BQ,22,0)</f>
        <v>#N/A</v>
      </c>
      <c r="AG62" s="115" t="e">
        <f>VLOOKUP($A62,'S47'!$C:$BQ,29,0)</f>
        <v>#N/A</v>
      </c>
      <c r="AH62" s="115" t="e">
        <f>VLOOKUP($A62,'S47'!$C:$BQ,30,0)</f>
        <v>#N/A</v>
      </c>
      <c r="AI62" s="115" t="e">
        <f>VLOOKUP($A62,'S47'!$C:$BQ,52,0)</f>
        <v>#N/A</v>
      </c>
      <c r="AJ62" s="115" t="e">
        <f>VLOOKUP($A62,'S47'!$C:$BQ,59,0)</f>
        <v>#N/A</v>
      </c>
      <c r="AK62" s="115" t="e">
        <f>VLOOKUP($A62,'S47'!$C:$BQ,60,0)</f>
        <v>#N/A</v>
      </c>
      <c r="AL62" s="107" t="e">
        <f>VLOOKUP($A62,'S48'!$C:$BQ,32,0)</f>
        <v>#N/A</v>
      </c>
      <c r="AM62" s="107" t="e">
        <f>VLOOKUP($A62,'S48'!$C:$BQ,39,0)</f>
        <v>#N/A</v>
      </c>
      <c r="AN62" s="107" t="e">
        <f>VLOOKUP($A62,'S48'!$C:$BQ,40,0)</f>
        <v>#N/A</v>
      </c>
      <c r="AO62" s="107" t="e">
        <f>VLOOKUP($A62,'S48'!$C:$BQ,22,0)</f>
        <v>#N/A</v>
      </c>
      <c r="AP62" s="115" t="e">
        <f>VLOOKUP($A62,'S48'!$C:$BQ,29,0)</f>
        <v>#N/A</v>
      </c>
      <c r="AQ62" s="115" t="e">
        <f>VLOOKUP($A62,'S48'!$C:$BQ,30,0)</f>
        <v>#N/A</v>
      </c>
      <c r="AR62" s="115" t="e">
        <f>VLOOKUP($A62,'S48'!$C:$BQ,52,0)</f>
        <v>#N/A</v>
      </c>
      <c r="AS62" s="115" t="e">
        <f>VLOOKUP($A62,'S48'!$C:$BQ,59,0)</f>
        <v>#N/A</v>
      </c>
      <c r="AT62" s="115" t="e">
        <f>VLOOKUP($A62,'S48'!$C:$BQ,60,0)</f>
        <v>#N/A</v>
      </c>
      <c r="AU62" s="107" t="e">
        <f>VLOOKUP($A62,'S49'!$C:$BQ,32,0)</f>
        <v>#N/A</v>
      </c>
      <c r="AV62" s="107" t="e">
        <f>VLOOKUP($A62,'S49'!$C:$BQ,39,0)</f>
        <v>#N/A</v>
      </c>
      <c r="AW62" s="107" t="e">
        <f>VLOOKUP($A62,'S49'!$C:$BQ,40,0)</f>
        <v>#N/A</v>
      </c>
      <c r="AX62" s="107" t="e">
        <f>VLOOKUP($A62,'S49'!$C:$BQ,22,0)</f>
        <v>#N/A</v>
      </c>
      <c r="AY62" s="115" t="e">
        <f>VLOOKUP($A62,'S49'!$C:$BQ,29,0)</f>
        <v>#N/A</v>
      </c>
      <c r="AZ62" s="115" t="e">
        <f>VLOOKUP($A62,'S49'!$C:$BQ,30,0)</f>
        <v>#N/A</v>
      </c>
      <c r="BA62" s="115" t="e">
        <f>VLOOKUP($A62,'S49'!$C:$BQ,52,0)</f>
        <v>#N/A</v>
      </c>
      <c r="BB62" s="115" t="e">
        <f>VLOOKUP($A62,'S49'!$C:$BQ,59,0)</f>
        <v>#N/A</v>
      </c>
      <c r="BC62" s="115" t="e">
        <f>VLOOKUP($A62,'S49'!$C:$BQ,60,0)</f>
        <v>#N/A</v>
      </c>
      <c r="BD62" s="107" t="e">
        <f>VLOOKUP($A62,'S50'!$C:$BQ,32,0)</f>
        <v>#N/A</v>
      </c>
      <c r="BE62" s="107" t="e">
        <f>VLOOKUP($A62,'S50'!$C:$BQ,39,0)</f>
        <v>#N/A</v>
      </c>
      <c r="BF62" s="107" t="e">
        <f>VLOOKUP($A62,'S50'!$C:$BQ,40,0)</f>
        <v>#N/A</v>
      </c>
      <c r="BG62" s="107" t="e">
        <f>VLOOKUP($A62,'S50'!$C:$BQ,22,0)</f>
        <v>#N/A</v>
      </c>
      <c r="BH62" s="115" t="e">
        <f>VLOOKUP($A62,'S50'!$C:$BQ,29,0)</f>
        <v>#N/A</v>
      </c>
      <c r="BI62" s="115" t="e">
        <f>VLOOKUP($A62,'S50'!$C:$BQ,30,0)</f>
        <v>#N/A</v>
      </c>
      <c r="BJ62" s="115" t="e">
        <f>VLOOKUP($A62,'S50'!$C:$BQ,52,0)</f>
        <v>#N/A</v>
      </c>
      <c r="BK62" s="115" t="e">
        <f>VLOOKUP($A62,'S50'!$C:$BQ,59,0)</f>
        <v>#N/A</v>
      </c>
      <c r="BL62" s="115" t="e">
        <f>VLOOKUP($A62,'S50'!$C:$BQ,60,0)</f>
        <v>#N/A</v>
      </c>
    </row>
    <row r="63" spans="1:64" x14ac:dyDescent="0.2">
      <c r="A63" s="106" t="s">
        <v>121</v>
      </c>
      <c r="B63" s="107">
        <f>VLOOKUP($A63,'S0 remplacer avec S44'!$C:$BQ,32,0)</f>
        <v>61.2</v>
      </c>
      <c r="C63" s="107">
        <f>VLOOKUP($A63,'S0 remplacer avec S44'!$C:$BQ,39,0)</f>
        <v>29</v>
      </c>
      <c r="D63" s="107">
        <f>VLOOKUP($A63,'S0 remplacer avec S44'!$C:$BQ,40,0)</f>
        <v>47</v>
      </c>
      <c r="E63" s="107">
        <f>VLOOKUP($A63,'S0 remplacer avec S44'!$C:$BQ,22,0)</f>
        <v>980.39894000000004</v>
      </c>
      <c r="F63" s="115">
        <f>VLOOKUP($A63,'S0 remplacer avec S44'!$C:$BQ,29,0)</f>
        <v>0</v>
      </c>
      <c r="G63" s="115">
        <f>VLOOKUP($A63,'S0 remplacer avec S44'!$C:$BQ,30,0)</f>
        <v>0</v>
      </c>
      <c r="H63" s="115">
        <f>VLOOKUP($A63,'S0 remplacer avec S44'!$C:$BQ,52,0)</f>
        <v>40.6</v>
      </c>
      <c r="I63" s="115">
        <f>VLOOKUP($A63,'S0 remplacer avec S44'!$C:$BQ,59,0)</f>
        <v>5</v>
      </c>
      <c r="J63" s="115">
        <f>VLOOKUP($A63,'S0 remplacer avec S44'!$C:$BQ,60,0)</f>
        <v>14</v>
      </c>
      <c r="K63" s="107" t="e">
        <f>VLOOKUP($A63,'S45'!$C:$BQ,32,0)</f>
        <v>#N/A</v>
      </c>
      <c r="L63" s="107" t="e">
        <f>VLOOKUP($A63,'S45'!$C:$BQ,39,0)</f>
        <v>#N/A</v>
      </c>
      <c r="M63" s="107" t="e">
        <f>VLOOKUP($A63,'S45'!$C:$BQ,40,0)</f>
        <v>#N/A</v>
      </c>
      <c r="N63" s="107" t="e">
        <f>VLOOKUP($A63,'S45'!$C:$BQ,22,0)</f>
        <v>#N/A</v>
      </c>
      <c r="O63" s="115" t="e">
        <f>VLOOKUP($A63,'S45'!$C:$BQ,29,0)</f>
        <v>#N/A</v>
      </c>
      <c r="P63" s="115" t="e">
        <f>VLOOKUP($A63,'S45'!$C:$BQ,30,0)</f>
        <v>#N/A</v>
      </c>
      <c r="Q63" s="115" t="e">
        <f>VLOOKUP($A63,'S45'!$C:$BQ,52,0)</f>
        <v>#N/A</v>
      </c>
      <c r="R63" s="115" t="e">
        <f>VLOOKUP($A63,'S45'!$C:$BQ,59,0)</f>
        <v>#N/A</v>
      </c>
      <c r="S63" s="115" t="e">
        <f>VLOOKUP($A63,'S45'!$C:$BQ,60,0)</f>
        <v>#N/A</v>
      </c>
      <c r="T63" s="107" t="e">
        <f>VLOOKUP($A63,'S46'!$C:$BQ,32,0)</f>
        <v>#N/A</v>
      </c>
      <c r="U63" s="107" t="e">
        <f>VLOOKUP($A63,'S46'!$C:$BQ,39,0)</f>
        <v>#N/A</v>
      </c>
      <c r="V63" s="107" t="e">
        <f>VLOOKUP($A63,'S46'!$C:$BQ,40,0)</f>
        <v>#N/A</v>
      </c>
      <c r="W63" s="107" t="e">
        <f>VLOOKUP($A63,'S46'!$C:$BQ,22,0)</f>
        <v>#N/A</v>
      </c>
      <c r="X63" s="115" t="e">
        <f>VLOOKUP($A63,'S46'!$C:$BQ,29,0)</f>
        <v>#N/A</v>
      </c>
      <c r="Y63" s="115" t="e">
        <f>VLOOKUP($A63,'S46'!$C:$BQ,30,0)</f>
        <v>#N/A</v>
      </c>
      <c r="Z63" s="115" t="e">
        <f>VLOOKUP($A63,'S46'!$C:$BQ,52,0)</f>
        <v>#N/A</v>
      </c>
      <c r="AA63" s="115" t="e">
        <f>VLOOKUP($A63,'S46'!$C:$BQ,59,0)</f>
        <v>#N/A</v>
      </c>
      <c r="AB63" s="115" t="e">
        <f>VLOOKUP($A63,'S46'!$C:$BQ,60,0)</f>
        <v>#N/A</v>
      </c>
      <c r="AC63" s="107" t="e">
        <f>VLOOKUP($A63,'S47'!$C:$BQ,32,0)</f>
        <v>#N/A</v>
      </c>
      <c r="AD63" s="107" t="e">
        <f>VLOOKUP($A63,'S47'!$C:$BQ,39,0)</f>
        <v>#N/A</v>
      </c>
      <c r="AE63" s="107" t="e">
        <f>VLOOKUP($A63,'S47'!$C:$BQ,40,0)</f>
        <v>#N/A</v>
      </c>
      <c r="AF63" s="107" t="e">
        <f>VLOOKUP($A63,'S47'!$C:$BQ,22,0)</f>
        <v>#N/A</v>
      </c>
      <c r="AG63" s="115" t="e">
        <f>VLOOKUP($A63,'S47'!$C:$BQ,29,0)</f>
        <v>#N/A</v>
      </c>
      <c r="AH63" s="115" t="e">
        <f>VLOOKUP($A63,'S47'!$C:$BQ,30,0)</f>
        <v>#N/A</v>
      </c>
      <c r="AI63" s="115" t="e">
        <f>VLOOKUP($A63,'S47'!$C:$BQ,52,0)</f>
        <v>#N/A</v>
      </c>
      <c r="AJ63" s="115" t="e">
        <f>VLOOKUP($A63,'S47'!$C:$BQ,59,0)</f>
        <v>#N/A</v>
      </c>
      <c r="AK63" s="115" t="e">
        <f>VLOOKUP($A63,'S47'!$C:$BQ,60,0)</f>
        <v>#N/A</v>
      </c>
      <c r="AL63" s="107" t="e">
        <f>VLOOKUP($A63,'S48'!$C:$BQ,32,0)</f>
        <v>#N/A</v>
      </c>
      <c r="AM63" s="107" t="e">
        <f>VLOOKUP($A63,'S48'!$C:$BQ,39,0)</f>
        <v>#N/A</v>
      </c>
      <c r="AN63" s="107" t="e">
        <f>VLOOKUP($A63,'S48'!$C:$BQ,40,0)</f>
        <v>#N/A</v>
      </c>
      <c r="AO63" s="107" t="e">
        <f>VLOOKUP($A63,'S48'!$C:$BQ,22,0)</f>
        <v>#N/A</v>
      </c>
      <c r="AP63" s="115" t="e">
        <f>VLOOKUP($A63,'S48'!$C:$BQ,29,0)</f>
        <v>#N/A</v>
      </c>
      <c r="AQ63" s="115" t="e">
        <f>VLOOKUP($A63,'S48'!$C:$BQ,30,0)</f>
        <v>#N/A</v>
      </c>
      <c r="AR63" s="115" t="e">
        <f>VLOOKUP($A63,'S48'!$C:$BQ,52,0)</f>
        <v>#N/A</v>
      </c>
      <c r="AS63" s="115" t="e">
        <f>VLOOKUP($A63,'S48'!$C:$BQ,59,0)</f>
        <v>#N/A</v>
      </c>
      <c r="AT63" s="115" t="e">
        <f>VLOOKUP($A63,'S48'!$C:$BQ,60,0)</f>
        <v>#N/A</v>
      </c>
      <c r="AU63" s="107" t="e">
        <f>VLOOKUP($A63,'S49'!$C:$BQ,32,0)</f>
        <v>#N/A</v>
      </c>
      <c r="AV63" s="107" t="e">
        <f>VLOOKUP($A63,'S49'!$C:$BQ,39,0)</f>
        <v>#N/A</v>
      </c>
      <c r="AW63" s="107" t="e">
        <f>VLOOKUP($A63,'S49'!$C:$BQ,40,0)</f>
        <v>#N/A</v>
      </c>
      <c r="AX63" s="107" t="e">
        <f>VLOOKUP($A63,'S49'!$C:$BQ,22,0)</f>
        <v>#N/A</v>
      </c>
      <c r="AY63" s="115" t="e">
        <f>VLOOKUP($A63,'S49'!$C:$BQ,29,0)</f>
        <v>#N/A</v>
      </c>
      <c r="AZ63" s="115" t="e">
        <f>VLOOKUP($A63,'S49'!$C:$BQ,30,0)</f>
        <v>#N/A</v>
      </c>
      <c r="BA63" s="115" t="e">
        <f>VLOOKUP($A63,'S49'!$C:$BQ,52,0)</f>
        <v>#N/A</v>
      </c>
      <c r="BB63" s="115" t="e">
        <f>VLOOKUP($A63,'S49'!$C:$BQ,59,0)</f>
        <v>#N/A</v>
      </c>
      <c r="BC63" s="115" t="e">
        <f>VLOOKUP($A63,'S49'!$C:$BQ,60,0)</f>
        <v>#N/A</v>
      </c>
      <c r="BD63" s="107" t="e">
        <f>VLOOKUP($A63,'S50'!$C:$BQ,32,0)</f>
        <v>#N/A</v>
      </c>
      <c r="BE63" s="107" t="e">
        <f>VLOOKUP($A63,'S50'!$C:$BQ,39,0)</f>
        <v>#N/A</v>
      </c>
      <c r="BF63" s="107" t="e">
        <f>VLOOKUP($A63,'S50'!$C:$BQ,40,0)</f>
        <v>#N/A</v>
      </c>
      <c r="BG63" s="107" t="e">
        <f>VLOOKUP($A63,'S50'!$C:$BQ,22,0)</f>
        <v>#N/A</v>
      </c>
      <c r="BH63" s="115" t="e">
        <f>VLOOKUP($A63,'S50'!$C:$BQ,29,0)</f>
        <v>#N/A</v>
      </c>
      <c r="BI63" s="115" t="e">
        <f>VLOOKUP($A63,'S50'!$C:$BQ,30,0)</f>
        <v>#N/A</v>
      </c>
      <c r="BJ63" s="115" t="e">
        <f>VLOOKUP($A63,'S50'!$C:$BQ,52,0)</f>
        <v>#N/A</v>
      </c>
      <c r="BK63" s="115" t="e">
        <f>VLOOKUP($A63,'S50'!$C:$BQ,59,0)</f>
        <v>#N/A</v>
      </c>
      <c r="BL63" s="115" t="e">
        <f>VLOOKUP($A63,'S50'!$C:$BQ,60,0)</f>
        <v>#N/A</v>
      </c>
    </row>
    <row r="64" spans="1:64" x14ac:dyDescent="0.2">
      <c r="A64" s="106" t="s">
        <v>122</v>
      </c>
      <c r="B64" s="107">
        <f>VLOOKUP($A64,'S0 remplacer avec S44'!$C:$BQ,32,0)</f>
        <v>153.4</v>
      </c>
      <c r="C64" s="107">
        <f>VLOOKUP($A64,'S0 remplacer avec S44'!$C:$BQ,39,0)</f>
        <v>122</v>
      </c>
      <c r="D64" s="107">
        <f>VLOOKUP($A64,'S0 remplacer avec S44'!$C:$BQ,40,0)</f>
        <v>176</v>
      </c>
      <c r="E64" s="107">
        <f>VLOOKUP($A64,'S0 remplacer avec S44'!$C:$BQ,22,0)</f>
        <v>1950.4331050000001</v>
      </c>
      <c r="F64" s="115">
        <f>VLOOKUP($A64,'S0 remplacer avec S44'!$C:$BQ,29,0)</f>
        <v>546</v>
      </c>
      <c r="G64" s="115">
        <f>VLOOKUP($A64,'S0 remplacer avec S44'!$C:$BQ,30,0)</f>
        <v>1046</v>
      </c>
      <c r="H64" s="115">
        <f>VLOOKUP($A64,'S0 remplacer avec S44'!$C:$BQ,52,0)</f>
        <v>191.6</v>
      </c>
      <c r="I64" s="115">
        <f>VLOOKUP($A64,'S0 remplacer avec S44'!$C:$BQ,59,0)</f>
        <v>0</v>
      </c>
      <c r="J64" s="115">
        <f>VLOOKUP($A64,'S0 remplacer avec S44'!$C:$BQ,60,0)</f>
        <v>0</v>
      </c>
      <c r="K64" s="107" t="e">
        <f>VLOOKUP($A64,'S45'!$C:$BQ,32,0)</f>
        <v>#N/A</v>
      </c>
      <c r="L64" s="107" t="e">
        <f>VLOOKUP($A64,'S45'!$C:$BQ,39,0)</f>
        <v>#N/A</v>
      </c>
      <c r="M64" s="107" t="e">
        <f>VLOOKUP($A64,'S45'!$C:$BQ,40,0)</f>
        <v>#N/A</v>
      </c>
      <c r="N64" s="107" t="e">
        <f>VLOOKUP($A64,'S45'!$C:$BQ,22,0)</f>
        <v>#N/A</v>
      </c>
      <c r="O64" s="115" t="e">
        <f>VLOOKUP($A64,'S45'!$C:$BQ,29,0)</f>
        <v>#N/A</v>
      </c>
      <c r="P64" s="115" t="e">
        <f>VLOOKUP($A64,'S45'!$C:$BQ,30,0)</f>
        <v>#N/A</v>
      </c>
      <c r="Q64" s="115" t="e">
        <f>VLOOKUP($A64,'S45'!$C:$BQ,52,0)</f>
        <v>#N/A</v>
      </c>
      <c r="R64" s="115" t="e">
        <f>VLOOKUP($A64,'S45'!$C:$BQ,59,0)</f>
        <v>#N/A</v>
      </c>
      <c r="S64" s="115" t="e">
        <f>VLOOKUP($A64,'S45'!$C:$BQ,60,0)</f>
        <v>#N/A</v>
      </c>
      <c r="T64" s="107" t="e">
        <f>VLOOKUP($A64,'S46'!$C:$BQ,32,0)</f>
        <v>#N/A</v>
      </c>
      <c r="U64" s="107" t="e">
        <f>VLOOKUP($A64,'S46'!$C:$BQ,39,0)</f>
        <v>#N/A</v>
      </c>
      <c r="V64" s="107" t="e">
        <f>VLOOKUP($A64,'S46'!$C:$BQ,40,0)</f>
        <v>#N/A</v>
      </c>
      <c r="W64" s="107" t="e">
        <f>VLOOKUP($A64,'S46'!$C:$BQ,22,0)</f>
        <v>#N/A</v>
      </c>
      <c r="X64" s="115" t="e">
        <f>VLOOKUP($A64,'S46'!$C:$BQ,29,0)</f>
        <v>#N/A</v>
      </c>
      <c r="Y64" s="115" t="e">
        <f>VLOOKUP($A64,'S46'!$C:$BQ,30,0)</f>
        <v>#N/A</v>
      </c>
      <c r="Z64" s="115" t="e">
        <f>VLOOKUP($A64,'S46'!$C:$BQ,52,0)</f>
        <v>#N/A</v>
      </c>
      <c r="AA64" s="115" t="e">
        <f>VLOOKUP($A64,'S46'!$C:$BQ,59,0)</f>
        <v>#N/A</v>
      </c>
      <c r="AB64" s="115" t="e">
        <f>VLOOKUP($A64,'S46'!$C:$BQ,60,0)</f>
        <v>#N/A</v>
      </c>
      <c r="AC64" s="107" t="e">
        <f>VLOOKUP($A64,'S47'!$C:$BQ,32,0)</f>
        <v>#N/A</v>
      </c>
      <c r="AD64" s="107" t="e">
        <f>VLOOKUP($A64,'S47'!$C:$BQ,39,0)</f>
        <v>#N/A</v>
      </c>
      <c r="AE64" s="107" t="e">
        <f>VLOOKUP($A64,'S47'!$C:$BQ,40,0)</f>
        <v>#N/A</v>
      </c>
      <c r="AF64" s="107" t="e">
        <f>VLOOKUP($A64,'S47'!$C:$BQ,22,0)</f>
        <v>#N/A</v>
      </c>
      <c r="AG64" s="115" t="e">
        <f>VLOOKUP($A64,'S47'!$C:$BQ,29,0)</f>
        <v>#N/A</v>
      </c>
      <c r="AH64" s="115" t="e">
        <f>VLOOKUP($A64,'S47'!$C:$BQ,30,0)</f>
        <v>#N/A</v>
      </c>
      <c r="AI64" s="115" t="e">
        <f>VLOOKUP($A64,'S47'!$C:$BQ,52,0)</f>
        <v>#N/A</v>
      </c>
      <c r="AJ64" s="115" t="e">
        <f>VLOOKUP($A64,'S47'!$C:$BQ,59,0)</f>
        <v>#N/A</v>
      </c>
      <c r="AK64" s="115" t="e">
        <f>VLOOKUP($A64,'S47'!$C:$BQ,60,0)</f>
        <v>#N/A</v>
      </c>
      <c r="AL64" s="107" t="e">
        <f>VLOOKUP($A64,'S48'!$C:$BQ,32,0)</f>
        <v>#N/A</v>
      </c>
      <c r="AM64" s="107" t="e">
        <f>VLOOKUP($A64,'S48'!$C:$BQ,39,0)</f>
        <v>#N/A</v>
      </c>
      <c r="AN64" s="107" t="e">
        <f>VLOOKUP($A64,'S48'!$C:$BQ,40,0)</f>
        <v>#N/A</v>
      </c>
      <c r="AO64" s="107" t="e">
        <f>VLOOKUP($A64,'S48'!$C:$BQ,22,0)</f>
        <v>#N/A</v>
      </c>
      <c r="AP64" s="115" t="e">
        <f>VLOOKUP($A64,'S48'!$C:$BQ,29,0)</f>
        <v>#N/A</v>
      </c>
      <c r="AQ64" s="115" t="e">
        <f>VLOOKUP($A64,'S48'!$C:$BQ,30,0)</f>
        <v>#N/A</v>
      </c>
      <c r="AR64" s="115" t="e">
        <f>VLOOKUP($A64,'S48'!$C:$BQ,52,0)</f>
        <v>#N/A</v>
      </c>
      <c r="AS64" s="115" t="e">
        <f>VLOOKUP($A64,'S48'!$C:$BQ,59,0)</f>
        <v>#N/A</v>
      </c>
      <c r="AT64" s="115" t="e">
        <f>VLOOKUP($A64,'S48'!$C:$BQ,60,0)</f>
        <v>#N/A</v>
      </c>
      <c r="AU64" s="107" t="e">
        <f>VLOOKUP($A64,'S49'!$C:$BQ,32,0)</f>
        <v>#N/A</v>
      </c>
      <c r="AV64" s="107" t="e">
        <f>VLOOKUP($A64,'S49'!$C:$BQ,39,0)</f>
        <v>#N/A</v>
      </c>
      <c r="AW64" s="107" t="e">
        <f>VLOOKUP($A64,'S49'!$C:$BQ,40,0)</f>
        <v>#N/A</v>
      </c>
      <c r="AX64" s="107" t="e">
        <f>VLOOKUP($A64,'S49'!$C:$BQ,22,0)</f>
        <v>#N/A</v>
      </c>
      <c r="AY64" s="115" t="e">
        <f>VLOOKUP($A64,'S49'!$C:$BQ,29,0)</f>
        <v>#N/A</v>
      </c>
      <c r="AZ64" s="115" t="e">
        <f>VLOOKUP($A64,'S49'!$C:$BQ,30,0)</f>
        <v>#N/A</v>
      </c>
      <c r="BA64" s="115" t="e">
        <f>VLOOKUP($A64,'S49'!$C:$BQ,52,0)</f>
        <v>#N/A</v>
      </c>
      <c r="BB64" s="115" t="e">
        <f>VLOOKUP($A64,'S49'!$C:$BQ,59,0)</f>
        <v>#N/A</v>
      </c>
      <c r="BC64" s="115" t="e">
        <f>VLOOKUP($A64,'S49'!$C:$BQ,60,0)</f>
        <v>#N/A</v>
      </c>
      <c r="BD64" s="107" t="e">
        <f>VLOOKUP($A64,'S50'!$C:$BQ,32,0)</f>
        <v>#N/A</v>
      </c>
      <c r="BE64" s="107" t="e">
        <f>VLOOKUP($A64,'S50'!$C:$BQ,39,0)</f>
        <v>#N/A</v>
      </c>
      <c r="BF64" s="107" t="e">
        <f>VLOOKUP($A64,'S50'!$C:$BQ,40,0)</f>
        <v>#N/A</v>
      </c>
      <c r="BG64" s="107" t="e">
        <f>VLOOKUP($A64,'S50'!$C:$BQ,22,0)</f>
        <v>#N/A</v>
      </c>
      <c r="BH64" s="115" t="e">
        <f>VLOOKUP($A64,'S50'!$C:$BQ,29,0)</f>
        <v>#N/A</v>
      </c>
      <c r="BI64" s="115" t="e">
        <f>VLOOKUP($A64,'S50'!$C:$BQ,30,0)</f>
        <v>#N/A</v>
      </c>
      <c r="BJ64" s="115" t="e">
        <f>VLOOKUP($A64,'S50'!$C:$BQ,52,0)</f>
        <v>#N/A</v>
      </c>
      <c r="BK64" s="115" t="e">
        <f>VLOOKUP($A64,'S50'!$C:$BQ,59,0)</f>
        <v>#N/A</v>
      </c>
      <c r="BL64" s="115" t="e">
        <f>VLOOKUP($A64,'S50'!$C:$BQ,60,0)</f>
        <v>#N/A</v>
      </c>
    </row>
    <row r="65" spans="1:64" x14ac:dyDescent="0.2">
      <c r="A65" s="106" t="s">
        <v>123</v>
      </c>
      <c r="B65" s="107">
        <f>VLOOKUP($A65,'S0 remplacer avec S44'!$C:$BQ,32,0)</f>
        <v>280.55</v>
      </c>
      <c r="C65" s="107">
        <f>VLOOKUP($A65,'S0 remplacer avec S44'!$C:$BQ,39,0)</f>
        <v>6</v>
      </c>
      <c r="D65" s="107">
        <f>VLOOKUP($A65,'S0 remplacer avec S44'!$C:$BQ,40,0)</f>
        <v>64</v>
      </c>
      <c r="E65" s="107">
        <f>VLOOKUP($A65,'S0 remplacer avec S44'!$C:$BQ,22,0)</f>
        <v>2706.602085</v>
      </c>
      <c r="F65" s="115">
        <f>VLOOKUP($A65,'S0 remplacer avec S44'!$C:$BQ,29,0)</f>
        <v>0</v>
      </c>
      <c r="G65" s="115">
        <f>VLOOKUP($A65,'S0 remplacer avec S44'!$C:$BQ,30,0)</f>
        <v>420</v>
      </c>
      <c r="H65" s="115">
        <f>VLOOKUP($A65,'S0 remplacer avec S44'!$C:$BQ,52,0)</f>
        <v>208.8</v>
      </c>
      <c r="I65" s="115">
        <f>VLOOKUP($A65,'S0 remplacer avec S44'!$C:$BQ,59,0)</f>
        <v>0</v>
      </c>
      <c r="J65" s="115">
        <f>VLOOKUP($A65,'S0 remplacer avec S44'!$C:$BQ,60,0)</f>
        <v>0</v>
      </c>
      <c r="K65" s="107" t="e">
        <f>VLOOKUP($A65,'S45'!$C:$BQ,32,0)</f>
        <v>#N/A</v>
      </c>
      <c r="L65" s="107" t="e">
        <f>VLOOKUP($A65,'S45'!$C:$BQ,39,0)</f>
        <v>#N/A</v>
      </c>
      <c r="M65" s="107" t="e">
        <f>VLOOKUP($A65,'S45'!$C:$BQ,40,0)</f>
        <v>#N/A</v>
      </c>
      <c r="N65" s="107" t="e">
        <f>VLOOKUP($A65,'S45'!$C:$BQ,22,0)</f>
        <v>#N/A</v>
      </c>
      <c r="O65" s="115" t="e">
        <f>VLOOKUP($A65,'S45'!$C:$BQ,29,0)</f>
        <v>#N/A</v>
      </c>
      <c r="P65" s="115" t="e">
        <f>VLOOKUP($A65,'S45'!$C:$BQ,30,0)</f>
        <v>#N/A</v>
      </c>
      <c r="Q65" s="115" t="e">
        <f>VLOOKUP($A65,'S45'!$C:$BQ,52,0)</f>
        <v>#N/A</v>
      </c>
      <c r="R65" s="115" t="e">
        <f>VLOOKUP($A65,'S45'!$C:$BQ,59,0)</f>
        <v>#N/A</v>
      </c>
      <c r="S65" s="115" t="e">
        <f>VLOOKUP($A65,'S45'!$C:$BQ,60,0)</f>
        <v>#N/A</v>
      </c>
      <c r="T65" s="107" t="e">
        <f>VLOOKUP($A65,'S46'!$C:$BQ,32,0)</f>
        <v>#N/A</v>
      </c>
      <c r="U65" s="107" t="e">
        <f>VLOOKUP($A65,'S46'!$C:$BQ,39,0)</f>
        <v>#N/A</v>
      </c>
      <c r="V65" s="107" t="e">
        <f>VLOOKUP($A65,'S46'!$C:$BQ,40,0)</f>
        <v>#N/A</v>
      </c>
      <c r="W65" s="107" t="e">
        <f>VLOOKUP($A65,'S46'!$C:$BQ,22,0)</f>
        <v>#N/A</v>
      </c>
      <c r="X65" s="115" t="e">
        <f>VLOOKUP($A65,'S46'!$C:$BQ,29,0)</f>
        <v>#N/A</v>
      </c>
      <c r="Y65" s="115" t="e">
        <f>VLOOKUP($A65,'S46'!$C:$BQ,30,0)</f>
        <v>#N/A</v>
      </c>
      <c r="Z65" s="115" t="e">
        <f>VLOOKUP($A65,'S46'!$C:$BQ,52,0)</f>
        <v>#N/A</v>
      </c>
      <c r="AA65" s="115" t="e">
        <f>VLOOKUP($A65,'S46'!$C:$BQ,59,0)</f>
        <v>#N/A</v>
      </c>
      <c r="AB65" s="115" t="e">
        <f>VLOOKUP($A65,'S46'!$C:$BQ,60,0)</f>
        <v>#N/A</v>
      </c>
      <c r="AC65" s="107" t="e">
        <f>VLOOKUP($A65,'S47'!$C:$BQ,32,0)</f>
        <v>#N/A</v>
      </c>
      <c r="AD65" s="107" t="e">
        <f>VLOOKUP($A65,'S47'!$C:$BQ,39,0)</f>
        <v>#N/A</v>
      </c>
      <c r="AE65" s="107" t="e">
        <f>VLOOKUP($A65,'S47'!$C:$BQ,40,0)</f>
        <v>#N/A</v>
      </c>
      <c r="AF65" s="107" t="e">
        <f>VLOOKUP($A65,'S47'!$C:$BQ,22,0)</f>
        <v>#N/A</v>
      </c>
      <c r="AG65" s="115" t="e">
        <f>VLOOKUP($A65,'S47'!$C:$BQ,29,0)</f>
        <v>#N/A</v>
      </c>
      <c r="AH65" s="115" t="e">
        <f>VLOOKUP($A65,'S47'!$C:$BQ,30,0)</f>
        <v>#N/A</v>
      </c>
      <c r="AI65" s="115" t="e">
        <f>VLOOKUP($A65,'S47'!$C:$BQ,52,0)</f>
        <v>#N/A</v>
      </c>
      <c r="AJ65" s="115" t="e">
        <f>VLOOKUP($A65,'S47'!$C:$BQ,59,0)</f>
        <v>#N/A</v>
      </c>
      <c r="AK65" s="115" t="e">
        <f>VLOOKUP($A65,'S47'!$C:$BQ,60,0)</f>
        <v>#N/A</v>
      </c>
      <c r="AL65" s="107" t="e">
        <f>VLOOKUP($A65,'S48'!$C:$BQ,32,0)</f>
        <v>#N/A</v>
      </c>
      <c r="AM65" s="107" t="e">
        <f>VLOOKUP($A65,'S48'!$C:$BQ,39,0)</f>
        <v>#N/A</v>
      </c>
      <c r="AN65" s="107" t="e">
        <f>VLOOKUP($A65,'S48'!$C:$BQ,40,0)</f>
        <v>#N/A</v>
      </c>
      <c r="AO65" s="107" t="e">
        <f>VLOOKUP($A65,'S48'!$C:$BQ,22,0)</f>
        <v>#N/A</v>
      </c>
      <c r="AP65" s="115" t="e">
        <f>VLOOKUP($A65,'S48'!$C:$BQ,29,0)</f>
        <v>#N/A</v>
      </c>
      <c r="AQ65" s="115" t="e">
        <f>VLOOKUP($A65,'S48'!$C:$BQ,30,0)</f>
        <v>#N/A</v>
      </c>
      <c r="AR65" s="115" t="e">
        <f>VLOOKUP($A65,'S48'!$C:$BQ,52,0)</f>
        <v>#N/A</v>
      </c>
      <c r="AS65" s="115" t="e">
        <f>VLOOKUP($A65,'S48'!$C:$BQ,59,0)</f>
        <v>#N/A</v>
      </c>
      <c r="AT65" s="115" t="e">
        <f>VLOOKUP($A65,'S48'!$C:$BQ,60,0)</f>
        <v>#N/A</v>
      </c>
      <c r="AU65" s="107" t="e">
        <f>VLOOKUP($A65,'S49'!$C:$BQ,32,0)</f>
        <v>#N/A</v>
      </c>
      <c r="AV65" s="107" t="e">
        <f>VLOOKUP($A65,'S49'!$C:$BQ,39,0)</f>
        <v>#N/A</v>
      </c>
      <c r="AW65" s="107" t="e">
        <f>VLOOKUP($A65,'S49'!$C:$BQ,40,0)</f>
        <v>#N/A</v>
      </c>
      <c r="AX65" s="107" t="e">
        <f>VLOOKUP($A65,'S49'!$C:$BQ,22,0)</f>
        <v>#N/A</v>
      </c>
      <c r="AY65" s="115" t="e">
        <f>VLOOKUP($A65,'S49'!$C:$BQ,29,0)</f>
        <v>#N/A</v>
      </c>
      <c r="AZ65" s="115" t="e">
        <f>VLOOKUP($A65,'S49'!$C:$BQ,30,0)</f>
        <v>#N/A</v>
      </c>
      <c r="BA65" s="115" t="e">
        <f>VLOOKUP($A65,'S49'!$C:$BQ,52,0)</f>
        <v>#N/A</v>
      </c>
      <c r="BB65" s="115" t="e">
        <f>VLOOKUP($A65,'S49'!$C:$BQ,59,0)</f>
        <v>#N/A</v>
      </c>
      <c r="BC65" s="115" t="e">
        <f>VLOOKUP($A65,'S49'!$C:$BQ,60,0)</f>
        <v>#N/A</v>
      </c>
      <c r="BD65" s="107" t="e">
        <f>VLOOKUP($A65,'S50'!$C:$BQ,32,0)</f>
        <v>#N/A</v>
      </c>
      <c r="BE65" s="107" t="e">
        <f>VLOOKUP($A65,'S50'!$C:$BQ,39,0)</f>
        <v>#N/A</v>
      </c>
      <c r="BF65" s="107" t="e">
        <f>VLOOKUP($A65,'S50'!$C:$BQ,40,0)</f>
        <v>#N/A</v>
      </c>
      <c r="BG65" s="107" t="e">
        <f>VLOOKUP($A65,'S50'!$C:$BQ,22,0)</f>
        <v>#N/A</v>
      </c>
      <c r="BH65" s="115" t="e">
        <f>VLOOKUP($A65,'S50'!$C:$BQ,29,0)</f>
        <v>#N/A</v>
      </c>
      <c r="BI65" s="115" t="e">
        <f>VLOOKUP($A65,'S50'!$C:$BQ,30,0)</f>
        <v>#N/A</v>
      </c>
      <c r="BJ65" s="115" t="e">
        <f>VLOOKUP($A65,'S50'!$C:$BQ,52,0)</f>
        <v>#N/A</v>
      </c>
      <c r="BK65" s="115" t="e">
        <f>VLOOKUP($A65,'S50'!$C:$BQ,59,0)</f>
        <v>#N/A</v>
      </c>
      <c r="BL65" s="115" t="e">
        <f>VLOOKUP($A65,'S50'!$C:$BQ,60,0)</f>
        <v>#N/A</v>
      </c>
    </row>
    <row r="66" spans="1:64" x14ac:dyDescent="0.2">
      <c r="A66" s="106" t="s">
        <v>124</v>
      </c>
      <c r="B66" s="107">
        <f>VLOOKUP($A66,'S0 remplacer avec S44'!$C:$BQ,32,0)</f>
        <v>89.15</v>
      </c>
      <c r="C66" s="107">
        <f>VLOOKUP($A66,'S0 remplacer avec S44'!$C:$BQ,39,0)</f>
        <v>7</v>
      </c>
      <c r="D66" s="107">
        <f>VLOOKUP($A66,'S0 remplacer avec S44'!$C:$BQ,40,0)</f>
        <v>26</v>
      </c>
      <c r="E66" s="107">
        <f>VLOOKUP($A66,'S0 remplacer avec S44'!$C:$BQ,22,0)</f>
        <v>617.26729499999999</v>
      </c>
      <c r="F66" s="115">
        <f>VLOOKUP($A66,'S0 remplacer avec S44'!$C:$BQ,29,0)</f>
        <v>249</v>
      </c>
      <c r="G66" s="115">
        <f>VLOOKUP($A66,'S0 remplacer avec S44'!$C:$BQ,30,0)</f>
        <v>422</v>
      </c>
      <c r="H66" s="115">
        <f>VLOOKUP($A66,'S0 remplacer avec S44'!$C:$BQ,52,0)</f>
        <v>53.4</v>
      </c>
      <c r="I66" s="115">
        <f>VLOOKUP($A66,'S0 remplacer avec S44'!$C:$BQ,59,0)</f>
        <v>0</v>
      </c>
      <c r="J66" s="115">
        <f>VLOOKUP($A66,'S0 remplacer avec S44'!$C:$BQ,60,0)</f>
        <v>5</v>
      </c>
      <c r="K66" s="107" t="e">
        <f>VLOOKUP($A66,'S45'!$C:$BQ,32,0)</f>
        <v>#N/A</v>
      </c>
      <c r="L66" s="107" t="e">
        <f>VLOOKUP($A66,'S45'!$C:$BQ,39,0)</f>
        <v>#N/A</v>
      </c>
      <c r="M66" s="107" t="e">
        <f>VLOOKUP($A66,'S45'!$C:$BQ,40,0)</f>
        <v>#N/A</v>
      </c>
      <c r="N66" s="107" t="e">
        <f>VLOOKUP($A66,'S45'!$C:$BQ,22,0)</f>
        <v>#N/A</v>
      </c>
      <c r="O66" s="115" t="e">
        <f>VLOOKUP($A66,'S45'!$C:$BQ,29,0)</f>
        <v>#N/A</v>
      </c>
      <c r="P66" s="115" t="e">
        <f>VLOOKUP($A66,'S45'!$C:$BQ,30,0)</f>
        <v>#N/A</v>
      </c>
      <c r="Q66" s="115" t="e">
        <f>VLOOKUP($A66,'S45'!$C:$BQ,52,0)</f>
        <v>#N/A</v>
      </c>
      <c r="R66" s="115" t="e">
        <f>VLOOKUP($A66,'S45'!$C:$BQ,59,0)</f>
        <v>#N/A</v>
      </c>
      <c r="S66" s="115" t="e">
        <f>VLOOKUP($A66,'S45'!$C:$BQ,60,0)</f>
        <v>#N/A</v>
      </c>
      <c r="T66" s="107" t="e">
        <f>VLOOKUP($A66,'S46'!$C:$BQ,32,0)</f>
        <v>#N/A</v>
      </c>
      <c r="U66" s="107" t="e">
        <f>VLOOKUP($A66,'S46'!$C:$BQ,39,0)</f>
        <v>#N/A</v>
      </c>
      <c r="V66" s="107" t="e">
        <f>VLOOKUP($A66,'S46'!$C:$BQ,40,0)</f>
        <v>#N/A</v>
      </c>
      <c r="W66" s="107" t="e">
        <f>VLOOKUP($A66,'S46'!$C:$BQ,22,0)</f>
        <v>#N/A</v>
      </c>
      <c r="X66" s="115" t="e">
        <f>VLOOKUP($A66,'S46'!$C:$BQ,29,0)</f>
        <v>#N/A</v>
      </c>
      <c r="Y66" s="115" t="e">
        <f>VLOOKUP($A66,'S46'!$C:$BQ,30,0)</f>
        <v>#N/A</v>
      </c>
      <c r="Z66" s="115" t="e">
        <f>VLOOKUP($A66,'S46'!$C:$BQ,52,0)</f>
        <v>#N/A</v>
      </c>
      <c r="AA66" s="115" t="e">
        <f>VLOOKUP($A66,'S46'!$C:$BQ,59,0)</f>
        <v>#N/A</v>
      </c>
      <c r="AB66" s="115" t="e">
        <f>VLOOKUP($A66,'S46'!$C:$BQ,60,0)</f>
        <v>#N/A</v>
      </c>
      <c r="AC66" s="107" t="e">
        <f>VLOOKUP($A66,'S47'!$C:$BQ,32,0)</f>
        <v>#N/A</v>
      </c>
      <c r="AD66" s="107" t="e">
        <f>VLOOKUP($A66,'S47'!$C:$BQ,39,0)</f>
        <v>#N/A</v>
      </c>
      <c r="AE66" s="107" t="e">
        <f>VLOOKUP($A66,'S47'!$C:$BQ,40,0)</f>
        <v>#N/A</v>
      </c>
      <c r="AF66" s="107" t="e">
        <f>VLOOKUP($A66,'S47'!$C:$BQ,22,0)</f>
        <v>#N/A</v>
      </c>
      <c r="AG66" s="115" t="e">
        <f>VLOOKUP($A66,'S47'!$C:$BQ,29,0)</f>
        <v>#N/A</v>
      </c>
      <c r="AH66" s="115" t="e">
        <f>VLOOKUP($A66,'S47'!$C:$BQ,30,0)</f>
        <v>#N/A</v>
      </c>
      <c r="AI66" s="115" t="e">
        <f>VLOOKUP($A66,'S47'!$C:$BQ,52,0)</f>
        <v>#N/A</v>
      </c>
      <c r="AJ66" s="115" t="e">
        <f>VLOOKUP($A66,'S47'!$C:$BQ,59,0)</f>
        <v>#N/A</v>
      </c>
      <c r="AK66" s="115" t="e">
        <f>VLOOKUP($A66,'S47'!$C:$BQ,60,0)</f>
        <v>#N/A</v>
      </c>
      <c r="AL66" s="107" t="e">
        <f>VLOOKUP($A66,'S48'!$C:$BQ,32,0)</f>
        <v>#N/A</v>
      </c>
      <c r="AM66" s="107" t="e">
        <f>VLOOKUP($A66,'S48'!$C:$BQ,39,0)</f>
        <v>#N/A</v>
      </c>
      <c r="AN66" s="107" t="e">
        <f>VLOOKUP($A66,'S48'!$C:$BQ,40,0)</f>
        <v>#N/A</v>
      </c>
      <c r="AO66" s="107" t="e">
        <f>VLOOKUP($A66,'S48'!$C:$BQ,22,0)</f>
        <v>#N/A</v>
      </c>
      <c r="AP66" s="115" t="e">
        <f>VLOOKUP($A66,'S48'!$C:$BQ,29,0)</f>
        <v>#N/A</v>
      </c>
      <c r="AQ66" s="115" t="e">
        <f>VLOOKUP($A66,'S48'!$C:$BQ,30,0)</f>
        <v>#N/A</v>
      </c>
      <c r="AR66" s="115" t="e">
        <f>VLOOKUP($A66,'S48'!$C:$BQ,52,0)</f>
        <v>#N/A</v>
      </c>
      <c r="AS66" s="115" t="e">
        <f>VLOOKUP($A66,'S48'!$C:$BQ,59,0)</f>
        <v>#N/A</v>
      </c>
      <c r="AT66" s="115" t="e">
        <f>VLOOKUP($A66,'S48'!$C:$BQ,60,0)</f>
        <v>#N/A</v>
      </c>
      <c r="AU66" s="107" t="e">
        <f>VLOOKUP($A66,'S49'!$C:$BQ,32,0)</f>
        <v>#N/A</v>
      </c>
      <c r="AV66" s="107" t="e">
        <f>VLOOKUP($A66,'S49'!$C:$BQ,39,0)</f>
        <v>#N/A</v>
      </c>
      <c r="AW66" s="107" t="e">
        <f>VLOOKUP($A66,'S49'!$C:$BQ,40,0)</f>
        <v>#N/A</v>
      </c>
      <c r="AX66" s="107" t="e">
        <f>VLOOKUP($A66,'S49'!$C:$BQ,22,0)</f>
        <v>#N/A</v>
      </c>
      <c r="AY66" s="115" t="e">
        <f>VLOOKUP($A66,'S49'!$C:$BQ,29,0)</f>
        <v>#N/A</v>
      </c>
      <c r="AZ66" s="115" t="e">
        <f>VLOOKUP($A66,'S49'!$C:$BQ,30,0)</f>
        <v>#N/A</v>
      </c>
      <c r="BA66" s="115" t="e">
        <f>VLOOKUP($A66,'S49'!$C:$BQ,52,0)</f>
        <v>#N/A</v>
      </c>
      <c r="BB66" s="115" t="e">
        <f>VLOOKUP($A66,'S49'!$C:$BQ,59,0)</f>
        <v>#N/A</v>
      </c>
      <c r="BC66" s="115" t="e">
        <f>VLOOKUP($A66,'S49'!$C:$BQ,60,0)</f>
        <v>#N/A</v>
      </c>
      <c r="BD66" s="107" t="e">
        <f>VLOOKUP($A66,'S50'!$C:$BQ,32,0)</f>
        <v>#N/A</v>
      </c>
      <c r="BE66" s="107" t="e">
        <f>VLOOKUP($A66,'S50'!$C:$BQ,39,0)</f>
        <v>#N/A</v>
      </c>
      <c r="BF66" s="107" t="e">
        <f>VLOOKUP($A66,'S50'!$C:$BQ,40,0)</f>
        <v>#N/A</v>
      </c>
      <c r="BG66" s="107" t="e">
        <f>VLOOKUP($A66,'S50'!$C:$BQ,22,0)</f>
        <v>#N/A</v>
      </c>
      <c r="BH66" s="115" t="e">
        <f>VLOOKUP($A66,'S50'!$C:$BQ,29,0)</f>
        <v>#N/A</v>
      </c>
      <c r="BI66" s="115" t="e">
        <f>VLOOKUP($A66,'S50'!$C:$BQ,30,0)</f>
        <v>#N/A</v>
      </c>
      <c r="BJ66" s="115" t="e">
        <f>VLOOKUP($A66,'S50'!$C:$BQ,52,0)</f>
        <v>#N/A</v>
      </c>
      <c r="BK66" s="115" t="e">
        <f>VLOOKUP($A66,'S50'!$C:$BQ,59,0)</f>
        <v>#N/A</v>
      </c>
      <c r="BL66" s="115" t="e">
        <f>VLOOKUP($A66,'S50'!$C:$BQ,60,0)</f>
        <v>#N/A</v>
      </c>
    </row>
    <row r="67" spans="1:64" x14ac:dyDescent="0.2">
      <c r="A67" s="106" t="s">
        <v>125</v>
      </c>
      <c r="B67" s="107">
        <f>VLOOKUP($A67,'S0 remplacer avec S44'!$C:$BQ,32,0)</f>
        <v>119.3</v>
      </c>
      <c r="C67" s="107">
        <f>VLOOKUP($A67,'S0 remplacer avec S44'!$C:$BQ,39,0)</f>
        <v>74</v>
      </c>
      <c r="D67" s="107">
        <f>VLOOKUP($A67,'S0 remplacer avec S44'!$C:$BQ,40,0)</f>
        <v>112</v>
      </c>
      <c r="E67" s="107">
        <f>VLOOKUP($A67,'S0 remplacer avec S44'!$C:$BQ,22,0)</f>
        <v>1448.03431</v>
      </c>
      <c r="F67" s="115">
        <f>VLOOKUP($A67,'S0 remplacer avec S44'!$C:$BQ,29,0)</f>
        <v>302</v>
      </c>
      <c r="G67" s="115">
        <f>VLOOKUP($A67,'S0 remplacer avec S44'!$C:$BQ,30,0)</f>
        <v>652</v>
      </c>
      <c r="H67" s="115">
        <f>VLOOKUP($A67,'S0 remplacer avec S44'!$C:$BQ,52,0)</f>
        <v>164</v>
      </c>
      <c r="I67" s="115">
        <f>VLOOKUP($A67,'S0 remplacer avec S44'!$C:$BQ,59,0)</f>
        <v>0</v>
      </c>
      <c r="J67" s="115">
        <f>VLOOKUP($A67,'S0 remplacer avec S44'!$C:$BQ,60,0)</f>
        <v>0</v>
      </c>
      <c r="K67" s="107" t="e">
        <f>VLOOKUP($A67,'S45'!$C:$BQ,32,0)</f>
        <v>#N/A</v>
      </c>
      <c r="L67" s="107" t="e">
        <f>VLOOKUP($A67,'S45'!$C:$BQ,39,0)</f>
        <v>#N/A</v>
      </c>
      <c r="M67" s="107" t="e">
        <f>VLOOKUP($A67,'S45'!$C:$BQ,40,0)</f>
        <v>#N/A</v>
      </c>
      <c r="N67" s="107" t="e">
        <f>VLOOKUP($A67,'S45'!$C:$BQ,22,0)</f>
        <v>#N/A</v>
      </c>
      <c r="O67" s="115" t="e">
        <f>VLOOKUP($A67,'S45'!$C:$BQ,29,0)</f>
        <v>#N/A</v>
      </c>
      <c r="P67" s="115" t="e">
        <f>VLOOKUP($A67,'S45'!$C:$BQ,30,0)</f>
        <v>#N/A</v>
      </c>
      <c r="Q67" s="115" t="e">
        <f>VLOOKUP($A67,'S45'!$C:$BQ,52,0)</f>
        <v>#N/A</v>
      </c>
      <c r="R67" s="115" t="e">
        <f>VLOOKUP($A67,'S45'!$C:$BQ,59,0)</f>
        <v>#N/A</v>
      </c>
      <c r="S67" s="115" t="e">
        <f>VLOOKUP($A67,'S45'!$C:$BQ,60,0)</f>
        <v>#N/A</v>
      </c>
      <c r="T67" s="107" t="e">
        <f>VLOOKUP($A67,'S46'!$C:$BQ,32,0)</f>
        <v>#N/A</v>
      </c>
      <c r="U67" s="107" t="e">
        <f>VLOOKUP($A67,'S46'!$C:$BQ,39,0)</f>
        <v>#N/A</v>
      </c>
      <c r="V67" s="107" t="e">
        <f>VLOOKUP($A67,'S46'!$C:$BQ,40,0)</f>
        <v>#N/A</v>
      </c>
      <c r="W67" s="107" t="e">
        <f>VLOOKUP($A67,'S46'!$C:$BQ,22,0)</f>
        <v>#N/A</v>
      </c>
      <c r="X67" s="115" t="e">
        <f>VLOOKUP($A67,'S46'!$C:$BQ,29,0)</f>
        <v>#N/A</v>
      </c>
      <c r="Y67" s="115" t="e">
        <f>VLOOKUP($A67,'S46'!$C:$BQ,30,0)</f>
        <v>#N/A</v>
      </c>
      <c r="Z67" s="115" t="e">
        <f>VLOOKUP($A67,'S46'!$C:$BQ,52,0)</f>
        <v>#N/A</v>
      </c>
      <c r="AA67" s="115" t="e">
        <f>VLOOKUP($A67,'S46'!$C:$BQ,59,0)</f>
        <v>#N/A</v>
      </c>
      <c r="AB67" s="115" t="e">
        <f>VLOOKUP($A67,'S46'!$C:$BQ,60,0)</f>
        <v>#N/A</v>
      </c>
      <c r="AC67" s="107" t="e">
        <f>VLOOKUP($A67,'S47'!$C:$BQ,32,0)</f>
        <v>#N/A</v>
      </c>
      <c r="AD67" s="107" t="e">
        <f>VLOOKUP($A67,'S47'!$C:$BQ,39,0)</f>
        <v>#N/A</v>
      </c>
      <c r="AE67" s="107" t="e">
        <f>VLOOKUP($A67,'S47'!$C:$BQ,40,0)</f>
        <v>#N/A</v>
      </c>
      <c r="AF67" s="107" t="e">
        <f>VLOOKUP($A67,'S47'!$C:$BQ,22,0)</f>
        <v>#N/A</v>
      </c>
      <c r="AG67" s="115" t="e">
        <f>VLOOKUP($A67,'S47'!$C:$BQ,29,0)</f>
        <v>#N/A</v>
      </c>
      <c r="AH67" s="115" t="e">
        <f>VLOOKUP($A67,'S47'!$C:$BQ,30,0)</f>
        <v>#N/A</v>
      </c>
      <c r="AI67" s="115" t="e">
        <f>VLOOKUP($A67,'S47'!$C:$BQ,52,0)</f>
        <v>#N/A</v>
      </c>
      <c r="AJ67" s="115" t="e">
        <f>VLOOKUP($A67,'S47'!$C:$BQ,59,0)</f>
        <v>#N/A</v>
      </c>
      <c r="AK67" s="115" t="e">
        <f>VLOOKUP($A67,'S47'!$C:$BQ,60,0)</f>
        <v>#N/A</v>
      </c>
      <c r="AL67" s="107" t="e">
        <f>VLOOKUP($A67,'S48'!$C:$BQ,32,0)</f>
        <v>#N/A</v>
      </c>
      <c r="AM67" s="107" t="e">
        <f>VLOOKUP($A67,'S48'!$C:$BQ,39,0)</f>
        <v>#N/A</v>
      </c>
      <c r="AN67" s="107" t="e">
        <f>VLOOKUP($A67,'S48'!$C:$BQ,40,0)</f>
        <v>#N/A</v>
      </c>
      <c r="AO67" s="107" t="e">
        <f>VLOOKUP($A67,'S48'!$C:$BQ,22,0)</f>
        <v>#N/A</v>
      </c>
      <c r="AP67" s="115" t="e">
        <f>VLOOKUP($A67,'S48'!$C:$BQ,29,0)</f>
        <v>#N/A</v>
      </c>
      <c r="AQ67" s="115" t="e">
        <f>VLOOKUP($A67,'S48'!$C:$BQ,30,0)</f>
        <v>#N/A</v>
      </c>
      <c r="AR67" s="115" t="e">
        <f>VLOOKUP($A67,'S48'!$C:$BQ,52,0)</f>
        <v>#N/A</v>
      </c>
      <c r="AS67" s="115" t="e">
        <f>VLOOKUP($A67,'S48'!$C:$BQ,59,0)</f>
        <v>#N/A</v>
      </c>
      <c r="AT67" s="115" t="e">
        <f>VLOOKUP($A67,'S48'!$C:$BQ,60,0)</f>
        <v>#N/A</v>
      </c>
      <c r="AU67" s="107" t="e">
        <f>VLOOKUP($A67,'S49'!$C:$BQ,32,0)</f>
        <v>#N/A</v>
      </c>
      <c r="AV67" s="107" t="e">
        <f>VLOOKUP($A67,'S49'!$C:$BQ,39,0)</f>
        <v>#N/A</v>
      </c>
      <c r="AW67" s="107" t="e">
        <f>VLOOKUP($A67,'S49'!$C:$BQ,40,0)</f>
        <v>#N/A</v>
      </c>
      <c r="AX67" s="107" t="e">
        <f>VLOOKUP($A67,'S49'!$C:$BQ,22,0)</f>
        <v>#N/A</v>
      </c>
      <c r="AY67" s="115" t="e">
        <f>VLOOKUP($A67,'S49'!$C:$BQ,29,0)</f>
        <v>#N/A</v>
      </c>
      <c r="AZ67" s="115" t="e">
        <f>VLOOKUP($A67,'S49'!$C:$BQ,30,0)</f>
        <v>#N/A</v>
      </c>
      <c r="BA67" s="115" t="e">
        <f>VLOOKUP($A67,'S49'!$C:$BQ,52,0)</f>
        <v>#N/A</v>
      </c>
      <c r="BB67" s="115" t="e">
        <f>VLOOKUP($A67,'S49'!$C:$BQ,59,0)</f>
        <v>#N/A</v>
      </c>
      <c r="BC67" s="115" t="e">
        <f>VLOOKUP($A67,'S49'!$C:$BQ,60,0)</f>
        <v>#N/A</v>
      </c>
      <c r="BD67" s="107" t="e">
        <f>VLOOKUP($A67,'S50'!$C:$BQ,32,0)</f>
        <v>#N/A</v>
      </c>
      <c r="BE67" s="107" t="e">
        <f>VLOOKUP($A67,'S50'!$C:$BQ,39,0)</f>
        <v>#N/A</v>
      </c>
      <c r="BF67" s="107" t="e">
        <f>VLOOKUP($A67,'S50'!$C:$BQ,40,0)</f>
        <v>#N/A</v>
      </c>
      <c r="BG67" s="107" t="e">
        <f>VLOOKUP($A67,'S50'!$C:$BQ,22,0)</f>
        <v>#N/A</v>
      </c>
      <c r="BH67" s="115" t="e">
        <f>VLOOKUP($A67,'S50'!$C:$BQ,29,0)</f>
        <v>#N/A</v>
      </c>
      <c r="BI67" s="115" t="e">
        <f>VLOOKUP($A67,'S50'!$C:$BQ,30,0)</f>
        <v>#N/A</v>
      </c>
      <c r="BJ67" s="115" t="e">
        <f>VLOOKUP($A67,'S50'!$C:$BQ,52,0)</f>
        <v>#N/A</v>
      </c>
      <c r="BK67" s="115" t="e">
        <f>VLOOKUP($A67,'S50'!$C:$BQ,59,0)</f>
        <v>#N/A</v>
      </c>
      <c r="BL67" s="115" t="e">
        <f>VLOOKUP($A67,'S50'!$C:$BQ,60,0)</f>
        <v>#N/A</v>
      </c>
    </row>
    <row r="68" spans="1:64" x14ac:dyDescent="0.2">
      <c r="A68" s="106" t="s">
        <v>126</v>
      </c>
      <c r="B68" s="107">
        <f>VLOOKUP($A68,'S0 remplacer avec S44'!$C:$BQ,32,0)</f>
        <v>114.9</v>
      </c>
      <c r="C68" s="107">
        <f>VLOOKUP($A68,'S0 remplacer avec S44'!$C:$BQ,39,0)</f>
        <v>24</v>
      </c>
      <c r="D68" s="107">
        <f>VLOOKUP($A68,'S0 remplacer avec S44'!$C:$BQ,40,0)</f>
        <v>51</v>
      </c>
      <c r="E68" s="107">
        <f>VLOOKUP($A68,'S0 remplacer avec S44'!$C:$BQ,22,0)</f>
        <v>1267.2595550000001</v>
      </c>
      <c r="F68" s="115">
        <f>VLOOKUP($A68,'S0 remplacer avec S44'!$C:$BQ,29,0)</f>
        <v>0</v>
      </c>
      <c r="G68" s="115">
        <f>VLOOKUP($A68,'S0 remplacer avec S44'!$C:$BQ,30,0)</f>
        <v>242</v>
      </c>
      <c r="H68" s="115">
        <f>VLOOKUP($A68,'S0 remplacer avec S44'!$C:$BQ,52,0)</f>
        <v>85.4</v>
      </c>
      <c r="I68" s="115">
        <f>VLOOKUP($A68,'S0 remplacer avec S44'!$C:$BQ,59,0)</f>
        <v>0</v>
      </c>
      <c r="J68" s="115">
        <f>VLOOKUP($A68,'S0 remplacer avec S44'!$C:$BQ,60,0)</f>
        <v>0</v>
      </c>
      <c r="K68" s="107" t="e">
        <f>VLOOKUP($A68,'S45'!$C:$BQ,32,0)</f>
        <v>#N/A</v>
      </c>
      <c r="L68" s="107" t="e">
        <f>VLOOKUP($A68,'S45'!$C:$BQ,39,0)</f>
        <v>#N/A</v>
      </c>
      <c r="M68" s="107" t="e">
        <f>VLOOKUP($A68,'S45'!$C:$BQ,40,0)</f>
        <v>#N/A</v>
      </c>
      <c r="N68" s="107" t="e">
        <f>VLOOKUP($A68,'S45'!$C:$BQ,22,0)</f>
        <v>#N/A</v>
      </c>
      <c r="O68" s="115" t="e">
        <f>VLOOKUP($A68,'S45'!$C:$BQ,29,0)</f>
        <v>#N/A</v>
      </c>
      <c r="P68" s="115" t="e">
        <f>VLOOKUP($A68,'S45'!$C:$BQ,30,0)</f>
        <v>#N/A</v>
      </c>
      <c r="Q68" s="115" t="e">
        <f>VLOOKUP($A68,'S45'!$C:$BQ,52,0)</f>
        <v>#N/A</v>
      </c>
      <c r="R68" s="115" t="e">
        <f>VLOOKUP($A68,'S45'!$C:$BQ,59,0)</f>
        <v>#N/A</v>
      </c>
      <c r="S68" s="115" t="e">
        <f>VLOOKUP($A68,'S45'!$C:$BQ,60,0)</f>
        <v>#N/A</v>
      </c>
      <c r="T68" s="107" t="e">
        <f>VLOOKUP($A68,'S46'!$C:$BQ,32,0)</f>
        <v>#N/A</v>
      </c>
      <c r="U68" s="107" t="e">
        <f>VLOOKUP($A68,'S46'!$C:$BQ,39,0)</f>
        <v>#N/A</v>
      </c>
      <c r="V68" s="107" t="e">
        <f>VLOOKUP($A68,'S46'!$C:$BQ,40,0)</f>
        <v>#N/A</v>
      </c>
      <c r="W68" s="107" t="e">
        <f>VLOOKUP($A68,'S46'!$C:$BQ,22,0)</f>
        <v>#N/A</v>
      </c>
      <c r="X68" s="115" t="e">
        <f>VLOOKUP($A68,'S46'!$C:$BQ,29,0)</f>
        <v>#N/A</v>
      </c>
      <c r="Y68" s="115" t="e">
        <f>VLOOKUP($A68,'S46'!$C:$BQ,30,0)</f>
        <v>#N/A</v>
      </c>
      <c r="Z68" s="115" t="e">
        <f>VLOOKUP($A68,'S46'!$C:$BQ,52,0)</f>
        <v>#N/A</v>
      </c>
      <c r="AA68" s="115" t="e">
        <f>VLOOKUP($A68,'S46'!$C:$BQ,59,0)</f>
        <v>#N/A</v>
      </c>
      <c r="AB68" s="115" t="e">
        <f>VLOOKUP($A68,'S46'!$C:$BQ,60,0)</f>
        <v>#N/A</v>
      </c>
      <c r="AC68" s="107" t="e">
        <f>VLOOKUP($A68,'S47'!$C:$BQ,32,0)</f>
        <v>#N/A</v>
      </c>
      <c r="AD68" s="107" t="e">
        <f>VLOOKUP($A68,'S47'!$C:$BQ,39,0)</f>
        <v>#N/A</v>
      </c>
      <c r="AE68" s="107" t="e">
        <f>VLOOKUP($A68,'S47'!$C:$BQ,40,0)</f>
        <v>#N/A</v>
      </c>
      <c r="AF68" s="107" t="e">
        <f>VLOOKUP($A68,'S47'!$C:$BQ,22,0)</f>
        <v>#N/A</v>
      </c>
      <c r="AG68" s="115" t="e">
        <f>VLOOKUP($A68,'S47'!$C:$BQ,29,0)</f>
        <v>#N/A</v>
      </c>
      <c r="AH68" s="115" t="e">
        <f>VLOOKUP($A68,'S47'!$C:$BQ,30,0)</f>
        <v>#N/A</v>
      </c>
      <c r="AI68" s="115" t="e">
        <f>VLOOKUP($A68,'S47'!$C:$BQ,52,0)</f>
        <v>#N/A</v>
      </c>
      <c r="AJ68" s="115" t="e">
        <f>VLOOKUP($A68,'S47'!$C:$BQ,59,0)</f>
        <v>#N/A</v>
      </c>
      <c r="AK68" s="115" t="e">
        <f>VLOOKUP($A68,'S47'!$C:$BQ,60,0)</f>
        <v>#N/A</v>
      </c>
      <c r="AL68" s="107" t="e">
        <f>VLOOKUP($A68,'S48'!$C:$BQ,32,0)</f>
        <v>#N/A</v>
      </c>
      <c r="AM68" s="107" t="e">
        <f>VLOOKUP($A68,'S48'!$C:$BQ,39,0)</f>
        <v>#N/A</v>
      </c>
      <c r="AN68" s="107" t="e">
        <f>VLOOKUP($A68,'S48'!$C:$BQ,40,0)</f>
        <v>#N/A</v>
      </c>
      <c r="AO68" s="107" t="e">
        <f>VLOOKUP($A68,'S48'!$C:$BQ,22,0)</f>
        <v>#N/A</v>
      </c>
      <c r="AP68" s="115" t="e">
        <f>VLOOKUP($A68,'S48'!$C:$BQ,29,0)</f>
        <v>#N/A</v>
      </c>
      <c r="AQ68" s="115" t="e">
        <f>VLOOKUP($A68,'S48'!$C:$BQ,30,0)</f>
        <v>#N/A</v>
      </c>
      <c r="AR68" s="115" t="e">
        <f>VLOOKUP($A68,'S48'!$C:$BQ,52,0)</f>
        <v>#N/A</v>
      </c>
      <c r="AS68" s="115" t="e">
        <f>VLOOKUP($A68,'S48'!$C:$BQ,59,0)</f>
        <v>#N/A</v>
      </c>
      <c r="AT68" s="115" t="e">
        <f>VLOOKUP($A68,'S48'!$C:$BQ,60,0)</f>
        <v>#N/A</v>
      </c>
      <c r="AU68" s="107" t="e">
        <f>VLOOKUP($A68,'S49'!$C:$BQ,32,0)</f>
        <v>#N/A</v>
      </c>
      <c r="AV68" s="107" t="e">
        <f>VLOOKUP($A68,'S49'!$C:$BQ,39,0)</f>
        <v>#N/A</v>
      </c>
      <c r="AW68" s="107" t="e">
        <f>VLOOKUP($A68,'S49'!$C:$BQ,40,0)</f>
        <v>#N/A</v>
      </c>
      <c r="AX68" s="107" t="e">
        <f>VLOOKUP($A68,'S49'!$C:$BQ,22,0)</f>
        <v>#N/A</v>
      </c>
      <c r="AY68" s="115" t="e">
        <f>VLOOKUP($A68,'S49'!$C:$BQ,29,0)</f>
        <v>#N/A</v>
      </c>
      <c r="AZ68" s="115" t="e">
        <f>VLOOKUP($A68,'S49'!$C:$BQ,30,0)</f>
        <v>#N/A</v>
      </c>
      <c r="BA68" s="115" t="e">
        <f>VLOOKUP($A68,'S49'!$C:$BQ,52,0)</f>
        <v>#N/A</v>
      </c>
      <c r="BB68" s="115" t="e">
        <f>VLOOKUP($A68,'S49'!$C:$BQ,59,0)</f>
        <v>#N/A</v>
      </c>
      <c r="BC68" s="115" t="e">
        <f>VLOOKUP($A68,'S49'!$C:$BQ,60,0)</f>
        <v>#N/A</v>
      </c>
      <c r="BD68" s="107" t="e">
        <f>VLOOKUP($A68,'S50'!$C:$BQ,32,0)</f>
        <v>#N/A</v>
      </c>
      <c r="BE68" s="107" t="e">
        <f>VLOOKUP($A68,'S50'!$C:$BQ,39,0)</f>
        <v>#N/A</v>
      </c>
      <c r="BF68" s="107" t="e">
        <f>VLOOKUP($A68,'S50'!$C:$BQ,40,0)</f>
        <v>#N/A</v>
      </c>
      <c r="BG68" s="107" t="e">
        <f>VLOOKUP($A68,'S50'!$C:$BQ,22,0)</f>
        <v>#N/A</v>
      </c>
      <c r="BH68" s="115" t="e">
        <f>VLOOKUP($A68,'S50'!$C:$BQ,29,0)</f>
        <v>#N/A</v>
      </c>
      <c r="BI68" s="115" t="e">
        <f>VLOOKUP($A68,'S50'!$C:$BQ,30,0)</f>
        <v>#N/A</v>
      </c>
      <c r="BJ68" s="115" t="e">
        <f>VLOOKUP($A68,'S50'!$C:$BQ,52,0)</f>
        <v>#N/A</v>
      </c>
      <c r="BK68" s="115" t="e">
        <f>VLOOKUP($A68,'S50'!$C:$BQ,59,0)</f>
        <v>#N/A</v>
      </c>
      <c r="BL68" s="115" t="e">
        <f>VLOOKUP($A68,'S50'!$C:$BQ,60,0)</f>
        <v>#N/A</v>
      </c>
    </row>
    <row r="69" spans="1:64" x14ac:dyDescent="0.2">
      <c r="A69" s="106" t="s">
        <v>127</v>
      </c>
      <c r="B69" s="107">
        <f>VLOOKUP($A69,'S0 remplacer avec S44'!$C:$BQ,32,0)</f>
        <v>362.75</v>
      </c>
      <c r="C69" s="107">
        <f>VLOOKUP($A69,'S0 remplacer avec S44'!$C:$BQ,39,0)</f>
        <v>0</v>
      </c>
      <c r="D69" s="107">
        <f>VLOOKUP($A69,'S0 remplacer avec S44'!$C:$BQ,40,0)</f>
        <v>0</v>
      </c>
      <c r="E69" s="107">
        <f>VLOOKUP($A69,'S0 remplacer avec S44'!$C:$BQ,22,0)</f>
        <v>2881.034545</v>
      </c>
      <c r="F69" s="115">
        <f>VLOOKUP($A69,'S0 remplacer avec S44'!$C:$BQ,29,0)</f>
        <v>0</v>
      </c>
      <c r="G69" s="115">
        <f>VLOOKUP($A69,'S0 remplacer avec S44'!$C:$BQ,30,0)</f>
        <v>277</v>
      </c>
      <c r="H69" s="115">
        <f>VLOOKUP($A69,'S0 remplacer avec S44'!$C:$BQ,52,0)</f>
        <v>232.8</v>
      </c>
      <c r="I69" s="115">
        <f>VLOOKUP($A69,'S0 remplacer avec S44'!$C:$BQ,59,0)</f>
        <v>0</v>
      </c>
      <c r="J69" s="115">
        <f>VLOOKUP($A69,'S0 remplacer avec S44'!$C:$BQ,60,0)</f>
        <v>0</v>
      </c>
      <c r="K69" s="107" t="e">
        <f>VLOOKUP($A69,'S45'!$C:$BQ,32,0)</f>
        <v>#N/A</v>
      </c>
      <c r="L69" s="107" t="e">
        <f>VLOOKUP($A69,'S45'!$C:$BQ,39,0)</f>
        <v>#N/A</v>
      </c>
      <c r="M69" s="107" t="e">
        <f>VLOOKUP($A69,'S45'!$C:$BQ,40,0)</f>
        <v>#N/A</v>
      </c>
      <c r="N69" s="107" t="e">
        <f>VLOOKUP($A69,'S45'!$C:$BQ,22,0)</f>
        <v>#N/A</v>
      </c>
      <c r="O69" s="115" t="e">
        <f>VLOOKUP($A69,'S45'!$C:$BQ,29,0)</f>
        <v>#N/A</v>
      </c>
      <c r="P69" s="115" t="e">
        <f>VLOOKUP($A69,'S45'!$C:$BQ,30,0)</f>
        <v>#N/A</v>
      </c>
      <c r="Q69" s="115" t="e">
        <f>VLOOKUP($A69,'S45'!$C:$BQ,52,0)</f>
        <v>#N/A</v>
      </c>
      <c r="R69" s="115" t="e">
        <f>VLOOKUP($A69,'S45'!$C:$BQ,59,0)</f>
        <v>#N/A</v>
      </c>
      <c r="S69" s="115" t="e">
        <f>VLOOKUP($A69,'S45'!$C:$BQ,60,0)</f>
        <v>#N/A</v>
      </c>
      <c r="T69" s="107" t="e">
        <f>VLOOKUP($A69,'S46'!$C:$BQ,32,0)</f>
        <v>#N/A</v>
      </c>
      <c r="U69" s="107" t="e">
        <f>VLOOKUP($A69,'S46'!$C:$BQ,39,0)</f>
        <v>#N/A</v>
      </c>
      <c r="V69" s="107" t="e">
        <f>VLOOKUP($A69,'S46'!$C:$BQ,40,0)</f>
        <v>#N/A</v>
      </c>
      <c r="W69" s="107" t="e">
        <f>VLOOKUP($A69,'S46'!$C:$BQ,22,0)</f>
        <v>#N/A</v>
      </c>
      <c r="X69" s="115" t="e">
        <f>VLOOKUP($A69,'S46'!$C:$BQ,29,0)</f>
        <v>#N/A</v>
      </c>
      <c r="Y69" s="115" t="e">
        <f>VLOOKUP($A69,'S46'!$C:$BQ,30,0)</f>
        <v>#N/A</v>
      </c>
      <c r="Z69" s="115" t="e">
        <f>VLOOKUP($A69,'S46'!$C:$BQ,52,0)</f>
        <v>#N/A</v>
      </c>
      <c r="AA69" s="115" t="e">
        <f>VLOOKUP($A69,'S46'!$C:$BQ,59,0)</f>
        <v>#N/A</v>
      </c>
      <c r="AB69" s="115" t="e">
        <f>VLOOKUP($A69,'S46'!$C:$BQ,60,0)</f>
        <v>#N/A</v>
      </c>
      <c r="AC69" s="107" t="e">
        <f>VLOOKUP($A69,'S47'!$C:$BQ,32,0)</f>
        <v>#N/A</v>
      </c>
      <c r="AD69" s="107" t="e">
        <f>VLOOKUP($A69,'S47'!$C:$BQ,39,0)</f>
        <v>#N/A</v>
      </c>
      <c r="AE69" s="107" t="e">
        <f>VLOOKUP($A69,'S47'!$C:$BQ,40,0)</f>
        <v>#N/A</v>
      </c>
      <c r="AF69" s="107" t="e">
        <f>VLOOKUP($A69,'S47'!$C:$BQ,22,0)</f>
        <v>#N/A</v>
      </c>
      <c r="AG69" s="115" t="e">
        <f>VLOOKUP($A69,'S47'!$C:$BQ,29,0)</f>
        <v>#N/A</v>
      </c>
      <c r="AH69" s="115" t="e">
        <f>VLOOKUP($A69,'S47'!$C:$BQ,30,0)</f>
        <v>#N/A</v>
      </c>
      <c r="AI69" s="115" t="e">
        <f>VLOOKUP($A69,'S47'!$C:$BQ,52,0)</f>
        <v>#N/A</v>
      </c>
      <c r="AJ69" s="115" t="e">
        <f>VLOOKUP($A69,'S47'!$C:$BQ,59,0)</f>
        <v>#N/A</v>
      </c>
      <c r="AK69" s="115" t="e">
        <f>VLOOKUP($A69,'S47'!$C:$BQ,60,0)</f>
        <v>#N/A</v>
      </c>
      <c r="AL69" s="107" t="e">
        <f>VLOOKUP($A69,'S48'!$C:$BQ,32,0)</f>
        <v>#N/A</v>
      </c>
      <c r="AM69" s="107" t="e">
        <f>VLOOKUP($A69,'S48'!$C:$BQ,39,0)</f>
        <v>#N/A</v>
      </c>
      <c r="AN69" s="107" t="e">
        <f>VLOOKUP($A69,'S48'!$C:$BQ,40,0)</f>
        <v>#N/A</v>
      </c>
      <c r="AO69" s="107" t="e">
        <f>VLOOKUP($A69,'S48'!$C:$BQ,22,0)</f>
        <v>#N/A</v>
      </c>
      <c r="AP69" s="115" t="e">
        <f>VLOOKUP($A69,'S48'!$C:$BQ,29,0)</f>
        <v>#N/A</v>
      </c>
      <c r="AQ69" s="115" t="e">
        <f>VLOOKUP($A69,'S48'!$C:$BQ,30,0)</f>
        <v>#N/A</v>
      </c>
      <c r="AR69" s="115" t="e">
        <f>VLOOKUP($A69,'S48'!$C:$BQ,52,0)</f>
        <v>#N/A</v>
      </c>
      <c r="AS69" s="115" t="e">
        <f>VLOOKUP($A69,'S48'!$C:$BQ,59,0)</f>
        <v>#N/A</v>
      </c>
      <c r="AT69" s="115" t="e">
        <f>VLOOKUP($A69,'S48'!$C:$BQ,60,0)</f>
        <v>#N/A</v>
      </c>
      <c r="AU69" s="107" t="e">
        <f>VLOOKUP($A69,'S49'!$C:$BQ,32,0)</f>
        <v>#N/A</v>
      </c>
      <c r="AV69" s="107" t="e">
        <f>VLOOKUP($A69,'S49'!$C:$BQ,39,0)</f>
        <v>#N/A</v>
      </c>
      <c r="AW69" s="107" t="e">
        <f>VLOOKUP($A69,'S49'!$C:$BQ,40,0)</f>
        <v>#N/A</v>
      </c>
      <c r="AX69" s="107" t="e">
        <f>VLOOKUP($A69,'S49'!$C:$BQ,22,0)</f>
        <v>#N/A</v>
      </c>
      <c r="AY69" s="115" t="e">
        <f>VLOOKUP($A69,'S49'!$C:$BQ,29,0)</f>
        <v>#N/A</v>
      </c>
      <c r="AZ69" s="115" t="e">
        <f>VLOOKUP($A69,'S49'!$C:$BQ,30,0)</f>
        <v>#N/A</v>
      </c>
      <c r="BA69" s="115" t="e">
        <f>VLOOKUP($A69,'S49'!$C:$BQ,52,0)</f>
        <v>#N/A</v>
      </c>
      <c r="BB69" s="115" t="e">
        <f>VLOOKUP($A69,'S49'!$C:$BQ,59,0)</f>
        <v>#N/A</v>
      </c>
      <c r="BC69" s="115" t="e">
        <f>VLOOKUP($A69,'S49'!$C:$BQ,60,0)</f>
        <v>#N/A</v>
      </c>
      <c r="BD69" s="107" t="e">
        <f>VLOOKUP($A69,'S50'!$C:$BQ,32,0)</f>
        <v>#N/A</v>
      </c>
      <c r="BE69" s="107" t="e">
        <f>VLOOKUP($A69,'S50'!$C:$BQ,39,0)</f>
        <v>#N/A</v>
      </c>
      <c r="BF69" s="107" t="e">
        <f>VLOOKUP($A69,'S50'!$C:$BQ,40,0)</f>
        <v>#N/A</v>
      </c>
      <c r="BG69" s="107" t="e">
        <f>VLOOKUP($A69,'S50'!$C:$BQ,22,0)</f>
        <v>#N/A</v>
      </c>
      <c r="BH69" s="115" t="e">
        <f>VLOOKUP($A69,'S50'!$C:$BQ,29,0)</f>
        <v>#N/A</v>
      </c>
      <c r="BI69" s="115" t="e">
        <f>VLOOKUP($A69,'S50'!$C:$BQ,30,0)</f>
        <v>#N/A</v>
      </c>
      <c r="BJ69" s="115" t="e">
        <f>VLOOKUP($A69,'S50'!$C:$BQ,52,0)</f>
        <v>#N/A</v>
      </c>
      <c r="BK69" s="115" t="e">
        <f>VLOOKUP($A69,'S50'!$C:$BQ,59,0)</f>
        <v>#N/A</v>
      </c>
      <c r="BL69" s="115" t="e">
        <f>VLOOKUP($A69,'S50'!$C:$BQ,60,0)</f>
        <v>#N/A</v>
      </c>
    </row>
    <row r="70" spans="1:64" x14ac:dyDescent="0.2">
      <c r="A70" s="106" t="s">
        <v>128</v>
      </c>
      <c r="B70" s="107">
        <f>VLOOKUP($A70,'S0 remplacer avec S44'!$C:$BQ,32,0)</f>
        <v>157.9</v>
      </c>
      <c r="C70" s="107">
        <f>VLOOKUP($A70,'S0 remplacer avec S44'!$C:$BQ,39,0)</f>
        <v>17</v>
      </c>
      <c r="D70" s="107">
        <f>VLOOKUP($A70,'S0 remplacer avec S44'!$C:$BQ,40,0)</f>
        <v>51</v>
      </c>
      <c r="E70" s="107">
        <f>VLOOKUP($A70,'S0 remplacer avec S44'!$C:$BQ,22,0)</f>
        <v>1751.522905</v>
      </c>
      <c r="F70" s="115">
        <f>VLOOKUP($A70,'S0 remplacer avec S44'!$C:$BQ,29,0)</f>
        <v>0</v>
      </c>
      <c r="G70" s="115">
        <f>VLOOKUP($A70,'S0 remplacer avec S44'!$C:$BQ,30,0)</f>
        <v>147</v>
      </c>
      <c r="H70" s="115">
        <f>VLOOKUP($A70,'S0 remplacer avec S44'!$C:$BQ,52,0)</f>
        <v>104</v>
      </c>
      <c r="I70" s="115">
        <f>VLOOKUP($A70,'S0 remplacer avec S44'!$C:$BQ,59,0)</f>
        <v>0</v>
      </c>
      <c r="J70" s="115">
        <f>VLOOKUP($A70,'S0 remplacer avec S44'!$C:$BQ,60,0)</f>
        <v>3</v>
      </c>
      <c r="K70" s="107" t="e">
        <f>VLOOKUP($A70,'S45'!$C:$BQ,32,0)</f>
        <v>#N/A</v>
      </c>
      <c r="L70" s="107" t="e">
        <f>VLOOKUP($A70,'S45'!$C:$BQ,39,0)</f>
        <v>#N/A</v>
      </c>
      <c r="M70" s="107" t="e">
        <f>VLOOKUP($A70,'S45'!$C:$BQ,40,0)</f>
        <v>#N/A</v>
      </c>
      <c r="N70" s="107" t="e">
        <f>VLOOKUP($A70,'S45'!$C:$BQ,22,0)</f>
        <v>#N/A</v>
      </c>
      <c r="O70" s="115" t="e">
        <f>VLOOKUP($A70,'S45'!$C:$BQ,29,0)</f>
        <v>#N/A</v>
      </c>
      <c r="P70" s="115" t="e">
        <f>VLOOKUP($A70,'S45'!$C:$BQ,30,0)</f>
        <v>#N/A</v>
      </c>
      <c r="Q70" s="115" t="e">
        <f>VLOOKUP($A70,'S45'!$C:$BQ,52,0)</f>
        <v>#N/A</v>
      </c>
      <c r="R70" s="115" t="e">
        <f>VLOOKUP($A70,'S45'!$C:$BQ,59,0)</f>
        <v>#N/A</v>
      </c>
      <c r="S70" s="115" t="e">
        <f>VLOOKUP($A70,'S45'!$C:$BQ,60,0)</f>
        <v>#N/A</v>
      </c>
      <c r="T70" s="107" t="e">
        <f>VLOOKUP($A70,'S46'!$C:$BQ,32,0)</f>
        <v>#N/A</v>
      </c>
      <c r="U70" s="107" t="e">
        <f>VLOOKUP($A70,'S46'!$C:$BQ,39,0)</f>
        <v>#N/A</v>
      </c>
      <c r="V70" s="107" t="e">
        <f>VLOOKUP($A70,'S46'!$C:$BQ,40,0)</f>
        <v>#N/A</v>
      </c>
      <c r="W70" s="107" t="e">
        <f>VLOOKUP($A70,'S46'!$C:$BQ,22,0)</f>
        <v>#N/A</v>
      </c>
      <c r="X70" s="115" t="e">
        <f>VLOOKUP($A70,'S46'!$C:$BQ,29,0)</f>
        <v>#N/A</v>
      </c>
      <c r="Y70" s="115" t="e">
        <f>VLOOKUP($A70,'S46'!$C:$BQ,30,0)</f>
        <v>#N/A</v>
      </c>
      <c r="Z70" s="115" t="e">
        <f>VLOOKUP($A70,'S46'!$C:$BQ,52,0)</f>
        <v>#N/A</v>
      </c>
      <c r="AA70" s="115" t="e">
        <f>VLOOKUP($A70,'S46'!$C:$BQ,59,0)</f>
        <v>#N/A</v>
      </c>
      <c r="AB70" s="115" t="e">
        <f>VLOOKUP($A70,'S46'!$C:$BQ,60,0)</f>
        <v>#N/A</v>
      </c>
      <c r="AC70" s="107" t="e">
        <f>VLOOKUP($A70,'S47'!$C:$BQ,32,0)</f>
        <v>#N/A</v>
      </c>
      <c r="AD70" s="107" t="e">
        <f>VLOOKUP($A70,'S47'!$C:$BQ,39,0)</f>
        <v>#N/A</v>
      </c>
      <c r="AE70" s="107" t="e">
        <f>VLOOKUP($A70,'S47'!$C:$BQ,40,0)</f>
        <v>#N/A</v>
      </c>
      <c r="AF70" s="107" t="e">
        <f>VLOOKUP($A70,'S47'!$C:$BQ,22,0)</f>
        <v>#N/A</v>
      </c>
      <c r="AG70" s="115" t="e">
        <f>VLOOKUP($A70,'S47'!$C:$BQ,29,0)</f>
        <v>#N/A</v>
      </c>
      <c r="AH70" s="115" t="e">
        <f>VLOOKUP($A70,'S47'!$C:$BQ,30,0)</f>
        <v>#N/A</v>
      </c>
      <c r="AI70" s="115" t="e">
        <f>VLOOKUP($A70,'S47'!$C:$BQ,52,0)</f>
        <v>#N/A</v>
      </c>
      <c r="AJ70" s="115" t="e">
        <f>VLOOKUP($A70,'S47'!$C:$BQ,59,0)</f>
        <v>#N/A</v>
      </c>
      <c r="AK70" s="115" t="e">
        <f>VLOOKUP($A70,'S47'!$C:$BQ,60,0)</f>
        <v>#N/A</v>
      </c>
      <c r="AL70" s="107" t="e">
        <f>VLOOKUP($A70,'S48'!$C:$BQ,32,0)</f>
        <v>#N/A</v>
      </c>
      <c r="AM70" s="107" t="e">
        <f>VLOOKUP($A70,'S48'!$C:$BQ,39,0)</f>
        <v>#N/A</v>
      </c>
      <c r="AN70" s="107" t="e">
        <f>VLOOKUP($A70,'S48'!$C:$BQ,40,0)</f>
        <v>#N/A</v>
      </c>
      <c r="AO70" s="107" t="e">
        <f>VLOOKUP($A70,'S48'!$C:$BQ,22,0)</f>
        <v>#N/A</v>
      </c>
      <c r="AP70" s="115" t="e">
        <f>VLOOKUP($A70,'S48'!$C:$BQ,29,0)</f>
        <v>#N/A</v>
      </c>
      <c r="AQ70" s="115" t="e">
        <f>VLOOKUP($A70,'S48'!$C:$BQ,30,0)</f>
        <v>#N/A</v>
      </c>
      <c r="AR70" s="115" t="e">
        <f>VLOOKUP($A70,'S48'!$C:$BQ,52,0)</f>
        <v>#N/A</v>
      </c>
      <c r="AS70" s="115" t="e">
        <f>VLOOKUP($A70,'S48'!$C:$BQ,59,0)</f>
        <v>#N/A</v>
      </c>
      <c r="AT70" s="115" t="e">
        <f>VLOOKUP($A70,'S48'!$C:$BQ,60,0)</f>
        <v>#N/A</v>
      </c>
      <c r="AU70" s="107" t="e">
        <f>VLOOKUP($A70,'S49'!$C:$BQ,32,0)</f>
        <v>#N/A</v>
      </c>
      <c r="AV70" s="107" t="e">
        <f>VLOOKUP($A70,'S49'!$C:$BQ,39,0)</f>
        <v>#N/A</v>
      </c>
      <c r="AW70" s="107" t="e">
        <f>VLOOKUP($A70,'S49'!$C:$BQ,40,0)</f>
        <v>#N/A</v>
      </c>
      <c r="AX70" s="107" t="e">
        <f>VLOOKUP($A70,'S49'!$C:$BQ,22,0)</f>
        <v>#N/A</v>
      </c>
      <c r="AY70" s="115" t="e">
        <f>VLOOKUP($A70,'S49'!$C:$BQ,29,0)</f>
        <v>#N/A</v>
      </c>
      <c r="AZ70" s="115" t="e">
        <f>VLOOKUP($A70,'S49'!$C:$BQ,30,0)</f>
        <v>#N/A</v>
      </c>
      <c r="BA70" s="115" t="e">
        <f>VLOOKUP($A70,'S49'!$C:$BQ,52,0)</f>
        <v>#N/A</v>
      </c>
      <c r="BB70" s="115" t="e">
        <f>VLOOKUP($A70,'S49'!$C:$BQ,59,0)</f>
        <v>#N/A</v>
      </c>
      <c r="BC70" s="115" t="e">
        <f>VLOOKUP($A70,'S49'!$C:$BQ,60,0)</f>
        <v>#N/A</v>
      </c>
      <c r="BD70" s="107" t="e">
        <f>VLOOKUP($A70,'S50'!$C:$BQ,32,0)</f>
        <v>#N/A</v>
      </c>
      <c r="BE70" s="107" t="e">
        <f>VLOOKUP($A70,'S50'!$C:$BQ,39,0)</f>
        <v>#N/A</v>
      </c>
      <c r="BF70" s="107" t="e">
        <f>VLOOKUP($A70,'S50'!$C:$BQ,40,0)</f>
        <v>#N/A</v>
      </c>
      <c r="BG70" s="107" t="e">
        <f>VLOOKUP($A70,'S50'!$C:$BQ,22,0)</f>
        <v>#N/A</v>
      </c>
      <c r="BH70" s="115" t="e">
        <f>VLOOKUP($A70,'S50'!$C:$BQ,29,0)</f>
        <v>#N/A</v>
      </c>
      <c r="BI70" s="115" t="e">
        <f>VLOOKUP($A70,'S50'!$C:$BQ,30,0)</f>
        <v>#N/A</v>
      </c>
      <c r="BJ70" s="115" t="e">
        <f>VLOOKUP($A70,'S50'!$C:$BQ,52,0)</f>
        <v>#N/A</v>
      </c>
      <c r="BK70" s="115" t="e">
        <f>VLOOKUP($A70,'S50'!$C:$BQ,59,0)</f>
        <v>#N/A</v>
      </c>
      <c r="BL70" s="115" t="e">
        <f>VLOOKUP($A70,'S50'!$C:$BQ,60,0)</f>
        <v>#N/A</v>
      </c>
    </row>
    <row r="71" spans="1:64" x14ac:dyDescent="0.2">
      <c r="A71" s="106" t="s">
        <v>129</v>
      </c>
      <c r="B71" s="107">
        <f>VLOOKUP($A71,'S0 remplacer avec S44'!$C:$BQ,32,0)</f>
        <v>274.8</v>
      </c>
      <c r="C71" s="107">
        <f>VLOOKUP($A71,'S0 remplacer avec S44'!$C:$BQ,39,0)</f>
        <v>78</v>
      </c>
      <c r="D71" s="107">
        <f>VLOOKUP($A71,'S0 remplacer avec S44'!$C:$BQ,40,0)</f>
        <v>149</v>
      </c>
      <c r="E71" s="107">
        <f>VLOOKUP($A71,'S0 remplacer avec S44'!$C:$BQ,22,0)</f>
        <v>2060.1639100000002</v>
      </c>
      <c r="F71" s="115">
        <f>VLOOKUP($A71,'S0 remplacer avec S44'!$C:$BQ,29,0)</f>
        <v>1147</v>
      </c>
      <c r="G71" s="115">
        <f>VLOOKUP($A71,'S0 remplacer avec S44'!$C:$BQ,30,0)</f>
        <v>1789</v>
      </c>
      <c r="H71" s="115">
        <f>VLOOKUP($A71,'S0 remplacer avec S44'!$C:$BQ,52,0)</f>
        <v>261.60000000000002</v>
      </c>
      <c r="I71" s="115">
        <f>VLOOKUP($A71,'S0 remplacer avec S44'!$C:$BQ,59,0)</f>
        <v>0</v>
      </c>
      <c r="J71" s="115">
        <f>VLOOKUP($A71,'S0 remplacer avec S44'!$C:$BQ,60,0)</f>
        <v>0</v>
      </c>
      <c r="K71" s="107" t="e">
        <f>VLOOKUP($A71,'S45'!$C:$BQ,32,0)</f>
        <v>#N/A</v>
      </c>
      <c r="L71" s="107" t="e">
        <f>VLOOKUP($A71,'S45'!$C:$BQ,39,0)</f>
        <v>#N/A</v>
      </c>
      <c r="M71" s="107" t="e">
        <f>VLOOKUP($A71,'S45'!$C:$BQ,40,0)</f>
        <v>#N/A</v>
      </c>
      <c r="N71" s="107" t="e">
        <f>VLOOKUP($A71,'S45'!$C:$BQ,22,0)</f>
        <v>#N/A</v>
      </c>
      <c r="O71" s="115" t="e">
        <f>VLOOKUP($A71,'S45'!$C:$BQ,29,0)</f>
        <v>#N/A</v>
      </c>
      <c r="P71" s="115" t="e">
        <f>VLOOKUP($A71,'S45'!$C:$BQ,30,0)</f>
        <v>#N/A</v>
      </c>
      <c r="Q71" s="115" t="e">
        <f>VLOOKUP($A71,'S45'!$C:$BQ,52,0)</f>
        <v>#N/A</v>
      </c>
      <c r="R71" s="115" t="e">
        <f>VLOOKUP($A71,'S45'!$C:$BQ,59,0)</f>
        <v>#N/A</v>
      </c>
      <c r="S71" s="115" t="e">
        <f>VLOOKUP($A71,'S45'!$C:$BQ,60,0)</f>
        <v>#N/A</v>
      </c>
      <c r="T71" s="107" t="e">
        <f>VLOOKUP($A71,'S46'!$C:$BQ,32,0)</f>
        <v>#N/A</v>
      </c>
      <c r="U71" s="107" t="e">
        <f>VLOOKUP($A71,'S46'!$C:$BQ,39,0)</f>
        <v>#N/A</v>
      </c>
      <c r="V71" s="107" t="e">
        <f>VLOOKUP($A71,'S46'!$C:$BQ,40,0)</f>
        <v>#N/A</v>
      </c>
      <c r="W71" s="107" t="e">
        <f>VLOOKUP($A71,'S46'!$C:$BQ,22,0)</f>
        <v>#N/A</v>
      </c>
      <c r="X71" s="115" t="e">
        <f>VLOOKUP($A71,'S46'!$C:$BQ,29,0)</f>
        <v>#N/A</v>
      </c>
      <c r="Y71" s="115" t="e">
        <f>VLOOKUP($A71,'S46'!$C:$BQ,30,0)</f>
        <v>#N/A</v>
      </c>
      <c r="Z71" s="115" t="e">
        <f>VLOOKUP($A71,'S46'!$C:$BQ,52,0)</f>
        <v>#N/A</v>
      </c>
      <c r="AA71" s="115" t="e">
        <f>VLOOKUP($A71,'S46'!$C:$BQ,59,0)</f>
        <v>#N/A</v>
      </c>
      <c r="AB71" s="115" t="e">
        <f>VLOOKUP($A71,'S46'!$C:$BQ,60,0)</f>
        <v>#N/A</v>
      </c>
      <c r="AC71" s="107" t="e">
        <f>VLOOKUP($A71,'S47'!$C:$BQ,32,0)</f>
        <v>#N/A</v>
      </c>
      <c r="AD71" s="107" t="e">
        <f>VLOOKUP($A71,'S47'!$C:$BQ,39,0)</f>
        <v>#N/A</v>
      </c>
      <c r="AE71" s="107" t="e">
        <f>VLOOKUP($A71,'S47'!$C:$BQ,40,0)</f>
        <v>#N/A</v>
      </c>
      <c r="AF71" s="107" t="e">
        <f>VLOOKUP($A71,'S47'!$C:$BQ,22,0)</f>
        <v>#N/A</v>
      </c>
      <c r="AG71" s="115" t="e">
        <f>VLOOKUP($A71,'S47'!$C:$BQ,29,0)</f>
        <v>#N/A</v>
      </c>
      <c r="AH71" s="115" t="e">
        <f>VLOOKUP($A71,'S47'!$C:$BQ,30,0)</f>
        <v>#N/A</v>
      </c>
      <c r="AI71" s="115" t="e">
        <f>VLOOKUP($A71,'S47'!$C:$BQ,52,0)</f>
        <v>#N/A</v>
      </c>
      <c r="AJ71" s="115" t="e">
        <f>VLOOKUP($A71,'S47'!$C:$BQ,59,0)</f>
        <v>#N/A</v>
      </c>
      <c r="AK71" s="115" t="e">
        <f>VLOOKUP($A71,'S47'!$C:$BQ,60,0)</f>
        <v>#N/A</v>
      </c>
      <c r="AL71" s="107" t="e">
        <f>VLOOKUP($A71,'S48'!$C:$BQ,32,0)</f>
        <v>#N/A</v>
      </c>
      <c r="AM71" s="107" t="e">
        <f>VLOOKUP($A71,'S48'!$C:$BQ,39,0)</f>
        <v>#N/A</v>
      </c>
      <c r="AN71" s="107" t="e">
        <f>VLOOKUP($A71,'S48'!$C:$BQ,40,0)</f>
        <v>#N/A</v>
      </c>
      <c r="AO71" s="107" t="e">
        <f>VLOOKUP($A71,'S48'!$C:$BQ,22,0)</f>
        <v>#N/A</v>
      </c>
      <c r="AP71" s="115" t="e">
        <f>VLOOKUP($A71,'S48'!$C:$BQ,29,0)</f>
        <v>#N/A</v>
      </c>
      <c r="AQ71" s="115" t="e">
        <f>VLOOKUP($A71,'S48'!$C:$BQ,30,0)</f>
        <v>#N/A</v>
      </c>
      <c r="AR71" s="115" t="e">
        <f>VLOOKUP($A71,'S48'!$C:$BQ,52,0)</f>
        <v>#N/A</v>
      </c>
      <c r="AS71" s="115" t="e">
        <f>VLOOKUP($A71,'S48'!$C:$BQ,59,0)</f>
        <v>#N/A</v>
      </c>
      <c r="AT71" s="115" t="e">
        <f>VLOOKUP($A71,'S48'!$C:$BQ,60,0)</f>
        <v>#N/A</v>
      </c>
      <c r="AU71" s="107" t="e">
        <f>VLOOKUP($A71,'S49'!$C:$BQ,32,0)</f>
        <v>#N/A</v>
      </c>
      <c r="AV71" s="107" t="e">
        <f>VLOOKUP($A71,'S49'!$C:$BQ,39,0)</f>
        <v>#N/A</v>
      </c>
      <c r="AW71" s="107" t="e">
        <f>VLOOKUP($A71,'S49'!$C:$BQ,40,0)</f>
        <v>#N/A</v>
      </c>
      <c r="AX71" s="107" t="e">
        <f>VLOOKUP($A71,'S49'!$C:$BQ,22,0)</f>
        <v>#N/A</v>
      </c>
      <c r="AY71" s="115" t="e">
        <f>VLOOKUP($A71,'S49'!$C:$BQ,29,0)</f>
        <v>#N/A</v>
      </c>
      <c r="AZ71" s="115" t="e">
        <f>VLOOKUP($A71,'S49'!$C:$BQ,30,0)</f>
        <v>#N/A</v>
      </c>
      <c r="BA71" s="115" t="e">
        <f>VLOOKUP($A71,'S49'!$C:$BQ,52,0)</f>
        <v>#N/A</v>
      </c>
      <c r="BB71" s="115" t="e">
        <f>VLOOKUP($A71,'S49'!$C:$BQ,59,0)</f>
        <v>#N/A</v>
      </c>
      <c r="BC71" s="115" t="e">
        <f>VLOOKUP($A71,'S49'!$C:$BQ,60,0)</f>
        <v>#N/A</v>
      </c>
      <c r="BD71" s="107" t="e">
        <f>VLOOKUP($A71,'S50'!$C:$BQ,32,0)</f>
        <v>#N/A</v>
      </c>
      <c r="BE71" s="107" t="e">
        <f>VLOOKUP($A71,'S50'!$C:$BQ,39,0)</f>
        <v>#N/A</v>
      </c>
      <c r="BF71" s="107" t="e">
        <f>VLOOKUP($A71,'S50'!$C:$BQ,40,0)</f>
        <v>#N/A</v>
      </c>
      <c r="BG71" s="107" t="e">
        <f>VLOOKUP($A71,'S50'!$C:$BQ,22,0)</f>
        <v>#N/A</v>
      </c>
      <c r="BH71" s="115" t="e">
        <f>VLOOKUP($A71,'S50'!$C:$BQ,29,0)</f>
        <v>#N/A</v>
      </c>
      <c r="BI71" s="115" t="e">
        <f>VLOOKUP($A71,'S50'!$C:$BQ,30,0)</f>
        <v>#N/A</v>
      </c>
      <c r="BJ71" s="115" t="e">
        <f>VLOOKUP($A71,'S50'!$C:$BQ,52,0)</f>
        <v>#N/A</v>
      </c>
      <c r="BK71" s="115" t="e">
        <f>VLOOKUP($A71,'S50'!$C:$BQ,59,0)</f>
        <v>#N/A</v>
      </c>
      <c r="BL71" s="115" t="e">
        <f>VLOOKUP($A71,'S50'!$C:$BQ,60,0)</f>
        <v>#N/A</v>
      </c>
    </row>
    <row r="72" spans="1:64" x14ac:dyDescent="0.2">
      <c r="A72" s="106" t="s">
        <v>130</v>
      </c>
      <c r="B72" s="107">
        <f>VLOOKUP($A72,'S0 remplacer avec S44'!$C:$BQ,32,0)</f>
        <v>165.4</v>
      </c>
      <c r="C72" s="107">
        <f>VLOOKUP($A72,'S0 remplacer avec S44'!$C:$BQ,39,0)</f>
        <v>105</v>
      </c>
      <c r="D72" s="107">
        <f>VLOOKUP($A72,'S0 remplacer avec S44'!$C:$BQ,40,0)</f>
        <v>159</v>
      </c>
      <c r="E72" s="107">
        <f>VLOOKUP($A72,'S0 remplacer avec S44'!$C:$BQ,22,0)</f>
        <v>2293.6745999999998</v>
      </c>
      <c r="F72" s="115">
        <f>VLOOKUP($A72,'S0 remplacer avec S44'!$C:$BQ,29,0)</f>
        <v>163</v>
      </c>
      <c r="G72" s="115">
        <f>VLOOKUP($A72,'S0 remplacer avec S44'!$C:$BQ,30,0)</f>
        <v>654</v>
      </c>
      <c r="H72" s="115">
        <f>VLOOKUP($A72,'S0 remplacer avec S44'!$C:$BQ,52,0)</f>
        <v>121.4</v>
      </c>
      <c r="I72" s="115">
        <f>VLOOKUP($A72,'S0 remplacer avec S44'!$C:$BQ,59,0)</f>
        <v>16</v>
      </c>
      <c r="J72" s="115">
        <f>VLOOKUP($A72,'S0 remplacer avec S44'!$C:$BQ,60,0)</f>
        <v>44</v>
      </c>
      <c r="K72" s="107" t="e">
        <f>VLOOKUP($A72,'S45'!$C:$BQ,32,0)</f>
        <v>#N/A</v>
      </c>
      <c r="L72" s="107" t="e">
        <f>VLOOKUP($A72,'S45'!$C:$BQ,39,0)</f>
        <v>#N/A</v>
      </c>
      <c r="M72" s="107" t="e">
        <f>VLOOKUP($A72,'S45'!$C:$BQ,40,0)</f>
        <v>#N/A</v>
      </c>
      <c r="N72" s="107" t="e">
        <f>VLOOKUP($A72,'S45'!$C:$BQ,22,0)</f>
        <v>#N/A</v>
      </c>
      <c r="O72" s="115" t="e">
        <f>VLOOKUP($A72,'S45'!$C:$BQ,29,0)</f>
        <v>#N/A</v>
      </c>
      <c r="P72" s="115" t="e">
        <f>VLOOKUP($A72,'S45'!$C:$BQ,30,0)</f>
        <v>#N/A</v>
      </c>
      <c r="Q72" s="115" t="e">
        <f>VLOOKUP($A72,'S45'!$C:$BQ,52,0)</f>
        <v>#N/A</v>
      </c>
      <c r="R72" s="115" t="e">
        <f>VLOOKUP($A72,'S45'!$C:$BQ,59,0)</f>
        <v>#N/A</v>
      </c>
      <c r="S72" s="115" t="e">
        <f>VLOOKUP($A72,'S45'!$C:$BQ,60,0)</f>
        <v>#N/A</v>
      </c>
      <c r="T72" s="107" t="e">
        <f>VLOOKUP($A72,'S46'!$C:$BQ,32,0)</f>
        <v>#N/A</v>
      </c>
      <c r="U72" s="107" t="e">
        <f>VLOOKUP($A72,'S46'!$C:$BQ,39,0)</f>
        <v>#N/A</v>
      </c>
      <c r="V72" s="107" t="e">
        <f>VLOOKUP($A72,'S46'!$C:$BQ,40,0)</f>
        <v>#N/A</v>
      </c>
      <c r="W72" s="107" t="e">
        <f>VLOOKUP($A72,'S46'!$C:$BQ,22,0)</f>
        <v>#N/A</v>
      </c>
      <c r="X72" s="115" t="e">
        <f>VLOOKUP($A72,'S46'!$C:$BQ,29,0)</f>
        <v>#N/A</v>
      </c>
      <c r="Y72" s="115" t="e">
        <f>VLOOKUP($A72,'S46'!$C:$BQ,30,0)</f>
        <v>#N/A</v>
      </c>
      <c r="Z72" s="115" t="e">
        <f>VLOOKUP($A72,'S46'!$C:$BQ,52,0)</f>
        <v>#N/A</v>
      </c>
      <c r="AA72" s="115" t="e">
        <f>VLOOKUP($A72,'S46'!$C:$BQ,59,0)</f>
        <v>#N/A</v>
      </c>
      <c r="AB72" s="115" t="e">
        <f>VLOOKUP($A72,'S46'!$C:$BQ,60,0)</f>
        <v>#N/A</v>
      </c>
      <c r="AC72" s="107" t="e">
        <f>VLOOKUP($A72,'S47'!$C:$BQ,32,0)</f>
        <v>#N/A</v>
      </c>
      <c r="AD72" s="107" t="e">
        <f>VLOOKUP($A72,'S47'!$C:$BQ,39,0)</f>
        <v>#N/A</v>
      </c>
      <c r="AE72" s="107" t="e">
        <f>VLOOKUP($A72,'S47'!$C:$BQ,40,0)</f>
        <v>#N/A</v>
      </c>
      <c r="AF72" s="107" t="e">
        <f>VLOOKUP($A72,'S47'!$C:$BQ,22,0)</f>
        <v>#N/A</v>
      </c>
      <c r="AG72" s="115" t="e">
        <f>VLOOKUP($A72,'S47'!$C:$BQ,29,0)</f>
        <v>#N/A</v>
      </c>
      <c r="AH72" s="115" t="e">
        <f>VLOOKUP($A72,'S47'!$C:$BQ,30,0)</f>
        <v>#N/A</v>
      </c>
      <c r="AI72" s="115" t="e">
        <f>VLOOKUP($A72,'S47'!$C:$BQ,52,0)</f>
        <v>#N/A</v>
      </c>
      <c r="AJ72" s="115" t="e">
        <f>VLOOKUP($A72,'S47'!$C:$BQ,59,0)</f>
        <v>#N/A</v>
      </c>
      <c r="AK72" s="115" t="e">
        <f>VLOOKUP($A72,'S47'!$C:$BQ,60,0)</f>
        <v>#N/A</v>
      </c>
      <c r="AL72" s="107" t="e">
        <f>VLOOKUP($A72,'S48'!$C:$BQ,32,0)</f>
        <v>#N/A</v>
      </c>
      <c r="AM72" s="107" t="e">
        <f>VLOOKUP($A72,'S48'!$C:$BQ,39,0)</f>
        <v>#N/A</v>
      </c>
      <c r="AN72" s="107" t="e">
        <f>VLOOKUP($A72,'S48'!$C:$BQ,40,0)</f>
        <v>#N/A</v>
      </c>
      <c r="AO72" s="107" t="e">
        <f>VLOOKUP($A72,'S48'!$C:$BQ,22,0)</f>
        <v>#N/A</v>
      </c>
      <c r="AP72" s="115" t="e">
        <f>VLOOKUP($A72,'S48'!$C:$BQ,29,0)</f>
        <v>#N/A</v>
      </c>
      <c r="AQ72" s="115" t="e">
        <f>VLOOKUP($A72,'S48'!$C:$BQ,30,0)</f>
        <v>#N/A</v>
      </c>
      <c r="AR72" s="115" t="e">
        <f>VLOOKUP($A72,'S48'!$C:$BQ,52,0)</f>
        <v>#N/A</v>
      </c>
      <c r="AS72" s="115" t="e">
        <f>VLOOKUP($A72,'S48'!$C:$BQ,59,0)</f>
        <v>#N/A</v>
      </c>
      <c r="AT72" s="115" t="e">
        <f>VLOOKUP($A72,'S48'!$C:$BQ,60,0)</f>
        <v>#N/A</v>
      </c>
      <c r="AU72" s="107" t="e">
        <f>VLOOKUP($A72,'S49'!$C:$BQ,32,0)</f>
        <v>#N/A</v>
      </c>
      <c r="AV72" s="107" t="e">
        <f>VLOOKUP($A72,'S49'!$C:$BQ,39,0)</f>
        <v>#N/A</v>
      </c>
      <c r="AW72" s="107" t="e">
        <f>VLOOKUP($A72,'S49'!$C:$BQ,40,0)</f>
        <v>#N/A</v>
      </c>
      <c r="AX72" s="107" t="e">
        <f>VLOOKUP($A72,'S49'!$C:$BQ,22,0)</f>
        <v>#N/A</v>
      </c>
      <c r="AY72" s="115" t="e">
        <f>VLOOKUP($A72,'S49'!$C:$BQ,29,0)</f>
        <v>#N/A</v>
      </c>
      <c r="AZ72" s="115" t="e">
        <f>VLOOKUP($A72,'S49'!$C:$BQ,30,0)</f>
        <v>#N/A</v>
      </c>
      <c r="BA72" s="115" t="e">
        <f>VLOOKUP($A72,'S49'!$C:$BQ,52,0)</f>
        <v>#N/A</v>
      </c>
      <c r="BB72" s="115" t="e">
        <f>VLOOKUP($A72,'S49'!$C:$BQ,59,0)</f>
        <v>#N/A</v>
      </c>
      <c r="BC72" s="115" t="e">
        <f>VLOOKUP($A72,'S49'!$C:$BQ,60,0)</f>
        <v>#N/A</v>
      </c>
      <c r="BD72" s="107" t="e">
        <f>VLOOKUP($A72,'S50'!$C:$BQ,32,0)</f>
        <v>#N/A</v>
      </c>
      <c r="BE72" s="107" t="e">
        <f>VLOOKUP($A72,'S50'!$C:$BQ,39,0)</f>
        <v>#N/A</v>
      </c>
      <c r="BF72" s="107" t="e">
        <f>VLOOKUP($A72,'S50'!$C:$BQ,40,0)</f>
        <v>#N/A</v>
      </c>
      <c r="BG72" s="107" t="e">
        <f>VLOOKUP($A72,'S50'!$C:$BQ,22,0)</f>
        <v>#N/A</v>
      </c>
      <c r="BH72" s="115" t="e">
        <f>VLOOKUP($A72,'S50'!$C:$BQ,29,0)</f>
        <v>#N/A</v>
      </c>
      <c r="BI72" s="115" t="e">
        <f>VLOOKUP($A72,'S50'!$C:$BQ,30,0)</f>
        <v>#N/A</v>
      </c>
      <c r="BJ72" s="115" t="e">
        <f>VLOOKUP($A72,'S50'!$C:$BQ,52,0)</f>
        <v>#N/A</v>
      </c>
      <c r="BK72" s="115" t="e">
        <f>VLOOKUP($A72,'S50'!$C:$BQ,59,0)</f>
        <v>#N/A</v>
      </c>
      <c r="BL72" s="115" t="e">
        <f>VLOOKUP($A72,'S50'!$C:$BQ,60,0)</f>
        <v>#N/A</v>
      </c>
    </row>
    <row r="73" spans="1:64" x14ac:dyDescent="0.2">
      <c r="A73" s="106" t="s">
        <v>131</v>
      </c>
      <c r="B73" s="107">
        <f>VLOOKUP($A73,'S0 remplacer avec S44'!$C:$BQ,32,0)</f>
        <v>255.5</v>
      </c>
      <c r="C73" s="107">
        <f>VLOOKUP($A73,'S0 remplacer avec S44'!$C:$BQ,39,0)</f>
        <v>120</v>
      </c>
      <c r="D73" s="107">
        <f>VLOOKUP($A73,'S0 remplacer avec S44'!$C:$BQ,40,0)</f>
        <v>196</v>
      </c>
      <c r="E73" s="107">
        <f>VLOOKUP($A73,'S0 remplacer avec S44'!$C:$BQ,22,0)</f>
        <v>3209.54468</v>
      </c>
      <c r="F73" s="115">
        <f>VLOOKUP($A73,'S0 remplacer avec S44'!$C:$BQ,29,0)</f>
        <v>206</v>
      </c>
      <c r="G73" s="115">
        <f>VLOOKUP($A73,'S0 remplacer avec S44'!$C:$BQ,30,0)</f>
        <v>889</v>
      </c>
      <c r="H73" s="115">
        <f>VLOOKUP($A73,'S0 remplacer avec S44'!$C:$BQ,52,0)</f>
        <v>195</v>
      </c>
      <c r="I73" s="115">
        <f>VLOOKUP($A73,'S0 remplacer avec S44'!$C:$BQ,59,0)</f>
        <v>0</v>
      </c>
      <c r="J73" s="115">
        <f>VLOOKUP($A73,'S0 remplacer avec S44'!$C:$BQ,60,0)</f>
        <v>34</v>
      </c>
      <c r="K73" s="107" t="e">
        <f>VLOOKUP($A73,'S45'!$C:$BQ,32,0)</f>
        <v>#N/A</v>
      </c>
      <c r="L73" s="107" t="e">
        <f>VLOOKUP($A73,'S45'!$C:$BQ,39,0)</f>
        <v>#N/A</v>
      </c>
      <c r="M73" s="107" t="e">
        <f>VLOOKUP($A73,'S45'!$C:$BQ,40,0)</f>
        <v>#N/A</v>
      </c>
      <c r="N73" s="107" t="e">
        <f>VLOOKUP($A73,'S45'!$C:$BQ,22,0)</f>
        <v>#N/A</v>
      </c>
      <c r="O73" s="115" t="e">
        <f>VLOOKUP($A73,'S45'!$C:$BQ,29,0)</f>
        <v>#N/A</v>
      </c>
      <c r="P73" s="115" t="e">
        <f>VLOOKUP($A73,'S45'!$C:$BQ,30,0)</f>
        <v>#N/A</v>
      </c>
      <c r="Q73" s="115" t="e">
        <f>VLOOKUP($A73,'S45'!$C:$BQ,52,0)</f>
        <v>#N/A</v>
      </c>
      <c r="R73" s="115" t="e">
        <f>VLOOKUP($A73,'S45'!$C:$BQ,59,0)</f>
        <v>#N/A</v>
      </c>
      <c r="S73" s="115" t="e">
        <f>VLOOKUP($A73,'S45'!$C:$BQ,60,0)</f>
        <v>#N/A</v>
      </c>
      <c r="T73" s="107" t="e">
        <f>VLOOKUP($A73,'S46'!$C:$BQ,32,0)</f>
        <v>#N/A</v>
      </c>
      <c r="U73" s="107" t="e">
        <f>VLOOKUP($A73,'S46'!$C:$BQ,39,0)</f>
        <v>#N/A</v>
      </c>
      <c r="V73" s="107" t="e">
        <f>VLOOKUP($A73,'S46'!$C:$BQ,40,0)</f>
        <v>#N/A</v>
      </c>
      <c r="W73" s="107" t="e">
        <f>VLOOKUP($A73,'S46'!$C:$BQ,22,0)</f>
        <v>#N/A</v>
      </c>
      <c r="X73" s="115" t="e">
        <f>VLOOKUP($A73,'S46'!$C:$BQ,29,0)</f>
        <v>#N/A</v>
      </c>
      <c r="Y73" s="115" t="e">
        <f>VLOOKUP($A73,'S46'!$C:$BQ,30,0)</f>
        <v>#N/A</v>
      </c>
      <c r="Z73" s="115" t="e">
        <f>VLOOKUP($A73,'S46'!$C:$BQ,52,0)</f>
        <v>#N/A</v>
      </c>
      <c r="AA73" s="115" t="e">
        <f>VLOOKUP($A73,'S46'!$C:$BQ,59,0)</f>
        <v>#N/A</v>
      </c>
      <c r="AB73" s="115" t="e">
        <f>VLOOKUP($A73,'S46'!$C:$BQ,60,0)</f>
        <v>#N/A</v>
      </c>
      <c r="AC73" s="107" t="e">
        <f>VLOOKUP($A73,'S47'!$C:$BQ,32,0)</f>
        <v>#N/A</v>
      </c>
      <c r="AD73" s="107" t="e">
        <f>VLOOKUP($A73,'S47'!$C:$BQ,39,0)</f>
        <v>#N/A</v>
      </c>
      <c r="AE73" s="107" t="e">
        <f>VLOOKUP($A73,'S47'!$C:$BQ,40,0)</f>
        <v>#N/A</v>
      </c>
      <c r="AF73" s="107" t="e">
        <f>VLOOKUP($A73,'S47'!$C:$BQ,22,0)</f>
        <v>#N/A</v>
      </c>
      <c r="AG73" s="115" t="e">
        <f>VLOOKUP($A73,'S47'!$C:$BQ,29,0)</f>
        <v>#N/A</v>
      </c>
      <c r="AH73" s="115" t="e">
        <f>VLOOKUP($A73,'S47'!$C:$BQ,30,0)</f>
        <v>#N/A</v>
      </c>
      <c r="AI73" s="115" t="e">
        <f>VLOOKUP($A73,'S47'!$C:$BQ,52,0)</f>
        <v>#N/A</v>
      </c>
      <c r="AJ73" s="115" t="e">
        <f>VLOOKUP($A73,'S47'!$C:$BQ,59,0)</f>
        <v>#N/A</v>
      </c>
      <c r="AK73" s="115" t="e">
        <f>VLOOKUP($A73,'S47'!$C:$BQ,60,0)</f>
        <v>#N/A</v>
      </c>
      <c r="AL73" s="107" t="e">
        <f>VLOOKUP($A73,'S48'!$C:$BQ,32,0)</f>
        <v>#N/A</v>
      </c>
      <c r="AM73" s="107" t="e">
        <f>VLOOKUP($A73,'S48'!$C:$BQ,39,0)</f>
        <v>#N/A</v>
      </c>
      <c r="AN73" s="107" t="e">
        <f>VLOOKUP($A73,'S48'!$C:$BQ,40,0)</f>
        <v>#N/A</v>
      </c>
      <c r="AO73" s="107" t="e">
        <f>VLOOKUP($A73,'S48'!$C:$BQ,22,0)</f>
        <v>#N/A</v>
      </c>
      <c r="AP73" s="115" t="e">
        <f>VLOOKUP($A73,'S48'!$C:$BQ,29,0)</f>
        <v>#N/A</v>
      </c>
      <c r="AQ73" s="115" t="e">
        <f>VLOOKUP($A73,'S48'!$C:$BQ,30,0)</f>
        <v>#N/A</v>
      </c>
      <c r="AR73" s="115" t="e">
        <f>VLOOKUP($A73,'S48'!$C:$BQ,52,0)</f>
        <v>#N/A</v>
      </c>
      <c r="AS73" s="115" t="e">
        <f>VLOOKUP($A73,'S48'!$C:$BQ,59,0)</f>
        <v>#N/A</v>
      </c>
      <c r="AT73" s="115" t="e">
        <f>VLOOKUP($A73,'S48'!$C:$BQ,60,0)</f>
        <v>#N/A</v>
      </c>
      <c r="AU73" s="107" t="e">
        <f>VLOOKUP($A73,'S49'!$C:$BQ,32,0)</f>
        <v>#N/A</v>
      </c>
      <c r="AV73" s="107" t="e">
        <f>VLOOKUP($A73,'S49'!$C:$BQ,39,0)</f>
        <v>#N/A</v>
      </c>
      <c r="AW73" s="107" t="e">
        <f>VLOOKUP($A73,'S49'!$C:$BQ,40,0)</f>
        <v>#N/A</v>
      </c>
      <c r="AX73" s="107" t="e">
        <f>VLOOKUP($A73,'S49'!$C:$BQ,22,0)</f>
        <v>#N/A</v>
      </c>
      <c r="AY73" s="115" t="e">
        <f>VLOOKUP($A73,'S49'!$C:$BQ,29,0)</f>
        <v>#N/A</v>
      </c>
      <c r="AZ73" s="115" t="e">
        <f>VLOOKUP($A73,'S49'!$C:$BQ,30,0)</f>
        <v>#N/A</v>
      </c>
      <c r="BA73" s="115" t="e">
        <f>VLOOKUP($A73,'S49'!$C:$BQ,52,0)</f>
        <v>#N/A</v>
      </c>
      <c r="BB73" s="115" t="e">
        <f>VLOOKUP($A73,'S49'!$C:$BQ,59,0)</f>
        <v>#N/A</v>
      </c>
      <c r="BC73" s="115" t="e">
        <f>VLOOKUP($A73,'S49'!$C:$BQ,60,0)</f>
        <v>#N/A</v>
      </c>
      <c r="BD73" s="107" t="e">
        <f>VLOOKUP($A73,'S50'!$C:$BQ,32,0)</f>
        <v>#N/A</v>
      </c>
      <c r="BE73" s="107" t="e">
        <f>VLOOKUP($A73,'S50'!$C:$BQ,39,0)</f>
        <v>#N/A</v>
      </c>
      <c r="BF73" s="107" t="e">
        <f>VLOOKUP($A73,'S50'!$C:$BQ,40,0)</f>
        <v>#N/A</v>
      </c>
      <c r="BG73" s="107" t="e">
        <f>VLOOKUP($A73,'S50'!$C:$BQ,22,0)</f>
        <v>#N/A</v>
      </c>
      <c r="BH73" s="115" t="e">
        <f>VLOOKUP($A73,'S50'!$C:$BQ,29,0)</f>
        <v>#N/A</v>
      </c>
      <c r="BI73" s="115" t="e">
        <f>VLOOKUP($A73,'S50'!$C:$BQ,30,0)</f>
        <v>#N/A</v>
      </c>
      <c r="BJ73" s="115" t="e">
        <f>VLOOKUP($A73,'S50'!$C:$BQ,52,0)</f>
        <v>#N/A</v>
      </c>
      <c r="BK73" s="115" t="e">
        <f>VLOOKUP($A73,'S50'!$C:$BQ,59,0)</f>
        <v>#N/A</v>
      </c>
      <c r="BL73" s="115" t="e">
        <f>VLOOKUP($A73,'S50'!$C:$BQ,60,0)</f>
        <v>#N/A</v>
      </c>
    </row>
    <row r="74" spans="1:64" x14ac:dyDescent="0.2">
      <c r="A74" s="106" t="s">
        <v>132</v>
      </c>
      <c r="B74" s="107">
        <f>VLOOKUP($A74,'S0 remplacer avec S44'!$C:$BQ,32,0)</f>
        <v>517.6</v>
      </c>
      <c r="C74" s="107">
        <f>VLOOKUP($A74,'S0 remplacer avec S44'!$C:$BQ,39,0)</f>
        <v>17</v>
      </c>
      <c r="D74" s="107">
        <f>VLOOKUP($A74,'S0 remplacer avec S44'!$C:$BQ,40,0)</f>
        <v>124</v>
      </c>
      <c r="E74" s="107">
        <f>VLOOKUP($A74,'S0 remplacer avec S44'!$C:$BQ,22,0)</f>
        <v>3410.4607299999998</v>
      </c>
      <c r="F74" s="115">
        <f>VLOOKUP($A74,'S0 remplacer avec S44'!$C:$BQ,29,0)</f>
        <v>1445</v>
      </c>
      <c r="G74" s="115">
        <f>VLOOKUP($A74,'S0 remplacer avec S44'!$C:$BQ,30,0)</f>
        <v>2417</v>
      </c>
      <c r="H74" s="115">
        <f>VLOOKUP($A74,'S0 remplacer avec S44'!$C:$BQ,52,0)</f>
        <v>674.8</v>
      </c>
      <c r="I74" s="115">
        <f>VLOOKUP($A74,'S0 remplacer avec S44'!$C:$BQ,59,0)</f>
        <v>0</v>
      </c>
      <c r="J74" s="115">
        <f>VLOOKUP($A74,'S0 remplacer avec S44'!$C:$BQ,60,0)</f>
        <v>0</v>
      </c>
      <c r="K74" s="107" t="e">
        <f>VLOOKUP($A74,'S45'!$C:$BQ,32,0)</f>
        <v>#N/A</v>
      </c>
      <c r="L74" s="107" t="e">
        <f>VLOOKUP($A74,'S45'!$C:$BQ,39,0)</f>
        <v>#N/A</v>
      </c>
      <c r="M74" s="107" t="e">
        <f>VLOOKUP($A74,'S45'!$C:$BQ,40,0)</f>
        <v>#N/A</v>
      </c>
      <c r="N74" s="107" t="e">
        <f>VLOOKUP($A74,'S45'!$C:$BQ,22,0)</f>
        <v>#N/A</v>
      </c>
      <c r="O74" s="115" t="e">
        <f>VLOOKUP($A74,'S45'!$C:$BQ,29,0)</f>
        <v>#N/A</v>
      </c>
      <c r="P74" s="115" t="e">
        <f>VLOOKUP($A74,'S45'!$C:$BQ,30,0)</f>
        <v>#N/A</v>
      </c>
      <c r="Q74" s="115" t="e">
        <f>VLOOKUP($A74,'S45'!$C:$BQ,52,0)</f>
        <v>#N/A</v>
      </c>
      <c r="R74" s="115" t="e">
        <f>VLOOKUP($A74,'S45'!$C:$BQ,59,0)</f>
        <v>#N/A</v>
      </c>
      <c r="S74" s="115" t="e">
        <f>VLOOKUP($A74,'S45'!$C:$BQ,60,0)</f>
        <v>#N/A</v>
      </c>
      <c r="T74" s="107" t="e">
        <f>VLOOKUP($A74,'S46'!$C:$BQ,32,0)</f>
        <v>#N/A</v>
      </c>
      <c r="U74" s="107" t="e">
        <f>VLOOKUP($A74,'S46'!$C:$BQ,39,0)</f>
        <v>#N/A</v>
      </c>
      <c r="V74" s="107" t="e">
        <f>VLOOKUP($A74,'S46'!$C:$BQ,40,0)</f>
        <v>#N/A</v>
      </c>
      <c r="W74" s="107" t="e">
        <f>VLOOKUP($A74,'S46'!$C:$BQ,22,0)</f>
        <v>#N/A</v>
      </c>
      <c r="X74" s="115" t="e">
        <f>VLOOKUP($A74,'S46'!$C:$BQ,29,0)</f>
        <v>#N/A</v>
      </c>
      <c r="Y74" s="115" t="e">
        <f>VLOOKUP($A74,'S46'!$C:$BQ,30,0)</f>
        <v>#N/A</v>
      </c>
      <c r="Z74" s="115" t="e">
        <f>VLOOKUP($A74,'S46'!$C:$BQ,52,0)</f>
        <v>#N/A</v>
      </c>
      <c r="AA74" s="115" t="e">
        <f>VLOOKUP($A74,'S46'!$C:$BQ,59,0)</f>
        <v>#N/A</v>
      </c>
      <c r="AB74" s="115" t="e">
        <f>VLOOKUP($A74,'S46'!$C:$BQ,60,0)</f>
        <v>#N/A</v>
      </c>
      <c r="AC74" s="107" t="e">
        <f>VLOOKUP($A74,'S47'!$C:$BQ,32,0)</f>
        <v>#N/A</v>
      </c>
      <c r="AD74" s="107" t="e">
        <f>VLOOKUP($A74,'S47'!$C:$BQ,39,0)</f>
        <v>#N/A</v>
      </c>
      <c r="AE74" s="107" t="e">
        <f>VLOOKUP($A74,'S47'!$C:$BQ,40,0)</f>
        <v>#N/A</v>
      </c>
      <c r="AF74" s="107" t="e">
        <f>VLOOKUP($A74,'S47'!$C:$BQ,22,0)</f>
        <v>#N/A</v>
      </c>
      <c r="AG74" s="115" t="e">
        <f>VLOOKUP($A74,'S47'!$C:$BQ,29,0)</f>
        <v>#N/A</v>
      </c>
      <c r="AH74" s="115" t="e">
        <f>VLOOKUP($A74,'S47'!$C:$BQ,30,0)</f>
        <v>#N/A</v>
      </c>
      <c r="AI74" s="115" t="e">
        <f>VLOOKUP($A74,'S47'!$C:$BQ,52,0)</f>
        <v>#N/A</v>
      </c>
      <c r="AJ74" s="115" t="e">
        <f>VLOOKUP($A74,'S47'!$C:$BQ,59,0)</f>
        <v>#N/A</v>
      </c>
      <c r="AK74" s="115" t="e">
        <f>VLOOKUP($A74,'S47'!$C:$BQ,60,0)</f>
        <v>#N/A</v>
      </c>
      <c r="AL74" s="107" t="e">
        <f>VLOOKUP($A74,'S48'!$C:$BQ,32,0)</f>
        <v>#N/A</v>
      </c>
      <c r="AM74" s="107" t="e">
        <f>VLOOKUP($A74,'S48'!$C:$BQ,39,0)</f>
        <v>#N/A</v>
      </c>
      <c r="AN74" s="107" t="e">
        <f>VLOOKUP($A74,'S48'!$C:$BQ,40,0)</f>
        <v>#N/A</v>
      </c>
      <c r="AO74" s="107" t="e">
        <f>VLOOKUP($A74,'S48'!$C:$BQ,22,0)</f>
        <v>#N/A</v>
      </c>
      <c r="AP74" s="115" t="e">
        <f>VLOOKUP($A74,'S48'!$C:$BQ,29,0)</f>
        <v>#N/A</v>
      </c>
      <c r="AQ74" s="115" t="e">
        <f>VLOOKUP($A74,'S48'!$C:$BQ,30,0)</f>
        <v>#N/A</v>
      </c>
      <c r="AR74" s="115" t="e">
        <f>VLOOKUP($A74,'S48'!$C:$BQ,52,0)</f>
        <v>#N/A</v>
      </c>
      <c r="AS74" s="115" t="e">
        <f>VLOOKUP($A74,'S48'!$C:$BQ,59,0)</f>
        <v>#N/A</v>
      </c>
      <c r="AT74" s="115" t="e">
        <f>VLOOKUP($A74,'S48'!$C:$BQ,60,0)</f>
        <v>#N/A</v>
      </c>
      <c r="AU74" s="107" t="e">
        <f>VLOOKUP($A74,'S49'!$C:$BQ,32,0)</f>
        <v>#N/A</v>
      </c>
      <c r="AV74" s="107" t="e">
        <f>VLOOKUP($A74,'S49'!$C:$BQ,39,0)</f>
        <v>#N/A</v>
      </c>
      <c r="AW74" s="107" t="e">
        <f>VLOOKUP($A74,'S49'!$C:$BQ,40,0)</f>
        <v>#N/A</v>
      </c>
      <c r="AX74" s="107" t="e">
        <f>VLOOKUP($A74,'S49'!$C:$BQ,22,0)</f>
        <v>#N/A</v>
      </c>
      <c r="AY74" s="115" t="e">
        <f>VLOOKUP($A74,'S49'!$C:$BQ,29,0)</f>
        <v>#N/A</v>
      </c>
      <c r="AZ74" s="115" t="e">
        <f>VLOOKUP($A74,'S49'!$C:$BQ,30,0)</f>
        <v>#N/A</v>
      </c>
      <c r="BA74" s="115" t="e">
        <f>VLOOKUP($A74,'S49'!$C:$BQ,52,0)</f>
        <v>#N/A</v>
      </c>
      <c r="BB74" s="115" t="e">
        <f>VLOOKUP($A74,'S49'!$C:$BQ,59,0)</f>
        <v>#N/A</v>
      </c>
      <c r="BC74" s="115" t="e">
        <f>VLOOKUP($A74,'S49'!$C:$BQ,60,0)</f>
        <v>#N/A</v>
      </c>
      <c r="BD74" s="107" t="e">
        <f>VLOOKUP($A74,'S50'!$C:$BQ,32,0)</f>
        <v>#N/A</v>
      </c>
      <c r="BE74" s="107" t="e">
        <f>VLOOKUP($A74,'S50'!$C:$BQ,39,0)</f>
        <v>#N/A</v>
      </c>
      <c r="BF74" s="107" t="e">
        <f>VLOOKUP($A74,'S50'!$C:$BQ,40,0)</f>
        <v>#N/A</v>
      </c>
      <c r="BG74" s="107" t="e">
        <f>VLOOKUP($A74,'S50'!$C:$BQ,22,0)</f>
        <v>#N/A</v>
      </c>
      <c r="BH74" s="115" t="e">
        <f>VLOOKUP($A74,'S50'!$C:$BQ,29,0)</f>
        <v>#N/A</v>
      </c>
      <c r="BI74" s="115" t="e">
        <f>VLOOKUP($A74,'S50'!$C:$BQ,30,0)</f>
        <v>#N/A</v>
      </c>
      <c r="BJ74" s="115" t="e">
        <f>VLOOKUP($A74,'S50'!$C:$BQ,52,0)</f>
        <v>#N/A</v>
      </c>
      <c r="BK74" s="115" t="e">
        <f>VLOOKUP($A74,'S50'!$C:$BQ,59,0)</f>
        <v>#N/A</v>
      </c>
      <c r="BL74" s="115" t="e">
        <f>VLOOKUP($A74,'S50'!$C:$BQ,60,0)</f>
        <v>#N/A</v>
      </c>
    </row>
    <row r="75" spans="1:64" x14ac:dyDescent="0.2">
      <c r="A75" s="106" t="s">
        <v>133</v>
      </c>
      <c r="B75" s="107">
        <f>VLOOKUP($A75,'S0 remplacer avec S44'!$C:$BQ,32,0)</f>
        <v>130.94999999999999</v>
      </c>
      <c r="C75" s="107">
        <f>VLOOKUP($A75,'S0 remplacer avec S44'!$C:$BQ,39,0)</f>
        <v>45</v>
      </c>
      <c r="D75" s="107">
        <f>VLOOKUP($A75,'S0 remplacer avec S44'!$C:$BQ,40,0)</f>
        <v>80</v>
      </c>
      <c r="E75" s="107">
        <f>VLOOKUP($A75,'S0 remplacer avec S44'!$C:$BQ,22,0)</f>
        <v>628.49265500000001</v>
      </c>
      <c r="F75" s="115">
        <f>VLOOKUP($A75,'S0 remplacer avec S44'!$C:$BQ,29,0)</f>
        <v>971</v>
      </c>
      <c r="G75" s="115">
        <f>VLOOKUP($A75,'S0 remplacer avec S44'!$C:$BQ,30,0)</f>
        <v>1291</v>
      </c>
      <c r="H75" s="115">
        <f>VLOOKUP($A75,'S0 remplacer avec S44'!$C:$BQ,52,0)</f>
        <v>91.4</v>
      </c>
      <c r="I75" s="115">
        <f>VLOOKUP($A75,'S0 remplacer avec S44'!$C:$BQ,59,0)</f>
        <v>0</v>
      </c>
      <c r="J75" s="115">
        <f>VLOOKUP($A75,'S0 remplacer avec S44'!$C:$BQ,60,0)</f>
        <v>16</v>
      </c>
      <c r="K75" s="107" t="e">
        <f>VLOOKUP($A75,'S45'!$C:$BQ,32,0)</f>
        <v>#N/A</v>
      </c>
      <c r="L75" s="107" t="e">
        <f>VLOOKUP($A75,'S45'!$C:$BQ,39,0)</f>
        <v>#N/A</v>
      </c>
      <c r="M75" s="107" t="e">
        <f>VLOOKUP($A75,'S45'!$C:$BQ,40,0)</f>
        <v>#N/A</v>
      </c>
      <c r="N75" s="107" t="e">
        <f>VLOOKUP($A75,'S45'!$C:$BQ,22,0)</f>
        <v>#N/A</v>
      </c>
      <c r="O75" s="115" t="e">
        <f>VLOOKUP($A75,'S45'!$C:$BQ,29,0)</f>
        <v>#N/A</v>
      </c>
      <c r="P75" s="115" t="e">
        <f>VLOOKUP($A75,'S45'!$C:$BQ,30,0)</f>
        <v>#N/A</v>
      </c>
      <c r="Q75" s="115" t="e">
        <f>VLOOKUP($A75,'S45'!$C:$BQ,52,0)</f>
        <v>#N/A</v>
      </c>
      <c r="R75" s="115" t="e">
        <f>VLOOKUP($A75,'S45'!$C:$BQ,59,0)</f>
        <v>#N/A</v>
      </c>
      <c r="S75" s="115" t="e">
        <f>VLOOKUP($A75,'S45'!$C:$BQ,60,0)</f>
        <v>#N/A</v>
      </c>
      <c r="T75" s="107" t="e">
        <f>VLOOKUP($A75,'S46'!$C:$BQ,32,0)</f>
        <v>#N/A</v>
      </c>
      <c r="U75" s="107" t="e">
        <f>VLOOKUP($A75,'S46'!$C:$BQ,39,0)</f>
        <v>#N/A</v>
      </c>
      <c r="V75" s="107" t="e">
        <f>VLOOKUP($A75,'S46'!$C:$BQ,40,0)</f>
        <v>#N/A</v>
      </c>
      <c r="W75" s="107" t="e">
        <f>VLOOKUP($A75,'S46'!$C:$BQ,22,0)</f>
        <v>#N/A</v>
      </c>
      <c r="X75" s="115" t="e">
        <f>VLOOKUP($A75,'S46'!$C:$BQ,29,0)</f>
        <v>#N/A</v>
      </c>
      <c r="Y75" s="115" t="e">
        <f>VLOOKUP($A75,'S46'!$C:$BQ,30,0)</f>
        <v>#N/A</v>
      </c>
      <c r="Z75" s="115" t="e">
        <f>VLOOKUP($A75,'S46'!$C:$BQ,52,0)</f>
        <v>#N/A</v>
      </c>
      <c r="AA75" s="115" t="e">
        <f>VLOOKUP($A75,'S46'!$C:$BQ,59,0)</f>
        <v>#N/A</v>
      </c>
      <c r="AB75" s="115" t="e">
        <f>VLOOKUP($A75,'S46'!$C:$BQ,60,0)</f>
        <v>#N/A</v>
      </c>
      <c r="AC75" s="107" t="e">
        <f>VLOOKUP($A75,'S47'!$C:$BQ,32,0)</f>
        <v>#N/A</v>
      </c>
      <c r="AD75" s="107" t="e">
        <f>VLOOKUP($A75,'S47'!$C:$BQ,39,0)</f>
        <v>#N/A</v>
      </c>
      <c r="AE75" s="107" t="e">
        <f>VLOOKUP($A75,'S47'!$C:$BQ,40,0)</f>
        <v>#N/A</v>
      </c>
      <c r="AF75" s="107" t="e">
        <f>VLOOKUP($A75,'S47'!$C:$BQ,22,0)</f>
        <v>#N/A</v>
      </c>
      <c r="AG75" s="115" t="e">
        <f>VLOOKUP($A75,'S47'!$C:$BQ,29,0)</f>
        <v>#N/A</v>
      </c>
      <c r="AH75" s="115" t="e">
        <f>VLOOKUP($A75,'S47'!$C:$BQ,30,0)</f>
        <v>#N/A</v>
      </c>
      <c r="AI75" s="115" t="e">
        <f>VLOOKUP($A75,'S47'!$C:$BQ,52,0)</f>
        <v>#N/A</v>
      </c>
      <c r="AJ75" s="115" t="e">
        <f>VLOOKUP($A75,'S47'!$C:$BQ,59,0)</f>
        <v>#N/A</v>
      </c>
      <c r="AK75" s="115" t="e">
        <f>VLOOKUP($A75,'S47'!$C:$BQ,60,0)</f>
        <v>#N/A</v>
      </c>
      <c r="AL75" s="107" t="e">
        <f>VLOOKUP($A75,'S48'!$C:$BQ,32,0)</f>
        <v>#N/A</v>
      </c>
      <c r="AM75" s="107" t="e">
        <f>VLOOKUP($A75,'S48'!$C:$BQ,39,0)</f>
        <v>#N/A</v>
      </c>
      <c r="AN75" s="107" t="e">
        <f>VLOOKUP($A75,'S48'!$C:$BQ,40,0)</f>
        <v>#N/A</v>
      </c>
      <c r="AO75" s="107" t="e">
        <f>VLOOKUP($A75,'S48'!$C:$BQ,22,0)</f>
        <v>#N/A</v>
      </c>
      <c r="AP75" s="115" t="e">
        <f>VLOOKUP($A75,'S48'!$C:$BQ,29,0)</f>
        <v>#N/A</v>
      </c>
      <c r="AQ75" s="115" t="e">
        <f>VLOOKUP($A75,'S48'!$C:$BQ,30,0)</f>
        <v>#N/A</v>
      </c>
      <c r="AR75" s="115" t="e">
        <f>VLOOKUP($A75,'S48'!$C:$BQ,52,0)</f>
        <v>#N/A</v>
      </c>
      <c r="AS75" s="115" t="e">
        <f>VLOOKUP($A75,'S48'!$C:$BQ,59,0)</f>
        <v>#N/A</v>
      </c>
      <c r="AT75" s="115" t="e">
        <f>VLOOKUP($A75,'S48'!$C:$BQ,60,0)</f>
        <v>#N/A</v>
      </c>
      <c r="AU75" s="107" t="e">
        <f>VLOOKUP($A75,'S49'!$C:$BQ,32,0)</f>
        <v>#N/A</v>
      </c>
      <c r="AV75" s="107" t="e">
        <f>VLOOKUP($A75,'S49'!$C:$BQ,39,0)</f>
        <v>#N/A</v>
      </c>
      <c r="AW75" s="107" t="e">
        <f>VLOOKUP($A75,'S49'!$C:$BQ,40,0)</f>
        <v>#N/A</v>
      </c>
      <c r="AX75" s="107" t="e">
        <f>VLOOKUP($A75,'S49'!$C:$BQ,22,0)</f>
        <v>#N/A</v>
      </c>
      <c r="AY75" s="115" t="e">
        <f>VLOOKUP($A75,'S49'!$C:$BQ,29,0)</f>
        <v>#N/A</v>
      </c>
      <c r="AZ75" s="115" t="e">
        <f>VLOOKUP($A75,'S49'!$C:$BQ,30,0)</f>
        <v>#N/A</v>
      </c>
      <c r="BA75" s="115" t="e">
        <f>VLOOKUP($A75,'S49'!$C:$BQ,52,0)</f>
        <v>#N/A</v>
      </c>
      <c r="BB75" s="115" t="e">
        <f>VLOOKUP($A75,'S49'!$C:$BQ,59,0)</f>
        <v>#N/A</v>
      </c>
      <c r="BC75" s="115" t="e">
        <f>VLOOKUP($A75,'S49'!$C:$BQ,60,0)</f>
        <v>#N/A</v>
      </c>
      <c r="BD75" s="107" t="e">
        <f>VLOOKUP($A75,'S50'!$C:$BQ,32,0)</f>
        <v>#N/A</v>
      </c>
      <c r="BE75" s="107" t="e">
        <f>VLOOKUP($A75,'S50'!$C:$BQ,39,0)</f>
        <v>#N/A</v>
      </c>
      <c r="BF75" s="107" t="e">
        <f>VLOOKUP($A75,'S50'!$C:$BQ,40,0)</f>
        <v>#N/A</v>
      </c>
      <c r="BG75" s="107" t="e">
        <f>VLOOKUP($A75,'S50'!$C:$BQ,22,0)</f>
        <v>#N/A</v>
      </c>
      <c r="BH75" s="115" t="e">
        <f>VLOOKUP($A75,'S50'!$C:$BQ,29,0)</f>
        <v>#N/A</v>
      </c>
      <c r="BI75" s="115" t="e">
        <f>VLOOKUP($A75,'S50'!$C:$BQ,30,0)</f>
        <v>#N/A</v>
      </c>
      <c r="BJ75" s="115" t="e">
        <f>VLOOKUP($A75,'S50'!$C:$BQ,52,0)</f>
        <v>#N/A</v>
      </c>
      <c r="BK75" s="115" t="e">
        <f>VLOOKUP($A75,'S50'!$C:$BQ,59,0)</f>
        <v>#N/A</v>
      </c>
      <c r="BL75" s="115" t="e">
        <f>VLOOKUP($A75,'S50'!$C:$BQ,60,0)</f>
        <v>#N/A</v>
      </c>
    </row>
    <row r="76" spans="1:64" x14ac:dyDescent="0.2">
      <c r="A76" s="106" t="s">
        <v>134</v>
      </c>
      <c r="B76" s="107">
        <f>VLOOKUP($A76,'S0 remplacer avec S44'!$C:$BQ,32,0)</f>
        <v>202.4</v>
      </c>
      <c r="C76" s="107">
        <f>VLOOKUP($A76,'S0 remplacer avec S44'!$C:$BQ,39,0)</f>
        <v>0</v>
      </c>
      <c r="D76" s="107">
        <f>VLOOKUP($A76,'S0 remplacer avec S44'!$C:$BQ,40,0)</f>
        <v>0</v>
      </c>
      <c r="E76" s="107">
        <f>VLOOKUP($A76,'S0 remplacer avec S44'!$C:$BQ,22,0)</f>
        <v>1669.55961</v>
      </c>
      <c r="F76" s="115">
        <f>VLOOKUP($A76,'S0 remplacer avec S44'!$C:$BQ,29,0)</f>
        <v>0</v>
      </c>
      <c r="G76" s="115">
        <f>VLOOKUP($A76,'S0 remplacer avec S44'!$C:$BQ,30,0)</f>
        <v>15</v>
      </c>
      <c r="H76" s="115">
        <f>VLOOKUP($A76,'S0 remplacer avec S44'!$C:$BQ,52,0)</f>
        <v>137</v>
      </c>
      <c r="I76" s="115">
        <f>VLOOKUP($A76,'S0 remplacer avec S44'!$C:$BQ,59,0)</f>
        <v>0</v>
      </c>
      <c r="J76" s="115">
        <f>VLOOKUP($A76,'S0 remplacer avec S44'!$C:$BQ,60,0)</f>
        <v>0</v>
      </c>
      <c r="K76" s="107" t="e">
        <f>VLOOKUP($A76,'S45'!$C:$BQ,32,0)</f>
        <v>#N/A</v>
      </c>
      <c r="L76" s="107" t="e">
        <f>VLOOKUP($A76,'S45'!$C:$BQ,39,0)</f>
        <v>#N/A</v>
      </c>
      <c r="M76" s="107" t="e">
        <f>VLOOKUP($A76,'S45'!$C:$BQ,40,0)</f>
        <v>#N/A</v>
      </c>
      <c r="N76" s="107" t="e">
        <f>VLOOKUP($A76,'S45'!$C:$BQ,22,0)</f>
        <v>#N/A</v>
      </c>
      <c r="O76" s="115" t="e">
        <f>VLOOKUP($A76,'S45'!$C:$BQ,29,0)</f>
        <v>#N/A</v>
      </c>
      <c r="P76" s="115" t="e">
        <f>VLOOKUP($A76,'S45'!$C:$BQ,30,0)</f>
        <v>#N/A</v>
      </c>
      <c r="Q76" s="115" t="e">
        <f>VLOOKUP($A76,'S45'!$C:$BQ,52,0)</f>
        <v>#N/A</v>
      </c>
      <c r="R76" s="115" t="e">
        <f>VLOOKUP($A76,'S45'!$C:$BQ,59,0)</f>
        <v>#N/A</v>
      </c>
      <c r="S76" s="115" t="e">
        <f>VLOOKUP($A76,'S45'!$C:$BQ,60,0)</f>
        <v>#N/A</v>
      </c>
      <c r="T76" s="107" t="e">
        <f>VLOOKUP($A76,'S46'!$C:$BQ,32,0)</f>
        <v>#N/A</v>
      </c>
      <c r="U76" s="107" t="e">
        <f>VLOOKUP($A76,'S46'!$C:$BQ,39,0)</f>
        <v>#N/A</v>
      </c>
      <c r="V76" s="107" t="e">
        <f>VLOOKUP($A76,'S46'!$C:$BQ,40,0)</f>
        <v>#N/A</v>
      </c>
      <c r="W76" s="107" t="e">
        <f>VLOOKUP($A76,'S46'!$C:$BQ,22,0)</f>
        <v>#N/A</v>
      </c>
      <c r="X76" s="115" t="e">
        <f>VLOOKUP($A76,'S46'!$C:$BQ,29,0)</f>
        <v>#N/A</v>
      </c>
      <c r="Y76" s="115" t="e">
        <f>VLOOKUP($A76,'S46'!$C:$BQ,30,0)</f>
        <v>#N/A</v>
      </c>
      <c r="Z76" s="115" t="e">
        <f>VLOOKUP($A76,'S46'!$C:$BQ,52,0)</f>
        <v>#N/A</v>
      </c>
      <c r="AA76" s="115" t="e">
        <f>VLOOKUP($A76,'S46'!$C:$BQ,59,0)</f>
        <v>#N/A</v>
      </c>
      <c r="AB76" s="115" t="e">
        <f>VLOOKUP($A76,'S46'!$C:$BQ,60,0)</f>
        <v>#N/A</v>
      </c>
      <c r="AC76" s="107" t="e">
        <f>VLOOKUP($A76,'S47'!$C:$BQ,32,0)</f>
        <v>#N/A</v>
      </c>
      <c r="AD76" s="107" t="e">
        <f>VLOOKUP($A76,'S47'!$C:$BQ,39,0)</f>
        <v>#N/A</v>
      </c>
      <c r="AE76" s="107" t="e">
        <f>VLOOKUP($A76,'S47'!$C:$BQ,40,0)</f>
        <v>#N/A</v>
      </c>
      <c r="AF76" s="107" t="e">
        <f>VLOOKUP($A76,'S47'!$C:$BQ,22,0)</f>
        <v>#N/A</v>
      </c>
      <c r="AG76" s="115" t="e">
        <f>VLOOKUP($A76,'S47'!$C:$BQ,29,0)</f>
        <v>#N/A</v>
      </c>
      <c r="AH76" s="115" t="e">
        <f>VLOOKUP($A76,'S47'!$C:$BQ,30,0)</f>
        <v>#N/A</v>
      </c>
      <c r="AI76" s="115" t="e">
        <f>VLOOKUP($A76,'S47'!$C:$BQ,52,0)</f>
        <v>#N/A</v>
      </c>
      <c r="AJ76" s="115" t="e">
        <f>VLOOKUP($A76,'S47'!$C:$BQ,59,0)</f>
        <v>#N/A</v>
      </c>
      <c r="AK76" s="115" t="e">
        <f>VLOOKUP($A76,'S47'!$C:$BQ,60,0)</f>
        <v>#N/A</v>
      </c>
      <c r="AL76" s="107" t="e">
        <f>VLOOKUP($A76,'S48'!$C:$BQ,32,0)</f>
        <v>#N/A</v>
      </c>
      <c r="AM76" s="107" t="e">
        <f>VLOOKUP($A76,'S48'!$C:$BQ,39,0)</f>
        <v>#N/A</v>
      </c>
      <c r="AN76" s="107" t="e">
        <f>VLOOKUP($A76,'S48'!$C:$BQ,40,0)</f>
        <v>#N/A</v>
      </c>
      <c r="AO76" s="107" t="e">
        <f>VLOOKUP($A76,'S48'!$C:$BQ,22,0)</f>
        <v>#N/A</v>
      </c>
      <c r="AP76" s="115" t="e">
        <f>VLOOKUP($A76,'S48'!$C:$BQ,29,0)</f>
        <v>#N/A</v>
      </c>
      <c r="AQ76" s="115" t="e">
        <f>VLOOKUP($A76,'S48'!$C:$BQ,30,0)</f>
        <v>#N/A</v>
      </c>
      <c r="AR76" s="115" t="e">
        <f>VLOOKUP($A76,'S48'!$C:$BQ,52,0)</f>
        <v>#N/A</v>
      </c>
      <c r="AS76" s="115" t="e">
        <f>VLOOKUP($A76,'S48'!$C:$BQ,59,0)</f>
        <v>#N/A</v>
      </c>
      <c r="AT76" s="115" t="e">
        <f>VLOOKUP($A76,'S48'!$C:$BQ,60,0)</f>
        <v>#N/A</v>
      </c>
      <c r="AU76" s="107" t="e">
        <f>VLOOKUP($A76,'S49'!$C:$BQ,32,0)</f>
        <v>#N/A</v>
      </c>
      <c r="AV76" s="107" t="e">
        <f>VLOOKUP($A76,'S49'!$C:$BQ,39,0)</f>
        <v>#N/A</v>
      </c>
      <c r="AW76" s="107" t="e">
        <f>VLOOKUP($A76,'S49'!$C:$BQ,40,0)</f>
        <v>#N/A</v>
      </c>
      <c r="AX76" s="107" t="e">
        <f>VLOOKUP($A76,'S49'!$C:$BQ,22,0)</f>
        <v>#N/A</v>
      </c>
      <c r="AY76" s="115" t="e">
        <f>VLOOKUP($A76,'S49'!$C:$BQ,29,0)</f>
        <v>#N/A</v>
      </c>
      <c r="AZ76" s="115" t="e">
        <f>VLOOKUP($A76,'S49'!$C:$BQ,30,0)</f>
        <v>#N/A</v>
      </c>
      <c r="BA76" s="115" t="e">
        <f>VLOOKUP($A76,'S49'!$C:$BQ,52,0)</f>
        <v>#N/A</v>
      </c>
      <c r="BB76" s="115" t="e">
        <f>VLOOKUP($A76,'S49'!$C:$BQ,59,0)</f>
        <v>#N/A</v>
      </c>
      <c r="BC76" s="115" t="e">
        <f>VLOOKUP($A76,'S49'!$C:$BQ,60,0)</f>
        <v>#N/A</v>
      </c>
      <c r="BD76" s="107" t="e">
        <f>VLOOKUP($A76,'S50'!$C:$BQ,32,0)</f>
        <v>#N/A</v>
      </c>
      <c r="BE76" s="107" t="e">
        <f>VLOOKUP($A76,'S50'!$C:$BQ,39,0)</f>
        <v>#N/A</v>
      </c>
      <c r="BF76" s="107" t="e">
        <f>VLOOKUP($A76,'S50'!$C:$BQ,40,0)</f>
        <v>#N/A</v>
      </c>
      <c r="BG76" s="107" t="e">
        <f>VLOOKUP($A76,'S50'!$C:$BQ,22,0)</f>
        <v>#N/A</v>
      </c>
      <c r="BH76" s="115" t="e">
        <f>VLOOKUP($A76,'S50'!$C:$BQ,29,0)</f>
        <v>#N/A</v>
      </c>
      <c r="BI76" s="115" t="e">
        <f>VLOOKUP($A76,'S50'!$C:$BQ,30,0)</f>
        <v>#N/A</v>
      </c>
      <c r="BJ76" s="115" t="e">
        <f>VLOOKUP($A76,'S50'!$C:$BQ,52,0)</f>
        <v>#N/A</v>
      </c>
      <c r="BK76" s="115" t="e">
        <f>VLOOKUP($A76,'S50'!$C:$BQ,59,0)</f>
        <v>#N/A</v>
      </c>
      <c r="BL76" s="115" t="e">
        <f>VLOOKUP($A76,'S50'!$C:$BQ,60,0)</f>
        <v>#N/A</v>
      </c>
    </row>
    <row r="77" spans="1:64" x14ac:dyDescent="0.2">
      <c r="A77" s="106" t="s">
        <v>135</v>
      </c>
      <c r="B77" s="107">
        <f>VLOOKUP($A77,'S0 remplacer avec S44'!$C:$BQ,32,0)</f>
        <v>192.05</v>
      </c>
      <c r="C77" s="107">
        <f>VLOOKUP($A77,'S0 remplacer avec S44'!$C:$BQ,39,0)</f>
        <v>0</v>
      </c>
      <c r="D77" s="107">
        <f>VLOOKUP($A77,'S0 remplacer avec S44'!$C:$BQ,40,0)</f>
        <v>11</v>
      </c>
      <c r="E77" s="107">
        <f>VLOOKUP($A77,'S0 remplacer avec S44'!$C:$BQ,22,0)</f>
        <v>1471.96901</v>
      </c>
      <c r="F77" s="115">
        <f>VLOOKUP($A77,'S0 remplacer avec S44'!$C:$BQ,29,0)</f>
        <v>63</v>
      </c>
      <c r="G77" s="115">
        <f>VLOOKUP($A77,'S0 remplacer avec S44'!$C:$BQ,30,0)</f>
        <v>370</v>
      </c>
      <c r="H77" s="115">
        <f>VLOOKUP($A77,'S0 remplacer avec S44'!$C:$BQ,52,0)</f>
        <v>132.6</v>
      </c>
      <c r="I77" s="115">
        <f>VLOOKUP($A77,'S0 remplacer avec S44'!$C:$BQ,59,0)</f>
        <v>0</v>
      </c>
      <c r="J77" s="115">
        <f>VLOOKUP($A77,'S0 remplacer avec S44'!$C:$BQ,60,0)</f>
        <v>0</v>
      </c>
      <c r="K77" s="107" t="e">
        <f>VLOOKUP($A77,'S45'!$C:$BQ,32,0)</f>
        <v>#N/A</v>
      </c>
      <c r="L77" s="107" t="e">
        <f>VLOOKUP($A77,'S45'!$C:$BQ,39,0)</f>
        <v>#N/A</v>
      </c>
      <c r="M77" s="107" t="e">
        <f>VLOOKUP($A77,'S45'!$C:$BQ,40,0)</f>
        <v>#N/A</v>
      </c>
      <c r="N77" s="107" t="e">
        <f>VLOOKUP($A77,'S45'!$C:$BQ,22,0)</f>
        <v>#N/A</v>
      </c>
      <c r="O77" s="115" t="e">
        <f>VLOOKUP($A77,'S45'!$C:$BQ,29,0)</f>
        <v>#N/A</v>
      </c>
      <c r="P77" s="115" t="e">
        <f>VLOOKUP($A77,'S45'!$C:$BQ,30,0)</f>
        <v>#N/A</v>
      </c>
      <c r="Q77" s="115" t="e">
        <f>VLOOKUP($A77,'S45'!$C:$BQ,52,0)</f>
        <v>#N/A</v>
      </c>
      <c r="R77" s="115" t="e">
        <f>VLOOKUP($A77,'S45'!$C:$BQ,59,0)</f>
        <v>#N/A</v>
      </c>
      <c r="S77" s="115" t="e">
        <f>VLOOKUP($A77,'S45'!$C:$BQ,60,0)</f>
        <v>#N/A</v>
      </c>
      <c r="T77" s="107" t="e">
        <f>VLOOKUP($A77,'S46'!$C:$BQ,32,0)</f>
        <v>#N/A</v>
      </c>
      <c r="U77" s="107" t="e">
        <f>VLOOKUP($A77,'S46'!$C:$BQ,39,0)</f>
        <v>#N/A</v>
      </c>
      <c r="V77" s="107" t="e">
        <f>VLOOKUP($A77,'S46'!$C:$BQ,40,0)</f>
        <v>#N/A</v>
      </c>
      <c r="W77" s="107" t="e">
        <f>VLOOKUP($A77,'S46'!$C:$BQ,22,0)</f>
        <v>#N/A</v>
      </c>
      <c r="X77" s="115" t="e">
        <f>VLOOKUP($A77,'S46'!$C:$BQ,29,0)</f>
        <v>#N/A</v>
      </c>
      <c r="Y77" s="115" t="e">
        <f>VLOOKUP($A77,'S46'!$C:$BQ,30,0)</f>
        <v>#N/A</v>
      </c>
      <c r="Z77" s="115" t="e">
        <f>VLOOKUP($A77,'S46'!$C:$BQ,52,0)</f>
        <v>#N/A</v>
      </c>
      <c r="AA77" s="115" t="e">
        <f>VLOOKUP($A77,'S46'!$C:$BQ,59,0)</f>
        <v>#N/A</v>
      </c>
      <c r="AB77" s="115" t="e">
        <f>VLOOKUP($A77,'S46'!$C:$BQ,60,0)</f>
        <v>#N/A</v>
      </c>
      <c r="AC77" s="107" t="e">
        <f>VLOOKUP($A77,'S47'!$C:$BQ,32,0)</f>
        <v>#N/A</v>
      </c>
      <c r="AD77" s="107" t="e">
        <f>VLOOKUP($A77,'S47'!$C:$BQ,39,0)</f>
        <v>#N/A</v>
      </c>
      <c r="AE77" s="107" t="e">
        <f>VLOOKUP($A77,'S47'!$C:$BQ,40,0)</f>
        <v>#N/A</v>
      </c>
      <c r="AF77" s="107" t="e">
        <f>VLOOKUP($A77,'S47'!$C:$BQ,22,0)</f>
        <v>#N/A</v>
      </c>
      <c r="AG77" s="115" t="e">
        <f>VLOOKUP($A77,'S47'!$C:$BQ,29,0)</f>
        <v>#N/A</v>
      </c>
      <c r="AH77" s="115" t="e">
        <f>VLOOKUP($A77,'S47'!$C:$BQ,30,0)</f>
        <v>#N/A</v>
      </c>
      <c r="AI77" s="115" t="e">
        <f>VLOOKUP($A77,'S47'!$C:$BQ,52,0)</f>
        <v>#N/A</v>
      </c>
      <c r="AJ77" s="115" t="e">
        <f>VLOOKUP($A77,'S47'!$C:$BQ,59,0)</f>
        <v>#N/A</v>
      </c>
      <c r="AK77" s="115" t="e">
        <f>VLOOKUP($A77,'S47'!$C:$BQ,60,0)</f>
        <v>#N/A</v>
      </c>
      <c r="AL77" s="107" t="e">
        <f>VLOOKUP($A77,'S48'!$C:$BQ,32,0)</f>
        <v>#N/A</v>
      </c>
      <c r="AM77" s="107" t="e">
        <f>VLOOKUP($A77,'S48'!$C:$BQ,39,0)</f>
        <v>#N/A</v>
      </c>
      <c r="AN77" s="107" t="e">
        <f>VLOOKUP($A77,'S48'!$C:$BQ,40,0)</f>
        <v>#N/A</v>
      </c>
      <c r="AO77" s="107" t="e">
        <f>VLOOKUP($A77,'S48'!$C:$BQ,22,0)</f>
        <v>#N/A</v>
      </c>
      <c r="AP77" s="115" t="e">
        <f>VLOOKUP($A77,'S48'!$C:$BQ,29,0)</f>
        <v>#N/A</v>
      </c>
      <c r="AQ77" s="115" t="e">
        <f>VLOOKUP($A77,'S48'!$C:$BQ,30,0)</f>
        <v>#N/A</v>
      </c>
      <c r="AR77" s="115" t="e">
        <f>VLOOKUP($A77,'S48'!$C:$BQ,52,0)</f>
        <v>#N/A</v>
      </c>
      <c r="AS77" s="115" t="e">
        <f>VLOOKUP($A77,'S48'!$C:$BQ,59,0)</f>
        <v>#N/A</v>
      </c>
      <c r="AT77" s="115" t="e">
        <f>VLOOKUP($A77,'S48'!$C:$BQ,60,0)</f>
        <v>#N/A</v>
      </c>
      <c r="AU77" s="107" t="e">
        <f>VLOOKUP($A77,'S49'!$C:$BQ,32,0)</f>
        <v>#N/A</v>
      </c>
      <c r="AV77" s="107" t="e">
        <f>VLOOKUP($A77,'S49'!$C:$BQ,39,0)</f>
        <v>#N/A</v>
      </c>
      <c r="AW77" s="107" t="e">
        <f>VLOOKUP($A77,'S49'!$C:$BQ,40,0)</f>
        <v>#N/A</v>
      </c>
      <c r="AX77" s="107" t="e">
        <f>VLOOKUP($A77,'S49'!$C:$BQ,22,0)</f>
        <v>#N/A</v>
      </c>
      <c r="AY77" s="115" t="e">
        <f>VLOOKUP($A77,'S49'!$C:$BQ,29,0)</f>
        <v>#N/A</v>
      </c>
      <c r="AZ77" s="115" t="e">
        <f>VLOOKUP($A77,'S49'!$C:$BQ,30,0)</f>
        <v>#N/A</v>
      </c>
      <c r="BA77" s="115" t="e">
        <f>VLOOKUP($A77,'S49'!$C:$BQ,52,0)</f>
        <v>#N/A</v>
      </c>
      <c r="BB77" s="115" t="e">
        <f>VLOOKUP($A77,'S49'!$C:$BQ,59,0)</f>
        <v>#N/A</v>
      </c>
      <c r="BC77" s="115" t="e">
        <f>VLOOKUP($A77,'S49'!$C:$BQ,60,0)</f>
        <v>#N/A</v>
      </c>
      <c r="BD77" s="107" t="e">
        <f>VLOOKUP($A77,'S50'!$C:$BQ,32,0)</f>
        <v>#N/A</v>
      </c>
      <c r="BE77" s="107" t="e">
        <f>VLOOKUP($A77,'S50'!$C:$BQ,39,0)</f>
        <v>#N/A</v>
      </c>
      <c r="BF77" s="107" t="e">
        <f>VLOOKUP($A77,'S50'!$C:$BQ,40,0)</f>
        <v>#N/A</v>
      </c>
      <c r="BG77" s="107" t="e">
        <f>VLOOKUP($A77,'S50'!$C:$BQ,22,0)</f>
        <v>#N/A</v>
      </c>
      <c r="BH77" s="115" t="e">
        <f>VLOOKUP($A77,'S50'!$C:$BQ,29,0)</f>
        <v>#N/A</v>
      </c>
      <c r="BI77" s="115" t="e">
        <f>VLOOKUP($A77,'S50'!$C:$BQ,30,0)</f>
        <v>#N/A</v>
      </c>
      <c r="BJ77" s="115" t="e">
        <f>VLOOKUP($A77,'S50'!$C:$BQ,52,0)</f>
        <v>#N/A</v>
      </c>
      <c r="BK77" s="115" t="e">
        <f>VLOOKUP($A77,'S50'!$C:$BQ,59,0)</f>
        <v>#N/A</v>
      </c>
      <c r="BL77" s="115" t="e">
        <f>VLOOKUP($A77,'S50'!$C:$BQ,60,0)</f>
        <v>#N/A</v>
      </c>
    </row>
    <row r="78" spans="1:64" x14ac:dyDescent="0.2">
      <c r="A78" s="106" t="s">
        <v>136</v>
      </c>
      <c r="B78" s="107">
        <f>VLOOKUP($A78,'S0 remplacer avec S44'!$C:$BQ,32,0)</f>
        <v>252.5</v>
      </c>
      <c r="C78" s="107">
        <f>VLOOKUP($A78,'S0 remplacer avec S44'!$C:$BQ,39,0)</f>
        <v>98</v>
      </c>
      <c r="D78" s="107">
        <f>VLOOKUP($A78,'S0 remplacer avec S44'!$C:$BQ,40,0)</f>
        <v>168</v>
      </c>
      <c r="E78" s="107">
        <f>VLOOKUP($A78,'S0 remplacer avec S44'!$C:$BQ,22,0)</f>
        <v>2339.0344650000002</v>
      </c>
      <c r="F78" s="115">
        <f>VLOOKUP($A78,'S0 remplacer avec S44'!$C:$BQ,29,0)</f>
        <v>848</v>
      </c>
      <c r="G78" s="115">
        <f>VLOOKUP($A78,'S0 remplacer avec S44'!$C:$BQ,30,0)</f>
        <v>1485</v>
      </c>
      <c r="H78" s="115">
        <f>VLOOKUP($A78,'S0 remplacer avec S44'!$C:$BQ,52,0)</f>
        <v>215.2</v>
      </c>
      <c r="I78" s="115">
        <f>VLOOKUP($A78,'S0 remplacer avec S44'!$C:$BQ,59,0)</f>
        <v>0</v>
      </c>
      <c r="J78" s="115">
        <f>VLOOKUP($A78,'S0 remplacer avec S44'!$C:$BQ,60,0)</f>
        <v>0</v>
      </c>
      <c r="K78" s="107" t="e">
        <f>VLOOKUP($A78,'S45'!$C:$BQ,32,0)</f>
        <v>#N/A</v>
      </c>
      <c r="L78" s="107" t="e">
        <f>VLOOKUP($A78,'S45'!$C:$BQ,39,0)</f>
        <v>#N/A</v>
      </c>
      <c r="M78" s="107" t="e">
        <f>VLOOKUP($A78,'S45'!$C:$BQ,40,0)</f>
        <v>#N/A</v>
      </c>
      <c r="N78" s="107" t="e">
        <f>VLOOKUP($A78,'S45'!$C:$BQ,22,0)</f>
        <v>#N/A</v>
      </c>
      <c r="O78" s="115" t="e">
        <f>VLOOKUP($A78,'S45'!$C:$BQ,29,0)</f>
        <v>#N/A</v>
      </c>
      <c r="P78" s="115" t="e">
        <f>VLOOKUP($A78,'S45'!$C:$BQ,30,0)</f>
        <v>#N/A</v>
      </c>
      <c r="Q78" s="115" t="e">
        <f>VLOOKUP($A78,'S45'!$C:$BQ,52,0)</f>
        <v>#N/A</v>
      </c>
      <c r="R78" s="115" t="e">
        <f>VLOOKUP($A78,'S45'!$C:$BQ,59,0)</f>
        <v>#N/A</v>
      </c>
      <c r="S78" s="115" t="e">
        <f>VLOOKUP($A78,'S45'!$C:$BQ,60,0)</f>
        <v>#N/A</v>
      </c>
      <c r="T78" s="107" t="e">
        <f>VLOOKUP($A78,'S46'!$C:$BQ,32,0)</f>
        <v>#N/A</v>
      </c>
      <c r="U78" s="107" t="e">
        <f>VLOOKUP($A78,'S46'!$C:$BQ,39,0)</f>
        <v>#N/A</v>
      </c>
      <c r="V78" s="107" t="e">
        <f>VLOOKUP($A78,'S46'!$C:$BQ,40,0)</f>
        <v>#N/A</v>
      </c>
      <c r="W78" s="107" t="e">
        <f>VLOOKUP($A78,'S46'!$C:$BQ,22,0)</f>
        <v>#N/A</v>
      </c>
      <c r="X78" s="115" t="e">
        <f>VLOOKUP($A78,'S46'!$C:$BQ,29,0)</f>
        <v>#N/A</v>
      </c>
      <c r="Y78" s="115" t="e">
        <f>VLOOKUP($A78,'S46'!$C:$BQ,30,0)</f>
        <v>#N/A</v>
      </c>
      <c r="Z78" s="115" t="e">
        <f>VLOOKUP($A78,'S46'!$C:$BQ,52,0)</f>
        <v>#N/A</v>
      </c>
      <c r="AA78" s="115" t="e">
        <f>VLOOKUP($A78,'S46'!$C:$BQ,59,0)</f>
        <v>#N/A</v>
      </c>
      <c r="AB78" s="115" t="e">
        <f>VLOOKUP($A78,'S46'!$C:$BQ,60,0)</f>
        <v>#N/A</v>
      </c>
      <c r="AC78" s="107" t="e">
        <f>VLOOKUP($A78,'S47'!$C:$BQ,32,0)</f>
        <v>#N/A</v>
      </c>
      <c r="AD78" s="107" t="e">
        <f>VLOOKUP($A78,'S47'!$C:$BQ,39,0)</f>
        <v>#N/A</v>
      </c>
      <c r="AE78" s="107" t="e">
        <f>VLOOKUP($A78,'S47'!$C:$BQ,40,0)</f>
        <v>#N/A</v>
      </c>
      <c r="AF78" s="107" t="e">
        <f>VLOOKUP($A78,'S47'!$C:$BQ,22,0)</f>
        <v>#N/A</v>
      </c>
      <c r="AG78" s="115" t="e">
        <f>VLOOKUP($A78,'S47'!$C:$BQ,29,0)</f>
        <v>#N/A</v>
      </c>
      <c r="AH78" s="115" t="e">
        <f>VLOOKUP($A78,'S47'!$C:$BQ,30,0)</f>
        <v>#N/A</v>
      </c>
      <c r="AI78" s="115" t="e">
        <f>VLOOKUP($A78,'S47'!$C:$BQ,52,0)</f>
        <v>#N/A</v>
      </c>
      <c r="AJ78" s="115" t="e">
        <f>VLOOKUP($A78,'S47'!$C:$BQ,59,0)</f>
        <v>#N/A</v>
      </c>
      <c r="AK78" s="115" t="e">
        <f>VLOOKUP($A78,'S47'!$C:$BQ,60,0)</f>
        <v>#N/A</v>
      </c>
      <c r="AL78" s="107" t="e">
        <f>VLOOKUP($A78,'S48'!$C:$BQ,32,0)</f>
        <v>#N/A</v>
      </c>
      <c r="AM78" s="107" t="e">
        <f>VLOOKUP($A78,'S48'!$C:$BQ,39,0)</f>
        <v>#N/A</v>
      </c>
      <c r="AN78" s="107" t="e">
        <f>VLOOKUP($A78,'S48'!$C:$BQ,40,0)</f>
        <v>#N/A</v>
      </c>
      <c r="AO78" s="107" t="e">
        <f>VLOOKUP($A78,'S48'!$C:$BQ,22,0)</f>
        <v>#N/A</v>
      </c>
      <c r="AP78" s="115" t="e">
        <f>VLOOKUP($A78,'S48'!$C:$BQ,29,0)</f>
        <v>#N/A</v>
      </c>
      <c r="AQ78" s="115" t="e">
        <f>VLOOKUP($A78,'S48'!$C:$BQ,30,0)</f>
        <v>#N/A</v>
      </c>
      <c r="AR78" s="115" t="e">
        <f>VLOOKUP($A78,'S48'!$C:$BQ,52,0)</f>
        <v>#N/A</v>
      </c>
      <c r="AS78" s="115" t="e">
        <f>VLOOKUP($A78,'S48'!$C:$BQ,59,0)</f>
        <v>#N/A</v>
      </c>
      <c r="AT78" s="115" t="e">
        <f>VLOOKUP($A78,'S48'!$C:$BQ,60,0)</f>
        <v>#N/A</v>
      </c>
      <c r="AU78" s="107" t="e">
        <f>VLOOKUP($A78,'S49'!$C:$BQ,32,0)</f>
        <v>#N/A</v>
      </c>
      <c r="AV78" s="107" t="e">
        <f>VLOOKUP($A78,'S49'!$C:$BQ,39,0)</f>
        <v>#N/A</v>
      </c>
      <c r="AW78" s="107" t="e">
        <f>VLOOKUP($A78,'S49'!$C:$BQ,40,0)</f>
        <v>#N/A</v>
      </c>
      <c r="AX78" s="107" t="e">
        <f>VLOOKUP($A78,'S49'!$C:$BQ,22,0)</f>
        <v>#N/A</v>
      </c>
      <c r="AY78" s="115" t="e">
        <f>VLOOKUP($A78,'S49'!$C:$BQ,29,0)</f>
        <v>#N/A</v>
      </c>
      <c r="AZ78" s="115" t="e">
        <f>VLOOKUP($A78,'S49'!$C:$BQ,30,0)</f>
        <v>#N/A</v>
      </c>
      <c r="BA78" s="115" t="e">
        <f>VLOOKUP($A78,'S49'!$C:$BQ,52,0)</f>
        <v>#N/A</v>
      </c>
      <c r="BB78" s="115" t="e">
        <f>VLOOKUP($A78,'S49'!$C:$BQ,59,0)</f>
        <v>#N/A</v>
      </c>
      <c r="BC78" s="115" t="e">
        <f>VLOOKUP($A78,'S49'!$C:$BQ,60,0)</f>
        <v>#N/A</v>
      </c>
      <c r="BD78" s="107" t="e">
        <f>VLOOKUP($A78,'S50'!$C:$BQ,32,0)</f>
        <v>#N/A</v>
      </c>
      <c r="BE78" s="107" t="e">
        <f>VLOOKUP($A78,'S50'!$C:$BQ,39,0)</f>
        <v>#N/A</v>
      </c>
      <c r="BF78" s="107" t="e">
        <f>VLOOKUP($A78,'S50'!$C:$BQ,40,0)</f>
        <v>#N/A</v>
      </c>
      <c r="BG78" s="107" t="e">
        <f>VLOOKUP($A78,'S50'!$C:$BQ,22,0)</f>
        <v>#N/A</v>
      </c>
      <c r="BH78" s="115" t="e">
        <f>VLOOKUP($A78,'S50'!$C:$BQ,29,0)</f>
        <v>#N/A</v>
      </c>
      <c r="BI78" s="115" t="e">
        <f>VLOOKUP($A78,'S50'!$C:$BQ,30,0)</f>
        <v>#N/A</v>
      </c>
      <c r="BJ78" s="115" t="e">
        <f>VLOOKUP($A78,'S50'!$C:$BQ,52,0)</f>
        <v>#N/A</v>
      </c>
      <c r="BK78" s="115" t="e">
        <f>VLOOKUP($A78,'S50'!$C:$BQ,59,0)</f>
        <v>#N/A</v>
      </c>
      <c r="BL78" s="115" t="e">
        <f>VLOOKUP($A78,'S50'!$C:$BQ,60,0)</f>
        <v>#N/A</v>
      </c>
    </row>
    <row r="79" spans="1:64" x14ac:dyDescent="0.2">
      <c r="A79" s="106" t="s">
        <v>137</v>
      </c>
      <c r="B79" s="107">
        <f>VLOOKUP($A79,'S0 remplacer avec S44'!$C:$BQ,32,0)</f>
        <v>184.2</v>
      </c>
      <c r="C79" s="107">
        <f>VLOOKUP($A79,'S0 remplacer avec S44'!$C:$BQ,39,0)</f>
        <v>111</v>
      </c>
      <c r="D79" s="107">
        <f>VLOOKUP($A79,'S0 remplacer avec S44'!$C:$BQ,40,0)</f>
        <v>170</v>
      </c>
      <c r="E79" s="107">
        <f>VLOOKUP($A79,'S0 remplacer avec S44'!$C:$BQ,22,0)</f>
        <v>2291.71956</v>
      </c>
      <c r="F79" s="115">
        <f>VLOOKUP($A79,'S0 remplacer avec S44'!$C:$BQ,29,0)</f>
        <v>391</v>
      </c>
      <c r="G79" s="115">
        <f>VLOOKUP($A79,'S0 remplacer avec S44'!$C:$BQ,30,0)</f>
        <v>928</v>
      </c>
      <c r="H79" s="115">
        <f>VLOOKUP($A79,'S0 remplacer avec S44'!$C:$BQ,52,0)</f>
        <v>206.2</v>
      </c>
      <c r="I79" s="115">
        <f>VLOOKUP($A79,'S0 remplacer avec S44'!$C:$BQ,59,0)</f>
        <v>0</v>
      </c>
      <c r="J79" s="115">
        <f>VLOOKUP($A79,'S0 remplacer avec S44'!$C:$BQ,60,0)</f>
        <v>0</v>
      </c>
      <c r="K79" s="107" t="e">
        <f>VLOOKUP($A79,'S45'!$C:$BQ,32,0)</f>
        <v>#N/A</v>
      </c>
      <c r="L79" s="107" t="e">
        <f>VLOOKUP($A79,'S45'!$C:$BQ,39,0)</f>
        <v>#N/A</v>
      </c>
      <c r="M79" s="107" t="e">
        <f>VLOOKUP($A79,'S45'!$C:$BQ,40,0)</f>
        <v>#N/A</v>
      </c>
      <c r="N79" s="107" t="e">
        <f>VLOOKUP($A79,'S45'!$C:$BQ,22,0)</f>
        <v>#N/A</v>
      </c>
      <c r="O79" s="115" t="e">
        <f>VLOOKUP($A79,'S45'!$C:$BQ,29,0)</f>
        <v>#N/A</v>
      </c>
      <c r="P79" s="115" t="e">
        <f>VLOOKUP($A79,'S45'!$C:$BQ,30,0)</f>
        <v>#N/A</v>
      </c>
      <c r="Q79" s="115" t="e">
        <f>VLOOKUP($A79,'S45'!$C:$BQ,52,0)</f>
        <v>#N/A</v>
      </c>
      <c r="R79" s="115" t="e">
        <f>VLOOKUP($A79,'S45'!$C:$BQ,59,0)</f>
        <v>#N/A</v>
      </c>
      <c r="S79" s="115" t="e">
        <f>VLOOKUP($A79,'S45'!$C:$BQ,60,0)</f>
        <v>#N/A</v>
      </c>
      <c r="T79" s="107" t="e">
        <f>VLOOKUP($A79,'S46'!$C:$BQ,32,0)</f>
        <v>#N/A</v>
      </c>
      <c r="U79" s="107" t="e">
        <f>VLOOKUP($A79,'S46'!$C:$BQ,39,0)</f>
        <v>#N/A</v>
      </c>
      <c r="V79" s="107" t="e">
        <f>VLOOKUP($A79,'S46'!$C:$BQ,40,0)</f>
        <v>#N/A</v>
      </c>
      <c r="W79" s="107" t="e">
        <f>VLOOKUP($A79,'S46'!$C:$BQ,22,0)</f>
        <v>#N/A</v>
      </c>
      <c r="X79" s="115" t="e">
        <f>VLOOKUP($A79,'S46'!$C:$BQ,29,0)</f>
        <v>#N/A</v>
      </c>
      <c r="Y79" s="115" t="e">
        <f>VLOOKUP($A79,'S46'!$C:$BQ,30,0)</f>
        <v>#N/A</v>
      </c>
      <c r="Z79" s="115" t="e">
        <f>VLOOKUP($A79,'S46'!$C:$BQ,52,0)</f>
        <v>#N/A</v>
      </c>
      <c r="AA79" s="115" t="e">
        <f>VLOOKUP($A79,'S46'!$C:$BQ,59,0)</f>
        <v>#N/A</v>
      </c>
      <c r="AB79" s="115" t="e">
        <f>VLOOKUP($A79,'S46'!$C:$BQ,60,0)</f>
        <v>#N/A</v>
      </c>
      <c r="AC79" s="107" t="e">
        <f>VLOOKUP($A79,'S47'!$C:$BQ,32,0)</f>
        <v>#N/A</v>
      </c>
      <c r="AD79" s="107" t="e">
        <f>VLOOKUP($A79,'S47'!$C:$BQ,39,0)</f>
        <v>#N/A</v>
      </c>
      <c r="AE79" s="107" t="e">
        <f>VLOOKUP($A79,'S47'!$C:$BQ,40,0)</f>
        <v>#N/A</v>
      </c>
      <c r="AF79" s="107" t="e">
        <f>VLOOKUP($A79,'S47'!$C:$BQ,22,0)</f>
        <v>#N/A</v>
      </c>
      <c r="AG79" s="115" t="e">
        <f>VLOOKUP($A79,'S47'!$C:$BQ,29,0)</f>
        <v>#N/A</v>
      </c>
      <c r="AH79" s="115" t="e">
        <f>VLOOKUP($A79,'S47'!$C:$BQ,30,0)</f>
        <v>#N/A</v>
      </c>
      <c r="AI79" s="115" t="e">
        <f>VLOOKUP($A79,'S47'!$C:$BQ,52,0)</f>
        <v>#N/A</v>
      </c>
      <c r="AJ79" s="115" t="e">
        <f>VLOOKUP($A79,'S47'!$C:$BQ,59,0)</f>
        <v>#N/A</v>
      </c>
      <c r="AK79" s="115" t="e">
        <f>VLOOKUP($A79,'S47'!$C:$BQ,60,0)</f>
        <v>#N/A</v>
      </c>
      <c r="AL79" s="107" t="e">
        <f>VLOOKUP($A79,'S48'!$C:$BQ,32,0)</f>
        <v>#N/A</v>
      </c>
      <c r="AM79" s="107" t="e">
        <f>VLOOKUP($A79,'S48'!$C:$BQ,39,0)</f>
        <v>#N/A</v>
      </c>
      <c r="AN79" s="107" t="e">
        <f>VLOOKUP($A79,'S48'!$C:$BQ,40,0)</f>
        <v>#N/A</v>
      </c>
      <c r="AO79" s="107" t="e">
        <f>VLOOKUP($A79,'S48'!$C:$BQ,22,0)</f>
        <v>#N/A</v>
      </c>
      <c r="AP79" s="115" t="e">
        <f>VLOOKUP($A79,'S48'!$C:$BQ,29,0)</f>
        <v>#N/A</v>
      </c>
      <c r="AQ79" s="115" t="e">
        <f>VLOOKUP($A79,'S48'!$C:$BQ,30,0)</f>
        <v>#N/A</v>
      </c>
      <c r="AR79" s="115" t="e">
        <f>VLOOKUP($A79,'S48'!$C:$BQ,52,0)</f>
        <v>#N/A</v>
      </c>
      <c r="AS79" s="115" t="e">
        <f>VLOOKUP($A79,'S48'!$C:$BQ,59,0)</f>
        <v>#N/A</v>
      </c>
      <c r="AT79" s="115" t="e">
        <f>VLOOKUP($A79,'S48'!$C:$BQ,60,0)</f>
        <v>#N/A</v>
      </c>
      <c r="AU79" s="107" t="e">
        <f>VLOOKUP($A79,'S49'!$C:$BQ,32,0)</f>
        <v>#N/A</v>
      </c>
      <c r="AV79" s="107" t="e">
        <f>VLOOKUP($A79,'S49'!$C:$BQ,39,0)</f>
        <v>#N/A</v>
      </c>
      <c r="AW79" s="107" t="e">
        <f>VLOOKUP($A79,'S49'!$C:$BQ,40,0)</f>
        <v>#N/A</v>
      </c>
      <c r="AX79" s="107" t="e">
        <f>VLOOKUP($A79,'S49'!$C:$BQ,22,0)</f>
        <v>#N/A</v>
      </c>
      <c r="AY79" s="115" t="e">
        <f>VLOOKUP($A79,'S49'!$C:$BQ,29,0)</f>
        <v>#N/A</v>
      </c>
      <c r="AZ79" s="115" t="e">
        <f>VLOOKUP($A79,'S49'!$C:$BQ,30,0)</f>
        <v>#N/A</v>
      </c>
      <c r="BA79" s="115" t="e">
        <f>VLOOKUP($A79,'S49'!$C:$BQ,52,0)</f>
        <v>#N/A</v>
      </c>
      <c r="BB79" s="115" t="e">
        <f>VLOOKUP($A79,'S49'!$C:$BQ,59,0)</f>
        <v>#N/A</v>
      </c>
      <c r="BC79" s="115" t="e">
        <f>VLOOKUP($A79,'S49'!$C:$BQ,60,0)</f>
        <v>#N/A</v>
      </c>
      <c r="BD79" s="107" t="e">
        <f>VLOOKUP($A79,'S50'!$C:$BQ,32,0)</f>
        <v>#N/A</v>
      </c>
      <c r="BE79" s="107" t="e">
        <f>VLOOKUP($A79,'S50'!$C:$BQ,39,0)</f>
        <v>#N/A</v>
      </c>
      <c r="BF79" s="107" t="e">
        <f>VLOOKUP($A79,'S50'!$C:$BQ,40,0)</f>
        <v>#N/A</v>
      </c>
      <c r="BG79" s="107" t="e">
        <f>VLOOKUP($A79,'S50'!$C:$BQ,22,0)</f>
        <v>#N/A</v>
      </c>
      <c r="BH79" s="115" t="e">
        <f>VLOOKUP($A79,'S50'!$C:$BQ,29,0)</f>
        <v>#N/A</v>
      </c>
      <c r="BI79" s="115" t="e">
        <f>VLOOKUP($A79,'S50'!$C:$BQ,30,0)</f>
        <v>#N/A</v>
      </c>
      <c r="BJ79" s="115" t="e">
        <f>VLOOKUP($A79,'S50'!$C:$BQ,52,0)</f>
        <v>#N/A</v>
      </c>
      <c r="BK79" s="115" t="e">
        <f>VLOOKUP($A79,'S50'!$C:$BQ,59,0)</f>
        <v>#N/A</v>
      </c>
      <c r="BL79" s="115" t="e">
        <f>VLOOKUP($A79,'S50'!$C:$BQ,60,0)</f>
        <v>#N/A</v>
      </c>
    </row>
    <row r="80" spans="1:64" x14ac:dyDescent="0.2">
      <c r="A80" s="106" t="s">
        <v>138</v>
      </c>
      <c r="B80" s="107">
        <f>VLOOKUP($A80,'S0 remplacer avec S44'!$C:$BQ,32,0)</f>
        <v>141.1</v>
      </c>
      <c r="C80" s="107">
        <f>VLOOKUP($A80,'S0 remplacer avec S44'!$C:$BQ,39,0)</f>
        <v>39</v>
      </c>
      <c r="D80" s="107">
        <f>VLOOKUP($A80,'S0 remplacer avec S44'!$C:$BQ,40,0)</f>
        <v>75</v>
      </c>
      <c r="E80" s="107">
        <f>VLOOKUP($A80,'S0 remplacer avec S44'!$C:$BQ,22,0)</f>
        <v>598.53377999999998</v>
      </c>
      <c r="F80" s="115">
        <f>VLOOKUP($A80,'S0 remplacer avec S44'!$C:$BQ,29,0)</f>
        <v>1039</v>
      </c>
      <c r="G80" s="115">
        <f>VLOOKUP($A80,'S0 remplacer avec S44'!$C:$BQ,30,0)</f>
        <v>1367</v>
      </c>
      <c r="H80" s="115">
        <f>VLOOKUP($A80,'S0 remplacer avec S44'!$C:$BQ,52,0)</f>
        <v>118.4</v>
      </c>
      <c r="I80" s="115">
        <f>VLOOKUP($A80,'S0 remplacer avec S44'!$C:$BQ,59,0)</f>
        <v>0</v>
      </c>
      <c r="J80" s="115">
        <f>VLOOKUP($A80,'S0 remplacer avec S44'!$C:$BQ,60,0)</f>
        <v>0</v>
      </c>
      <c r="K80" s="107" t="e">
        <f>VLOOKUP($A80,'S45'!$C:$BQ,32,0)</f>
        <v>#N/A</v>
      </c>
      <c r="L80" s="107" t="e">
        <f>VLOOKUP($A80,'S45'!$C:$BQ,39,0)</f>
        <v>#N/A</v>
      </c>
      <c r="M80" s="107" t="e">
        <f>VLOOKUP($A80,'S45'!$C:$BQ,40,0)</f>
        <v>#N/A</v>
      </c>
      <c r="N80" s="107" t="e">
        <f>VLOOKUP($A80,'S45'!$C:$BQ,22,0)</f>
        <v>#N/A</v>
      </c>
      <c r="O80" s="115" t="e">
        <f>VLOOKUP($A80,'S45'!$C:$BQ,29,0)</f>
        <v>#N/A</v>
      </c>
      <c r="P80" s="115" t="e">
        <f>VLOOKUP($A80,'S45'!$C:$BQ,30,0)</f>
        <v>#N/A</v>
      </c>
      <c r="Q80" s="115" t="e">
        <f>VLOOKUP($A80,'S45'!$C:$BQ,52,0)</f>
        <v>#N/A</v>
      </c>
      <c r="R80" s="115" t="e">
        <f>VLOOKUP($A80,'S45'!$C:$BQ,59,0)</f>
        <v>#N/A</v>
      </c>
      <c r="S80" s="115" t="e">
        <f>VLOOKUP($A80,'S45'!$C:$BQ,60,0)</f>
        <v>#N/A</v>
      </c>
      <c r="T80" s="107" t="e">
        <f>VLOOKUP($A80,'S46'!$C:$BQ,32,0)</f>
        <v>#N/A</v>
      </c>
      <c r="U80" s="107" t="e">
        <f>VLOOKUP($A80,'S46'!$C:$BQ,39,0)</f>
        <v>#N/A</v>
      </c>
      <c r="V80" s="107" t="e">
        <f>VLOOKUP($A80,'S46'!$C:$BQ,40,0)</f>
        <v>#N/A</v>
      </c>
      <c r="W80" s="107" t="e">
        <f>VLOOKUP($A80,'S46'!$C:$BQ,22,0)</f>
        <v>#N/A</v>
      </c>
      <c r="X80" s="115" t="e">
        <f>VLOOKUP($A80,'S46'!$C:$BQ,29,0)</f>
        <v>#N/A</v>
      </c>
      <c r="Y80" s="115" t="e">
        <f>VLOOKUP($A80,'S46'!$C:$BQ,30,0)</f>
        <v>#N/A</v>
      </c>
      <c r="Z80" s="115" t="e">
        <f>VLOOKUP($A80,'S46'!$C:$BQ,52,0)</f>
        <v>#N/A</v>
      </c>
      <c r="AA80" s="115" t="e">
        <f>VLOOKUP($A80,'S46'!$C:$BQ,59,0)</f>
        <v>#N/A</v>
      </c>
      <c r="AB80" s="115" t="e">
        <f>VLOOKUP($A80,'S46'!$C:$BQ,60,0)</f>
        <v>#N/A</v>
      </c>
      <c r="AC80" s="107" t="e">
        <f>VLOOKUP($A80,'S47'!$C:$BQ,32,0)</f>
        <v>#N/A</v>
      </c>
      <c r="AD80" s="107" t="e">
        <f>VLOOKUP($A80,'S47'!$C:$BQ,39,0)</f>
        <v>#N/A</v>
      </c>
      <c r="AE80" s="107" t="e">
        <f>VLOOKUP($A80,'S47'!$C:$BQ,40,0)</f>
        <v>#N/A</v>
      </c>
      <c r="AF80" s="107" t="e">
        <f>VLOOKUP($A80,'S47'!$C:$BQ,22,0)</f>
        <v>#N/A</v>
      </c>
      <c r="AG80" s="115" t="e">
        <f>VLOOKUP($A80,'S47'!$C:$BQ,29,0)</f>
        <v>#N/A</v>
      </c>
      <c r="AH80" s="115" t="e">
        <f>VLOOKUP($A80,'S47'!$C:$BQ,30,0)</f>
        <v>#N/A</v>
      </c>
      <c r="AI80" s="115" t="e">
        <f>VLOOKUP($A80,'S47'!$C:$BQ,52,0)</f>
        <v>#N/A</v>
      </c>
      <c r="AJ80" s="115" t="e">
        <f>VLOOKUP($A80,'S47'!$C:$BQ,59,0)</f>
        <v>#N/A</v>
      </c>
      <c r="AK80" s="115" t="e">
        <f>VLOOKUP($A80,'S47'!$C:$BQ,60,0)</f>
        <v>#N/A</v>
      </c>
      <c r="AL80" s="107" t="e">
        <f>VLOOKUP($A80,'S48'!$C:$BQ,32,0)</f>
        <v>#N/A</v>
      </c>
      <c r="AM80" s="107" t="e">
        <f>VLOOKUP($A80,'S48'!$C:$BQ,39,0)</f>
        <v>#N/A</v>
      </c>
      <c r="AN80" s="107" t="e">
        <f>VLOOKUP($A80,'S48'!$C:$BQ,40,0)</f>
        <v>#N/A</v>
      </c>
      <c r="AO80" s="107" t="e">
        <f>VLOOKUP($A80,'S48'!$C:$BQ,22,0)</f>
        <v>#N/A</v>
      </c>
      <c r="AP80" s="115" t="e">
        <f>VLOOKUP($A80,'S48'!$C:$BQ,29,0)</f>
        <v>#N/A</v>
      </c>
      <c r="AQ80" s="115" t="e">
        <f>VLOOKUP($A80,'S48'!$C:$BQ,30,0)</f>
        <v>#N/A</v>
      </c>
      <c r="AR80" s="115" t="e">
        <f>VLOOKUP($A80,'S48'!$C:$BQ,52,0)</f>
        <v>#N/A</v>
      </c>
      <c r="AS80" s="115" t="e">
        <f>VLOOKUP($A80,'S48'!$C:$BQ,59,0)</f>
        <v>#N/A</v>
      </c>
      <c r="AT80" s="115" t="e">
        <f>VLOOKUP($A80,'S48'!$C:$BQ,60,0)</f>
        <v>#N/A</v>
      </c>
      <c r="AU80" s="107" t="e">
        <f>VLOOKUP($A80,'S49'!$C:$BQ,32,0)</f>
        <v>#N/A</v>
      </c>
      <c r="AV80" s="107" t="e">
        <f>VLOOKUP($A80,'S49'!$C:$BQ,39,0)</f>
        <v>#N/A</v>
      </c>
      <c r="AW80" s="107" t="e">
        <f>VLOOKUP($A80,'S49'!$C:$BQ,40,0)</f>
        <v>#N/A</v>
      </c>
      <c r="AX80" s="107" t="e">
        <f>VLOOKUP($A80,'S49'!$C:$BQ,22,0)</f>
        <v>#N/A</v>
      </c>
      <c r="AY80" s="115" t="e">
        <f>VLOOKUP($A80,'S49'!$C:$BQ,29,0)</f>
        <v>#N/A</v>
      </c>
      <c r="AZ80" s="115" t="e">
        <f>VLOOKUP($A80,'S49'!$C:$BQ,30,0)</f>
        <v>#N/A</v>
      </c>
      <c r="BA80" s="115" t="e">
        <f>VLOOKUP($A80,'S49'!$C:$BQ,52,0)</f>
        <v>#N/A</v>
      </c>
      <c r="BB80" s="115" t="e">
        <f>VLOOKUP($A80,'S49'!$C:$BQ,59,0)</f>
        <v>#N/A</v>
      </c>
      <c r="BC80" s="115" t="e">
        <f>VLOOKUP($A80,'S49'!$C:$BQ,60,0)</f>
        <v>#N/A</v>
      </c>
      <c r="BD80" s="107" t="e">
        <f>VLOOKUP($A80,'S50'!$C:$BQ,32,0)</f>
        <v>#N/A</v>
      </c>
      <c r="BE80" s="107" t="e">
        <f>VLOOKUP($A80,'S50'!$C:$BQ,39,0)</f>
        <v>#N/A</v>
      </c>
      <c r="BF80" s="107" t="e">
        <f>VLOOKUP($A80,'S50'!$C:$BQ,40,0)</f>
        <v>#N/A</v>
      </c>
      <c r="BG80" s="107" t="e">
        <f>VLOOKUP($A80,'S50'!$C:$BQ,22,0)</f>
        <v>#N/A</v>
      </c>
      <c r="BH80" s="115" t="e">
        <f>VLOOKUP($A80,'S50'!$C:$BQ,29,0)</f>
        <v>#N/A</v>
      </c>
      <c r="BI80" s="115" t="e">
        <f>VLOOKUP($A80,'S50'!$C:$BQ,30,0)</f>
        <v>#N/A</v>
      </c>
      <c r="BJ80" s="115" t="e">
        <f>VLOOKUP($A80,'S50'!$C:$BQ,52,0)</f>
        <v>#N/A</v>
      </c>
      <c r="BK80" s="115" t="e">
        <f>VLOOKUP($A80,'S50'!$C:$BQ,59,0)</f>
        <v>#N/A</v>
      </c>
      <c r="BL80" s="115" t="e">
        <f>VLOOKUP($A80,'S50'!$C:$BQ,60,0)</f>
        <v>#N/A</v>
      </c>
    </row>
    <row r="81" spans="1:64" x14ac:dyDescent="0.2">
      <c r="A81" s="106" t="s">
        <v>139</v>
      </c>
      <c r="B81" s="107">
        <f>VLOOKUP($A81,'S0 remplacer avec S44'!$C:$BQ,32,0)</f>
        <v>62.05</v>
      </c>
      <c r="C81" s="107">
        <f>VLOOKUP($A81,'S0 remplacer avec S44'!$C:$BQ,39,0)</f>
        <v>144</v>
      </c>
      <c r="D81" s="107">
        <f>VLOOKUP($A81,'S0 remplacer avec S44'!$C:$BQ,40,0)</f>
        <v>185</v>
      </c>
      <c r="E81" s="107">
        <f>VLOOKUP($A81,'S0 remplacer avec S44'!$C:$BQ,22,0)</f>
        <v>1255.3790899999999</v>
      </c>
      <c r="F81" s="115">
        <f>VLOOKUP($A81,'S0 remplacer avec S44'!$C:$BQ,29,0)</f>
        <v>612</v>
      </c>
      <c r="G81" s="115">
        <f>VLOOKUP($A81,'S0 remplacer avec S44'!$C:$BQ,30,0)</f>
        <v>986</v>
      </c>
      <c r="H81" s="115">
        <f>VLOOKUP($A81,'S0 remplacer avec S44'!$C:$BQ,52,0)</f>
        <v>79.2</v>
      </c>
      <c r="I81" s="115">
        <f>VLOOKUP($A81,'S0 remplacer avec S44'!$C:$BQ,59,0)</f>
        <v>26</v>
      </c>
      <c r="J81" s="115">
        <f>VLOOKUP($A81,'S0 remplacer avec S44'!$C:$BQ,60,0)</f>
        <v>46</v>
      </c>
      <c r="K81" s="107" t="e">
        <f>VLOOKUP($A81,'S45'!$C:$BQ,32,0)</f>
        <v>#N/A</v>
      </c>
      <c r="L81" s="107" t="e">
        <f>VLOOKUP($A81,'S45'!$C:$BQ,39,0)</f>
        <v>#N/A</v>
      </c>
      <c r="M81" s="107" t="e">
        <f>VLOOKUP($A81,'S45'!$C:$BQ,40,0)</f>
        <v>#N/A</v>
      </c>
      <c r="N81" s="107" t="e">
        <f>VLOOKUP($A81,'S45'!$C:$BQ,22,0)</f>
        <v>#N/A</v>
      </c>
      <c r="O81" s="115" t="e">
        <f>VLOOKUP($A81,'S45'!$C:$BQ,29,0)</f>
        <v>#N/A</v>
      </c>
      <c r="P81" s="115" t="e">
        <f>VLOOKUP($A81,'S45'!$C:$BQ,30,0)</f>
        <v>#N/A</v>
      </c>
      <c r="Q81" s="115" t="e">
        <f>VLOOKUP($A81,'S45'!$C:$BQ,52,0)</f>
        <v>#N/A</v>
      </c>
      <c r="R81" s="115" t="e">
        <f>VLOOKUP($A81,'S45'!$C:$BQ,59,0)</f>
        <v>#N/A</v>
      </c>
      <c r="S81" s="115" t="e">
        <f>VLOOKUP($A81,'S45'!$C:$BQ,60,0)</f>
        <v>#N/A</v>
      </c>
      <c r="T81" s="107" t="e">
        <f>VLOOKUP($A81,'S46'!$C:$BQ,32,0)</f>
        <v>#N/A</v>
      </c>
      <c r="U81" s="107" t="e">
        <f>VLOOKUP($A81,'S46'!$C:$BQ,39,0)</f>
        <v>#N/A</v>
      </c>
      <c r="V81" s="107" t="e">
        <f>VLOOKUP($A81,'S46'!$C:$BQ,40,0)</f>
        <v>#N/A</v>
      </c>
      <c r="W81" s="107" t="e">
        <f>VLOOKUP($A81,'S46'!$C:$BQ,22,0)</f>
        <v>#N/A</v>
      </c>
      <c r="X81" s="115" t="e">
        <f>VLOOKUP($A81,'S46'!$C:$BQ,29,0)</f>
        <v>#N/A</v>
      </c>
      <c r="Y81" s="115" t="e">
        <f>VLOOKUP($A81,'S46'!$C:$BQ,30,0)</f>
        <v>#N/A</v>
      </c>
      <c r="Z81" s="115" t="e">
        <f>VLOOKUP($A81,'S46'!$C:$BQ,52,0)</f>
        <v>#N/A</v>
      </c>
      <c r="AA81" s="115" t="e">
        <f>VLOOKUP($A81,'S46'!$C:$BQ,59,0)</f>
        <v>#N/A</v>
      </c>
      <c r="AB81" s="115" t="e">
        <f>VLOOKUP($A81,'S46'!$C:$BQ,60,0)</f>
        <v>#N/A</v>
      </c>
      <c r="AC81" s="107" t="e">
        <f>VLOOKUP($A81,'S47'!$C:$BQ,32,0)</f>
        <v>#N/A</v>
      </c>
      <c r="AD81" s="107" t="e">
        <f>VLOOKUP($A81,'S47'!$C:$BQ,39,0)</f>
        <v>#N/A</v>
      </c>
      <c r="AE81" s="107" t="e">
        <f>VLOOKUP($A81,'S47'!$C:$BQ,40,0)</f>
        <v>#N/A</v>
      </c>
      <c r="AF81" s="107" t="e">
        <f>VLOOKUP($A81,'S47'!$C:$BQ,22,0)</f>
        <v>#N/A</v>
      </c>
      <c r="AG81" s="115" t="e">
        <f>VLOOKUP($A81,'S47'!$C:$BQ,29,0)</f>
        <v>#N/A</v>
      </c>
      <c r="AH81" s="115" t="e">
        <f>VLOOKUP($A81,'S47'!$C:$BQ,30,0)</f>
        <v>#N/A</v>
      </c>
      <c r="AI81" s="115" t="e">
        <f>VLOOKUP($A81,'S47'!$C:$BQ,52,0)</f>
        <v>#N/A</v>
      </c>
      <c r="AJ81" s="115" t="e">
        <f>VLOOKUP($A81,'S47'!$C:$BQ,59,0)</f>
        <v>#N/A</v>
      </c>
      <c r="AK81" s="115" t="e">
        <f>VLOOKUP($A81,'S47'!$C:$BQ,60,0)</f>
        <v>#N/A</v>
      </c>
      <c r="AL81" s="107" t="e">
        <f>VLOOKUP($A81,'S48'!$C:$BQ,32,0)</f>
        <v>#N/A</v>
      </c>
      <c r="AM81" s="107" t="e">
        <f>VLOOKUP($A81,'S48'!$C:$BQ,39,0)</f>
        <v>#N/A</v>
      </c>
      <c r="AN81" s="107" t="e">
        <f>VLOOKUP($A81,'S48'!$C:$BQ,40,0)</f>
        <v>#N/A</v>
      </c>
      <c r="AO81" s="107" t="e">
        <f>VLOOKUP($A81,'S48'!$C:$BQ,22,0)</f>
        <v>#N/A</v>
      </c>
      <c r="AP81" s="115" t="e">
        <f>VLOOKUP($A81,'S48'!$C:$BQ,29,0)</f>
        <v>#N/A</v>
      </c>
      <c r="AQ81" s="115" t="e">
        <f>VLOOKUP($A81,'S48'!$C:$BQ,30,0)</f>
        <v>#N/A</v>
      </c>
      <c r="AR81" s="115" t="e">
        <f>VLOOKUP($A81,'S48'!$C:$BQ,52,0)</f>
        <v>#N/A</v>
      </c>
      <c r="AS81" s="115" t="e">
        <f>VLOOKUP($A81,'S48'!$C:$BQ,59,0)</f>
        <v>#N/A</v>
      </c>
      <c r="AT81" s="115" t="e">
        <f>VLOOKUP($A81,'S48'!$C:$BQ,60,0)</f>
        <v>#N/A</v>
      </c>
      <c r="AU81" s="107" t="e">
        <f>VLOOKUP($A81,'S49'!$C:$BQ,32,0)</f>
        <v>#N/A</v>
      </c>
      <c r="AV81" s="107" t="e">
        <f>VLOOKUP($A81,'S49'!$C:$BQ,39,0)</f>
        <v>#N/A</v>
      </c>
      <c r="AW81" s="107" t="e">
        <f>VLOOKUP($A81,'S49'!$C:$BQ,40,0)</f>
        <v>#N/A</v>
      </c>
      <c r="AX81" s="107" t="e">
        <f>VLOOKUP($A81,'S49'!$C:$BQ,22,0)</f>
        <v>#N/A</v>
      </c>
      <c r="AY81" s="115" t="e">
        <f>VLOOKUP($A81,'S49'!$C:$BQ,29,0)</f>
        <v>#N/A</v>
      </c>
      <c r="AZ81" s="115" t="e">
        <f>VLOOKUP($A81,'S49'!$C:$BQ,30,0)</f>
        <v>#N/A</v>
      </c>
      <c r="BA81" s="115" t="e">
        <f>VLOOKUP($A81,'S49'!$C:$BQ,52,0)</f>
        <v>#N/A</v>
      </c>
      <c r="BB81" s="115" t="e">
        <f>VLOOKUP($A81,'S49'!$C:$BQ,59,0)</f>
        <v>#N/A</v>
      </c>
      <c r="BC81" s="115" t="e">
        <f>VLOOKUP($A81,'S49'!$C:$BQ,60,0)</f>
        <v>#N/A</v>
      </c>
      <c r="BD81" s="107" t="e">
        <f>VLOOKUP($A81,'S50'!$C:$BQ,32,0)</f>
        <v>#N/A</v>
      </c>
      <c r="BE81" s="107" t="e">
        <f>VLOOKUP($A81,'S50'!$C:$BQ,39,0)</f>
        <v>#N/A</v>
      </c>
      <c r="BF81" s="107" t="e">
        <f>VLOOKUP($A81,'S50'!$C:$BQ,40,0)</f>
        <v>#N/A</v>
      </c>
      <c r="BG81" s="107" t="e">
        <f>VLOOKUP($A81,'S50'!$C:$BQ,22,0)</f>
        <v>#N/A</v>
      </c>
      <c r="BH81" s="115" t="e">
        <f>VLOOKUP($A81,'S50'!$C:$BQ,29,0)</f>
        <v>#N/A</v>
      </c>
      <c r="BI81" s="115" t="e">
        <f>VLOOKUP($A81,'S50'!$C:$BQ,30,0)</f>
        <v>#N/A</v>
      </c>
      <c r="BJ81" s="115" t="e">
        <f>VLOOKUP($A81,'S50'!$C:$BQ,52,0)</f>
        <v>#N/A</v>
      </c>
      <c r="BK81" s="115" t="e">
        <f>VLOOKUP($A81,'S50'!$C:$BQ,59,0)</f>
        <v>#N/A</v>
      </c>
      <c r="BL81" s="115" t="e">
        <f>VLOOKUP($A81,'S50'!$C:$BQ,60,0)</f>
        <v>#N/A</v>
      </c>
    </row>
    <row r="82" spans="1:64" x14ac:dyDescent="0.2">
      <c r="A82" s="106" t="s">
        <v>142</v>
      </c>
      <c r="B82" s="107">
        <f>VLOOKUP($A82,'S0 remplacer avec S44'!$C:$BQ,32,0)</f>
        <v>157.9</v>
      </c>
      <c r="C82" s="107">
        <f>VLOOKUP($A82,'S0 remplacer avec S44'!$C:$BQ,39,0)</f>
        <v>77</v>
      </c>
      <c r="D82" s="107">
        <f>VLOOKUP($A82,'S0 remplacer avec S44'!$C:$BQ,40,0)</f>
        <v>124</v>
      </c>
      <c r="E82" s="107">
        <f>VLOOKUP($A82,'S0 remplacer avec S44'!$C:$BQ,22,0)</f>
        <v>2181.989615</v>
      </c>
      <c r="F82" s="115">
        <f>VLOOKUP($A82,'S0 remplacer avec S44'!$C:$BQ,29,0)</f>
        <v>0</v>
      </c>
      <c r="G82" s="115">
        <f>VLOOKUP($A82,'S0 remplacer avec S44'!$C:$BQ,30,0)</f>
        <v>376</v>
      </c>
      <c r="H82" s="115">
        <f>VLOOKUP($A82,'S0 remplacer avec S44'!$C:$BQ,52,0)</f>
        <v>104.4</v>
      </c>
      <c r="I82" s="115">
        <f>VLOOKUP($A82,'S0 remplacer avec S44'!$C:$BQ,59,0)</f>
        <v>15</v>
      </c>
      <c r="J82" s="115">
        <f>VLOOKUP($A82,'S0 remplacer avec S44'!$C:$BQ,60,0)</f>
        <v>39</v>
      </c>
      <c r="K82" s="107" t="e">
        <f>VLOOKUP($A82,'S45'!$C:$BQ,32,0)</f>
        <v>#N/A</v>
      </c>
      <c r="L82" s="107" t="e">
        <f>VLOOKUP($A82,'S45'!$C:$BQ,39,0)</f>
        <v>#N/A</v>
      </c>
      <c r="M82" s="107" t="e">
        <f>VLOOKUP($A82,'S45'!$C:$BQ,40,0)</f>
        <v>#N/A</v>
      </c>
      <c r="N82" s="107" t="e">
        <f>VLOOKUP($A82,'S45'!$C:$BQ,22,0)</f>
        <v>#N/A</v>
      </c>
      <c r="O82" s="115" t="e">
        <f>VLOOKUP($A82,'S45'!$C:$BQ,29,0)</f>
        <v>#N/A</v>
      </c>
      <c r="P82" s="115" t="e">
        <f>VLOOKUP($A82,'S45'!$C:$BQ,30,0)</f>
        <v>#N/A</v>
      </c>
      <c r="Q82" s="115" t="e">
        <f>VLOOKUP($A82,'S45'!$C:$BQ,52,0)</f>
        <v>#N/A</v>
      </c>
      <c r="R82" s="115" t="e">
        <f>VLOOKUP($A82,'S45'!$C:$BQ,59,0)</f>
        <v>#N/A</v>
      </c>
      <c r="S82" s="115" t="e">
        <f>VLOOKUP($A82,'S45'!$C:$BQ,60,0)</f>
        <v>#N/A</v>
      </c>
      <c r="T82" s="107" t="e">
        <f>VLOOKUP($A82,'S46'!$C:$BQ,32,0)</f>
        <v>#N/A</v>
      </c>
      <c r="U82" s="107" t="e">
        <f>VLOOKUP($A82,'S46'!$C:$BQ,39,0)</f>
        <v>#N/A</v>
      </c>
      <c r="V82" s="107" t="e">
        <f>VLOOKUP($A82,'S46'!$C:$BQ,40,0)</f>
        <v>#N/A</v>
      </c>
      <c r="W82" s="107" t="e">
        <f>VLOOKUP($A82,'S46'!$C:$BQ,22,0)</f>
        <v>#N/A</v>
      </c>
      <c r="X82" s="115" t="e">
        <f>VLOOKUP($A82,'S46'!$C:$BQ,29,0)</f>
        <v>#N/A</v>
      </c>
      <c r="Y82" s="115" t="e">
        <f>VLOOKUP($A82,'S46'!$C:$BQ,30,0)</f>
        <v>#N/A</v>
      </c>
      <c r="Z82" s="115" t="e">
        <f>VLOOKUP($A82,'S46'!$C:$BQ,52,0)</f>
        <v>#N/A</v>
      </c>
      <c r="AA82" s="115" t="e">
        <f>VLOOKUP($A82,'S46'!$C:$BQ,59,0)</f>
        <v>#N/A</v>
      </c>
      <c r="AB82" s="115" t="e">
        <f>VLOOKUP($A82,'S46'!$C:$BQ,60,0)</f>
        <v>#N/A</v>
      </c>
      <c r="AC82" s="107" t="e">
        <f>VLOOKUP($A82,'S47'!$C:$BQ,32,0)</f>
        <v>#N/A</v>
      </c>
      <c r="AD82" s="107" t="e">
        <f>VLOOKUP($A82,'S47'!$C:$BQ,39,0)</f>
        <v>#N/A</v>
      </c>
      <c r="AE82" s="107" t="e">
        <f>VLOOKUP($A82,'S47'!$C:$BQ,40,0)</f>
        <v>#N/A</v>
      </c>
      <c r="AF82" s="107" t="e">
        <f>VLOOKUP($A82,'S47'!$C:$BQ,22,0)</f>
        <v>#N/A</v>
      </c>
      <c r="AG82" s="115" t="e">
        <f>VLOOKUP($A82,'S47'!$C:$BQ,29,0)</f>
        <v>#N/A</v>
      </c>
      <c r="AH82" s="115" t="e">
        <f>VLOOKUP($A82,'S47'!$C:$BQ,30,0)</f>
        <v>#N/A</v>
      </c>
      <c r="AI82" s="115" t="e">
        <f>VLOOKUP($A82,'S47'!$C:$BQ,52,0)</f>
        <v>#N/A</v>
      </c>
      <c r="AJ82" s="115" t="e">
        <f>VLOOKUP($A82,'S47'!$C:$BQ,59,0)</f>
        <v>#N/A</v>
      </c>
      <c r="AK82" s="115" t="e">
        <f>VLOOKUP($A82,'S47'!$C:$BQ,60,0)</f>
        <v>#N/A</v>
      </c>
      <c r="AL82" s="107" t="e">
        <f>VLOOKUP($A82,'S48'!$C:$BQ,32,0)</f>
        <v>#N/A</v>
      </c>
      <c r="AM82" s="107" t="e">
        <f>VLOOKUP($A82,'S48'!$C:$BQ,39,0)</f>
        <v>#N/A</v>
      </c>
      <c r="AN82" s="107" t="e">
        <f>VLOOKUP($A82,'S48'!$C:$BQ,40,0)</f>
        <v>#N/A</v>
      </c>
      <c r="AO82" s="107" t="e">
        <f>VLOOKUP($A82,'S48'!$C:$BQ,22,0)</f>
        <v>#N/A</v>
      </c>
      <c r="AP82" s="115" t="e">
        <f>VLOOKUP($A82,'S48'!$C:$BQ,29,0)</f>
        <v>#N/A</v>
      </c>
      <c r="AQ82" s="115" t="e">
        <f>VLOOKUP($A82,'S48'!$C:$BQ,30,0)</f>
        <v>#N/A</v>
      </c>
      <c r="AR82" s="115" t="e">
        <f>VLOOKUP($A82,'S48'!$C:$BQ,52,0)</f>
        <v>#N/A</v>
      </c>
      <c r="AS82" s="115" t="e">
        <f>VLOOKUP($A82,'S48'!$C:$BQ,59,0)</f>
        <v>#N/A</v>
      </c>
      <c r="AT82" s="115" t="e">
        <f>VLOOKUP($A82,'S48'!$C:$BQ,60,0)</f>
        <v>#N/A</v>
      </c>
      <c r="AU82" s="107" t="e">
        <f>VLOOKUP($A82,'S49'!$C:$BQ,32,0)</f>
        <v>#N/A</v>
      </c>
      <c r="AV82" s="107" t="e">
        <f>VLOOKUP($A82,'S49'!$C:$BQ,39,0)</f>
        <v>#N/A</v>
      </c>
      <c r="AW82" s="107" t="e">
        <f>VLOOKUP($A82,'S49'!$C:$BQ,40,0)</f>
        <v>#N/A</v>
      </c>
      <c r="AX82" s="107" t="e">
        <f>VLOOKUP($A82,'S49'!$C:$BQ,22,0)</f>
        <v>#N/A</v>
      </c>
      <c r="AY82" s="115" t="e">
        <f>VLOOKUP($A82,'S49'!$C:$BQ,29,0)</f>
        <v>#N/A</v>
      </c>
      <c r="AZ82" s="115" t="e">
        <f>VLOOKUP($A82,'S49'!$C:$BQ,30,0)</f>
        <v>#N/A</v>
      </c>
      <c r="BA82" s="115" t="e">
        <f>VLOOKUP($A82,'S49'!$C:$BQ,52,0)</f>
        <v>#N/A</v>
      </c>
      <c r="BB82" s="115" t="e">
        <f>VLOOKUP($A82,'S49'!$C:$BQ,59,0)</f>
        <v>#N/A</v>
      </c>
      <c r="BC82" s="115" t="e">
        <f>VLOOKUP($A82,'S49'!$C:$BQ,60,0)</f>
        <v>#N/A</v>
      </c>
      <c r="BD82" s="107" t="e">
        <f>VLOOKUP($A82,'S50'!$C:$BQ,32,0)</f>
        <v>#N/A</v>
      </c>
      <c r="BE82" s="107" t="e">
        <f>VLOOKUP($A82,'S50'!$C:$BQ,39,0)</f>
        <v>#N/A</v>
      </c>
      <c r="BF82" s="107" t="e">
        <f>VLOOKUP($A82,'S50'!$C:$BQ,40,0)</f>
        <v>#N/A</v>
      </c>
      <c r="BG82" s="107" t="e">
        <f>VLOOKUP($A82,'S50'!$C:$BQ,22,0)</f>
        <v>#N/A</v>
      </c>
      <c r="BH82" s="115" t="e">
        <f>VLOOKUP($A82,'S50'!$C:$BQ,29,0)</f>
        <v>#N/A</v>
      </c>
      <c r="BI82" s="115" t="e">
        <f>VLOOKUP($A82,'S50'!$C:$BQ,30,0)</f>
        <v>#N/A</v>
      </c>
      <c r="BJ82" s="115" t="e">
        <f>VLOOKUP($A82,'S50'!$C:$BQ,52,0)</f>
        <v>#N/A</v>
      </c>
      <c r="BK82" s="115" t="e">
        <f>VLOOKUP($A82,'S50'!$C:$BQ,59,0)</f>
        <v>#N/A</v>
      </c>
      <c r="BL82" s="115" t="e">
        <f>VLOOKUP($A82,'S50'!$C:$BQ,60,0)</f>
        <v>#N/A</v>
      </c>
    </row>
    <row r="83" spans="1:64" x14ac:dyDescent="0.2">
      <c r="A83" s="106" t="s">
        <v>143</v>
      </c>
      <c r="B83" s="107">
        <f>VLOOKUP($A83,'S0 remplacer avec S44'!$C:$BQ,32,0)</f>
        <v>290.39999999999998</v>
      </c>
      <c r="C83" s="107">
        <f>VLOOKUP($A83,'S0 remplacer avec S44'!$C:$BQ,39,0)</f>
        <v>218</v>
      </c>
      <c r="D83" s="107">
        <f>VLOOKUP($A83,'S0 remplacer avec S44'!$C:$BQ,40,0)</f>
        <v>320</v>
      </c>
      <c r="E83" s="107">
        <f>VLOOKUP($A83,'S0 remplacer avec S44'!$C:$BQ,22,0)</f>
        <v>2678.2145599999999</v>
      </c>
      <c r="F83" s="115">
        <f>VLOOKUP($A83,'S0 remplacer avec S44'!$C:$BQ,29,0)</f>
        <v>1941</v>
      </c>
      <c r="G83" s="115">
        <f>VLOOKUP($A83,'S0 remplacer avec S44'!$C:$BQ,30,0)</f>
        <v>2865</v>
      </c>
      <c r="H83" s="115">
        <f>VLOOKUP($A83,'S0 remplacer avec S44'!$C:$BQ,52,0)</f>
        <v>283.39999999999998</v>
      </c>
      <c r="I83" s="115">
        <f>VLOOKUP($A83,'S0 remplacer avec S44'!$C:$BQ,59,0)</f>
        <v>0</v>
      </c>
      <c r="J83" s="115">
        <f>VLOOKUP($A83,'S0 remplacer avec S44'!$C:$BQ,60,0)</f>
        <v>27</v>
      </c>
      <c r="K83" s="107" t="e">
        <f>VLOOKUP($A83,'S45'!$C:$BQ,32,0)</f>
        <v>#N/A</v>
      </c>
      <c r="L83" s="107" t="e">
        <f>VLOOKUP($A83,'S45'!$C:$BQ,39,0)</f>
        <v>#N/A</v>
      </c>
      <c r="M83" s="107" t="e">
        <f>VLOOKUP($A83,'S45'!$C:$BQ,40,0)</f>
        <v>#N/A</v>
      </c>
      <c r="N83" s="107" t="e">
        <f>VLOOKUP($A83,'S45'!$C:$BQ,22,0)</f>
        <v>#N/A</v>
      </c>
      <c r="O83" s="115" t="e">
        <f>VLOOKUP($A83,'S45'!$C:$BQ,29,0)</f>
        <v>#N/A</v>
      </c>
      <c r="P83" s="115" t="e">
        <f>VLOOKUP($A83,'S45'!$C:$BQ,30,0)</f>
        <v>#N/A</v>
      </c>
      <c r="Q83" s="115" t="e">
        <f>VLOOKUP($A83,'S45'!$C:$BQ,52,0)</f>
        <v>#N/A</v>
      </c>
      <c r="R83" s="115" t="e">
        <f>VLOOKUP($A83,'S45'!$C:$BQ,59,0)</f>
        <v>#N/A</v>
      </c>
      <c r="S83" s="115" t="e">
        <f>VLOOKUP($A83,'S45'!$C:$BQ,60,0)</f>
        <v>#N/A</v>
      </c>
      <c r="T83" s="107" t="e">
        <f>VLOOKUP($A83,'S46'!$C:$BQ,32,0)</f>
        <v>#N/A</v>
      </c>
      <c r="U83" s="107" t="e">
        <f>VLOOKUP($A83,'S46'!$C:$BQ,39,0)</f>
        <v>#N/A</v>
      </c>
      <c r="V83" s="107" t="e">
        <f>VLOOKUP($A83,'S46'!$C:$BQ,40,0)</f>
        <v>#N/A</v>
      </c>
      <c r="W83" s="107" t="e">
        <f>VLOOKUP($A83,'S46'!$C:$BQ,22,0)</f>
        <v>#N/A</v>
      </c>
      <c r="X83" s="115" t="e">
        <f>VLOOKUP($A83,'S46'!$C:$BQ,29,0)</f>
        <v>#N/A</v>
      </c>
      <c r="Y83" s="115" t="e">
        <f>VLOOKUP($A83,'S46'!$C:$BQ,30,0)</f>
        <v>#N/A</v>
      </c>
      <c r="Z83" s="115" t="e">
        <f>VLOOKUP($A83,'S46'!$C:$BQ,52,0)</f>
        <v>#N/A</v>
      </c>
      <c r="AA83" s="115" t="e">
        <f>VLOOKUP($A83,'S46'!$C:$BQ,59,0)</f>
        <v>#N/A</v>
      </c>
      <c r="AB83" s="115" t="e">
        <f>VLOOKUP($A83,'S46'!$C:$BQ,60,0)</f>
        <v>#N/A</v>
      </c>
      <c r="AC83" s="107" t="e">
        <f>VLOOKUP($A83,'S47'!$C:$BQ,32,0)</f>
        <v>#N/A</v>
      </c>
      <c r="AD83" s="107" t="e">
        <f>VLOOKUP($A83,'S47'!$C:$BQ,39,0)</f>
        <v>#N/A</v>
      </c>
      <c r="AE83" s="107" t="e">
        <f>VLOOKUP($A83,'S47'!$C:$BQ,40,0)</f>
        <v>#N/A</v>
      </c>
      <c r="AF83" s="107" t="e">
        <f>VLOOKUP($A83,'S47'!$C:$BQ,22,0)</f>
        <v>#N/A</v>
      </c>
      <c r="AG83" s="115" t="e">
        <f>VLOOKUP($A83,'S47'!$C:$BQ,29,0)</f>
        <v>#N/A</v>
      </c>
      <c r="AH83" s="115" t="e">
        <f>VLOOKUP($A83,'S47'!$C:$BQ,30,0)</f>
        <v>#N/A</v>
      </c>
      <c r="AI83" s="115" t="e">
        <f>VLOOKUP($A83,'S47'!$C:$BQ,52,0)</f>
        <v>#N/A</v>
      </c>
      <c r="AJ83" s="115" t="e">
        <f>VLOOKUP($A83,'S47'!$C:$BQ,59,0)</f>
        <v>#N/A</v>
      </c>
      <c r="AK83" s="115" t="e">
        <f>VLOOKUP($A83,'S47'!$C:$BQ,60,0)</f>
        <v>#N/A</v>
      </c>
      <c r="AL83" s="107" t="e">
        <f>VLOOKUP($A83,'S48'!$C:$BQ,32,0)</f>
        <v>#N/A</v>
      </c>
      <c r="AM83" s="107" t="e">
        <f>VLOOKUP($A83,'S48'!$C:$BQ,39,0)</f>
        <v>#N/A</v>
      </c>
      <c r="AN83" s="107" t="e">
        <f>VLOOKUP($A83,'S48'!$C:$BQ,40,0)</f>
        <v>#N/A</v>
      </c>
      <c r="AO83" s="107" t="e">
        <f>VLOOKUP($A83,'S48'!$C:$BQ,22,0)</f>
        <v>#N/A</v>
      </c>
      <c r="AP83" s="115" t="e">
        <f>VLOOKUP($A83,'S48'!$C:$BQ,29,0)</f>
        <v>#N/A</v>
      </c>
      <c r="AQ83" s="115" t="e">
        <f>VLOOKUP($A83,'S48'!$C:$BQ,30,0)</f>
        <v>#N/A</v>
      </c>
      <c r="AR83" s="115" t="e">
        <f>VLOOKUP($A83,'S48'!$C:$BQ,52,0)</f>
        <v>#N/A</v>
      </c>
      <c r="AS83" s="115" t="e">
        <f>VLOOKUP($A83,'S48'!$C:$BQ,59,0)</f>
        <v>#N/A</v>
      </c>
      <c r="AT83" s="115" t="e">
        <f>VLOOKUP($A83,'S48'!$C:$BQ,60,0)</f>
        <v>#N/A</v>
      </c>
      <c r="AU83" s="107" t="e">
        <f>VLOOKUP($A83,'S49'!$C:$BQ,32,0)</f>
        <v>#N/A</v>
      </c>
      <c r="AV83" s="107" t="e">
        <f>VLOOKUP($A83,'S49'!$C:$BQ,39,0)</f>
        <v>#N/A</v>
      </c>
      <c r="AW83" s="107" t="e">
        <f>VLOOKUP($A83,'S49'!$C:$BQ,40,0)</f>
        <v>#N/A</v>
      </c>
      <c r="AX83" s="107" t="e">
        <f>VLOOKUP($A83,'S49'!$C:$BQ,22,0)</f>
        <v>#N/A</v>
      </c>
      <c r="AY83" s="115" t="e">
        <f>VLOOKUP($A83,'S49'!$C:$BQ,29,0)</f>
        <v>#N/A</v>
      </c>
      <c r="AZ83" s="115" t="e">
        <f>VLOOKUP($A83,'S49'!$C:$BQ,30,0)</f>
        <v>#N/A</v>
      </c>
      <c r="BA83" s="115" t="e">
        <f>VLOOKUP($A83,'S49'!$C:$BQ,52,0)</f>
        <v>#N/A</v>
      </c>
      <c r="BB83" s="115" t="e">
        <f>VLOOKUP($A83,'S49'!$C:$BQ,59,0)</f>
        <v>#N/A</v>
      </c>
      <c r="BC83" s="115" t="e">
        <f>VLOOKUP($A83,'S49'!$C:$BQ,60,0)</f>
        <v>#N/A</v>
      </c>
      <c r="BD83" s="107" t="e">
        <f>VLOOKUP($A83,'S50'!$C:$BQ,32,0)</f>
        <v>#N/A</v>
      </c>
      <c r="BE83" s="107" t="e">
        <f>VLOOKUP($A83,'S50'!$C:$BQ,39,0)</f>
        <v>#N/A</v>
      </c>
      <c r="BF83" s="107" t="e">
        <f>VLOOKUP($A83,'S50'!$C:$BQ,40,0)</f>
        <v>#N/A</v>
      </c>
      <c r="BG83" s="107" t="e">
        <f>VLOOKUP($A83,'S50'!$C:$BQ,22,0)</f>
        <v>#N/A</v>
      </c>
      <c r="BH83" s="115" t="e">
        <f>VLOOKUP($A83,'S50'!$C:$BQ,29,0)</f>
        <v>#N/A</v>
      </c>
      <c r="BI83" s="115" t="e">
        <f>VLOOKUP($A83,'S50'!$C:$BQ,30,0)</f>
        <v>#N/A</v>
      </c>
      <c r="BJ83" s="115" t="e">
        <f>VLOOKUP($A83,'S50'!$C:$BQ,52,0)</f>
        <v>#N/A</v>
      </c>
      <c r="BK83" s="115" t="e">
        <f>VLOOKUP($A83,'S50'!$C:$BQ,59,0)</f>
        <v>#N/A</v>
      </c>
      <c r="BL83" s="115" t="e">
        <f>VLOOKUP($A83,'S50'!$C:$BQ,60,0)</f>
        <v>#N/A</v>
      </c>
    </row>
    <row r="84" spans="1:64" x14ac:dyDescent="0.2">
      <c r="A84" s="106" t="s">
        <v>144</v>
      </c>
      <c r="B84" s="107">
        <f>VLOOKUP($A84,'S0 remplacer avec S44'!$C:$BQ,32,0)</f>
        <v>301.3</v>
      </c>
      <c r="C84" s="107">
        <f>VLOOKUP($A84,'S0 remplacer avec S44'!$C:$BQ,39,0)</f>
        <v>115</v>
      </c>
      <c r="D84" s="107">
        <f>VLOOKUP($A84,'S0 remplacer avec S44'!$C:$BQ,40,0)</f>
        <v>198</v>
      </c>
      <c r="E84" s="107">
        <f>VLOOKUP($A84,'S0 remplacer avec S44'!$C:$BQ,22,0)</f>
        <v>2980.2935299999999</v>
      </c>
      <c r="F84" s="115">
        <f>VLOOKUP($A84,'S0 remplacer avec S44'!$C:$BQ,29,0)</f>
        <v>801</v>
      </c>
      <c r="G84" s="115">
        <f>VLOOKUP($A84,'S0 remplacer avec S44'!$C:$BQ,30,0)</f>
        <v>1557</v>
      </c>
      <c r="H84" s="115">
        <f>VLOOKUP($A84,'S0 remplacer avec S44'!$C:$BQ,52,0)</f>
        <v>244.4</v>
      </c>
      <c r="I84" s="115">
        <f>VLOOKUP($A84,'S0 remplacer avec S44'!$C:$BQ,59,0)</f>
        <v>0</v>
      </c>
      <c r="J84" s="115">
        <f>VLOOKUP($A84,'S0 remplacer avec S44'!$C:$BQ,60,0)</f>
        <v>9</v>
      </c>
      <c r="K84" s="107" t="e">
        <f>VLOOKUP($A84,'S45'!$C:$BQ,32,0)</f>
        <v>#N/A</v>
      </c>
      <c r="L84" s="107" t="e">
        <f>VLOOKUP($A84,'S45'!$C:$BQ,39,0)</f>
        <v>#N/A</v>
      </c>
      <c r="M84" s="107" t="e">
        <f>VLOOKUP($A84,'S45'!$C:$BQ,40,0)</f>
        <v>#N/A</v>
      </c>
      <c r="N84" s="107" t="e">
        <f>VLOOKUP($A84,'S45'!$C:$BQ,22,0)</f>
        <v>#N/A</v>
      </c>
      <c r="O84" s="115" t="e">
        <f>VLOOKUP($A84,'S45'!$C:$BQ,29,0)</f>
        <v>#N/A</v>
      </c>
      <c r="P84" s="115" t="e">
        <f>VLOOKUP($A84,'S45'!$C:$BQ,30,0)</f>
        <v>#N/A</v>
      </c>
      <c r="Q84" s="115" t="e">
        <f>VLOOKUP($A84,'S45'!$C:$BQ,52,0)</f>
        <v>#N/A</v>
      </c>
      <c r="R84" s="115" t="e">
        <f>VLOOKUP($A84,'S45'!$C:$BQ,59,0)</f>
        <v>#N/A</v>
      </c>
      <c r="S84" s="115" t="e">
        <f>VLOOKUP($A84,'S45'!$C:$BQ,60,0)</f>
        <v>#N/A</v>
      </c>
      <c r="T84" s="107" t="e">
        <f>VLOOKUP($A84,'S46'!$C:$BQ,32,0)</f>
        <v>#N/A</v>
      </c>
      <c r="U84" s="107" t="e">
        <f>VLOOKUP($A84,'S46'!$C:$BQ,39,0)</f>
        <v>#N/A</v>
      </c>
      <c r="V84" s="107" t="e">
        <f>VLOOKUP($A84,'S46'!$C:$BQ,40,0)</f>
        <v>#N/A</v>
      </c>
      <c r="W84" s="107" t="e">
        <f>VLOOKUP($A84,'S46'!$C:$BQ,22,0)</f>
        <v>#N/A</v>
      </c>
      <c r="X84" s="115" t="e">
        <f>VLOOKUP($A84,'S46'!$C:$BQ,29,0)</f>
        <v>#N/A</v>
      </c>
      <c r="Y84" s="115" t="e">
        <f>VLOOKUP($A84,'S46'!$C:$BQ,30,0)</f>
        <v>#N/A</v>
      </c>
      <c r="Z84" s="115" t="e">
        <f>VLOOKUP($A84,'S46'!$C:$BQ,52,0)</f>
        <v>#N/A</v>
      </c>
      <c r="AA84" s="115" t="e">
        <f>VLOOKUP($A84,'S46'!$C:$BQ,59,0)</f>
        <v>#N/A</v>
      </c>
      <c r="AB84" s="115" t="e">
        <f>VLOOKUP($A84,'S46'!$C:$BQ,60,0)</f>
        <v>#N/A</v>
      </c>
      <c r="AC84" s="107" t="e">
        <f>VLOOKUP($A84,'S47'!$C:$BQ,32,0)</f>
        <v>#N/A</v>
      </c>
      <c r="AD84" s="107" t="e">
        <f>VLOOKUP($A84,'S47'!$C:$BQ,39,0)</f>
        <v>#N/A</v>
      </c>
      <c r="AE84" s="107" t="e">
        <f>VLOOKUP($A84,'S47'!$C:$BQ,40,0)</f>
        <v>#N/A</v>
      </c>
      <c r="AF84" s="107" t="e">
        <f>VLOOKUP($A84,'S47'!$C:$BQ,22,0)</f>
        <v>#N/A</v>
      </c>
      <c r="AG84" s="115" t="e">
        <f>VLOOKUP($A84,'S47'!$C:$BQ,29,0)</f>
        <v>#N/A</v>
      </c>
      <c r="AH84" s="115" t="e">
        <f>VLOOKUP($A84,'S47'!$C:$BQ,30,0)</f>
        <v>#N/A</v>
      </c>
      <c r="AI84" s="115" t="e">
        <f>VLOOKUP($A84,'S47'!$C:$BQ,52,0)</f>
        <v>#N/A</v>
      </c>
      <c r="AJ84" s="115" t="e">
        <f>VLOOKUP($A84,'S47'!$C:$BQ,59,0)</f>
        <v>#N/A</v>
      </c>
      <c r="AK84" s="115" t="e">
        <f>VLOOKUP($A84,'S47'!$C:$BQ,60,0)</f>
        <v>#N/A</v>
      </c>
      <c r="AL84" s="107" t="e">
        <f>VLOOKUP($A84,'S48'!$C:$BQ,32,0)</f>
        <v>#N/A</v>
      </c>
      <c r="AM84" s="107" t="e">
        <f>VLOOKUP($A84,'S48'!$C:$BQ,39,0)</f>
        <v>#N/A</v>
      </c>
      <c r="AN84" s="107" t="e">
        <f>VLOOKUP($A84,'S48'!$C:$BQ,40,0)</f>
        <v>#N/A</v>
      </c>
      <c r="AO84" s="107" t="e">
        <f>VLOOKUP($A84,'S48'!$C:$BQ,22,0)</f>
        <v>#N/A</v>
      </c>
      <c r="AP84" s="115" t="e">
        <f>VLOOKUP($A84,'S48'!$C:$BQ,29,0)</f>
        <v>#N/A</v>
      </c>
      <c r="AQ84" s="115" t="e">
        <f>VLOOKUP($A84,'S48'!$C:$BQ,30,0)</f>
        <v>#N/A</v>
      </c>
      <c r="AR84" s="115" t="e">
        <f>VLOOKUP($A84,'S48'!$C:$BQ,52,0)</f>
        <v>#N/A</v>
      </c>
      <c r="AS84" s="115" t="e">
        <f>VLOOKUP($A84,'S48'!$C:$BQ,59,0)</f>
        <v>#N/A</v>
      </c>
      <c r="AT84" s="115" t="e">
        <f>VLOOKUP($A84,'S48'!$C:$BQ,60,0)</f>
        <v>#N/A</v>
      </c>
      <c r="AU84" s="107" t="e">
        <f>VLOOKUP($A84,'S49'!$C:$BQ,32,0)</f>
        <v>#N/A</v>
      </c>
      <c r="AV84" s="107" t="e">
        <f>VLOOKUP($A84,'S49'!$C:$BQ,39,0)</f>
        <v>#N/A</v>
      </c>
      <c r="AW84" s="107" t="e">
        <f>VLOOKUP($A84,'S49'!$C:$BQ,40,0)</f>
        <v>#N/A</v>
      </c>
      <c r="AX84" s="107" t="e">
        <f>VLOOKUP($A84,'S49'!$C:$BQ,22,0)</f>
        <v>#N/A</v>
      </c>
      <c r="AY84" s="115" t="e">
        <f>VLOOKUP($A84,'S49'!$C:$BQ,29,0)</f>
        <v>#N/A</v>
      </c>
      <c r="AZ84" s="115" t="e">
        <f>VLOOKUP($A84,'S49'!$C:$BQ,30,0)</f>
        <v>#N/A</v>
      </c>
      <c r="BA84" s="115" t="e">
        <f>VLOOKUP($A84,'S49'!$C:$BQ,52,0)</f>
        <v>#N/A</v>
      </c>
      <c r="BB84" s="115" t="e">
        <f>VLOOKUP($A84,'S49'!$C:$BQ,59,0)</f>
        <v>#N/A</v>
      </c>
      <c r="BC84" s="115" t="e">
        <f>VLOOKUP($A84,'S49'!$C:$BQ,60,0)</f>
        <v>#N/A</v>
      </c>
      <c r="BD84" s="107" t="e">
        <f>VLOOKUP($A84,'S50'!$C:$BQ,32,0)</f>
        <v>#N/A</v>
      </c>
      <c r="BE84" s="107" t="e">
        <f>VLOOKUP($A84,'S50'!$C:$BQ,39,0)</f>
        <v>#N/A</v>
      </c>
      <c r="BF84" s="107" t="e">
        <f>VLOOKUP($A84,'S50'!$C:$BQ,40,0)</f>
        <v>#N/A</v>
      </c>
      <c r="BG84" s="107" t="e">
        <f>VLOOKUP($A84,'S50'!$C:$BQ,22,0)</f>
        <v>#N/A</v>
      </c>
      <c r="BH84" s="115" t="e">
        <f>VLOOKUP($A84,'S50'!$C:$BQ,29,0)</f>
        <v>#N/A</v>
      </c>
      <c r="BI84" s="115" t="e">
        <f>VLOOKUP($A84,'S50'!$C:$BQ,30,0)</f>
        <v>#N/A</v>
      </c>
      <c r="BJ84" s="115" t="e">
        <f>VLOOKUP($A84,'S50'!$C:$BQ,52,0)</f>
        <v>#N/A</v>
      </c>
      <c r="BK84" s="115" t="e">
        <f>VLOOKUP($A84,'S50'!$C:$BQ,59,0)</f>
        <v>#N/A</v>
      </c>
      <c r="BL84" s="115" t="e">
        <f>VLOOKUP($A84,'S50'!$C:$BQ,60,0)</f>
        <v>#N/A</v>
      </c>
    </row>
    <row r="85" spans="1:64" x14ac:dyDescent="0.2">
      <c r="A85" s="106" t="s">
        <v>145</v>
      </c>
      <c r="B85" s="107">
        <f>VLOOKUP($A85,'S0 remplacer avec S44'!$C:$BQ,32,0)</f>
        <v>23.6</v>
      </c>
      <c r="C85" s="107">
        <f>VLOOKUP($A85,'S0 remplacer avec S44'!$C:$BQ,39,0)</f>
        <v>40</v>
      </c>
      <c r="D85" s="107">
        <f>VLOOKUP($A85,'S0 remplacer avec S44'!$C:$BQ,40,0)</f>
        <v>53</v>
      </c>
      <c r="E85" s="107">
        <f>VLOOKUP($A85,'S0 remplacer avec S44'!$C:$BQ,22,0)</f>
        <v>354.96262000000002</v>
      </c>
      <c r="F85" s="115">
        <f>VLOOKUP($A85,'S0 remplacer avec S44'!$C:$BQ,29,0)</f>
        <v>224</v>
      </c>
      <c r="G85" s="115">
        <f>VLOOKUP($A85,'S0 remplacer avec S44'!$C:$BQ,30,0)</f>
        <v>339</v>
      </c>
      <c r="H85" s="115">
        <f>VLOOKUP($A85,'S0 remplacer avec S44'!$C:$BQ,52,0)</f>
        <v>60.4</v>
      </c>
      <c r="I85" s="115">
        <f>VLOOKUP($A85,'S0 remplacer avec S44'!$C:$BQ,59,0)</f>
        <v>0</v>
      </c>
      <c r="J85" s="115">
        <f>VLOOKUP($A85,'S0 remplacer avec S44'!$C:$BQ,60,0)</f>
        <v>0</v>
      </c>
      <c r="K85" s="107" t="e">
        <f>VLOOKUP($A85,'S45'!$C:$BQ,32,0)</f>
        <v>#N/A</v>
      </c>
      <c r="L85" s="107" t="e">
        <f>VLOOKUP($A85,'S45'!$C:$BQ,39,0)</f>
        <v>#N/A</v>
      </c>
      <c r="M85" s="107" t="e">
        <f>VLOOKUP($A85,'S45'!$C:$BQ,40,0)</f>
        <v>#N/A</v>
      </c>
      <c r="N85" s="107" t="e">
        <f>VLOOKUP($A85,'S45'!$C:$BQ,22,0)</f>
        <v>#N/A</v>
      </c>
      <c r="O85" s="115" t="e">
        <f>VLOOKUP($A85,'S45'!$C:$BQ,29,0)</f>
        <v>#N/A</v>
      </c>
      <c r="P85" s="115" t="e">
        <f>VLOOKUP($A85,'S45'!$C:$BQ,30,0)</f>
        <v>#N/A</v>
      </c>
      <c r="Q85" s="115" t="e">
        <f>VLOOKUP($A85,'S45'!$C:$BQ,52,0)</f>
        <v>#N/A</v>
      </c>
      <c r="R85" s="115" t="e">
        <f>VLOOKUP($A85,'S45'!$C:$BQ,59,0)</f>
        <v>#N/A</v>
      </c>
      <c r="S85" s="115" t="e">
        <f>VLOOKUP($A85,'S45'!$C:$BQ,60,0)</f>
        <v>#N/A</v>
      </c>
      <c r="T85" s="107" t="e">
        <f>VLOOKUP($A85,'S46'!$C:$BQ,32,0)</f>
        <v>#N/A</v>
      </c>
      <c r="U85" s="107" t="e">
        <f>VLOOKUP($A85,'S46'!$C:$BQ,39,0)</f>
        <v>#N/A</v>
      </c>
      <c r="V85" s="107" t="e">
        <f>VLOOKUP($A85,'S46'!$C:$BQ,40,0)</f>
        <v>#N/A</v>
      </c>
      <c r="W85" s="107" t="e">
        <f>VLOOKUP($A85,'S46'!$C:$BQ,22,0)</f>
        <v>#N/A</v>
      </c>
      <c r="X85" s="115" t="e">
        <f>VLOOKUP($A85,'S46'!$C:$BQ,29,0)</f>
        <v>#N/A</v>
      </c>
      <c r="Y85" s="115" t="e">
        <f>VLOOKUP($A85,'S46'!$C:$BQ,30,0)</f>
        <v>#N/A</v>
      </c>
      <c r="Z85" s="115" t="e">
        <f>VLOOKUP($A85,'S46'!$C:$BQ,52,0)</f>
        <v>#N/A</v>
      </c>
      <c r="AA85" s="115" t="e">
        <f>VLOOKUP($A85,'S46'!$C:$BQ,59,0)</f>
        <v>#N/A</v>
      </c>
      <c r="AB85" s="115" t="e">
        <f>VLOOKUP($A85,'S46'!$C:$BQ,60,0)</f>
        <v>#N/A</v>
      </c>
      <c r="AC85" s="107" t="e">
        <f>VLOOKUP($A85,'S47'!$C:$BQ,32,0)</f>
        <v>#N/A</v>
      </c>
      <c r="AD85" s="107" t="e">
        <f>VLOOKUP($A85,'S47'!$C:$BQ,39,0)</f>
        <v>#N/A</v>
      </c>
      <c r="AE85" s="107" t="e">
        <f>VLOOKUP($A85,'S47'!$C:$BQ,40,0)</f>
        <v>#N/A</v>
      </c>
      <c r="AF85" s="107" t="e">
        <f>VLOOKUP($A85,'S47'!$C:$BQ,22,0)</f>
        <v>#N/A</v>
      </c>
      <c r="AG85" s="115" t="e">
        <f>VLOOKUP($A85,'S47'!$C:$BQ,29,0)</f>
        <v>#N/A</v>
      </c>
      <c r="AH85" s="115" t="e">
        <f>VLOOKUP($A85,'S47'!$C:$BQ,30,0)</f>
        <v>#N/A</v>
      </c>
      <c r="AI85" s="115" t="e">
        <f>VLOOKUP($A85,'S47'!$C:$BQ,52,0)</f>
        <v>#N/A</v>
      </c>
      <c r="AJ85" s="115" t="e">
        <f>VLOOKUP($A85,'S47'!$C:$BQ,59,0)</f>
        <v>#N/A</v>
      </c>
      <c r="AK85" s="115" t="e">
        <f>VLOOKUP($A85,'S47'!$C:$BQ,60,0)</f>
        <v>#N/A</v>
      </c>
      <c r="AL85" s="107" t="e">
        <f>VLOOKUP($A85,'S48'!$C:$BQ,32,0)</f>
        <v>#N/A</v>
      </c>
      <c r="AM85" s="107" t="e">
        <f>VLOOKUP($A85,'S48'!$C:$BQ,39,0)</f>
        <v>#N/A</v>
      </c>
      <c r="AN85" s="107" t="e">
        <f>VLOOKUP($A85,'S48'!$C:$BQ,40,0)</f>
        <v>#N/A</v>
      </c>
      <c r="AO85" s="107" t="e">
        <f>VLOOKUP($A85,'S48'!$C:$BQ,22,0)</f>
        <v>#N/A</v>
      </c>
      <c r="AP85" s="115" t="e">
        <f>VLOOKUP($A85,'S48'!$C:$BQ,29,0)</f>
        <v>#N/A</v>
      </c>
      <c r="AQ85" s="115" t="e">
        <f>VLOOKUP($A85,'S48'!$C:$BQ,30,0)</f>
        <v>#N/A</v>
      </c>
      <c r="AR85" s="115" t="e">
        <f>VLOOKUP($A85,'S48'!$C:$BQ,52,0)</f>
        <v>#N/A</v>
      </c>
      <c r="AS85" s="115" t="e">
        <f>VLOOKUP($A85,'S48'!$C:$BQ,59,0)</f>
        <v>#N/A</v>
      </c>
      <c r="AT85" s="115" t="e">
        <f>VLOOKUP($A85,'S48'!$C:$BQ,60,0)</f>
        <v>#N/A</v>
      </c>
      <c r="AU85" s="107" t="e">
        <f>VLOOKUP($A85,'S49'!$C:$BQ,32,0)</f>
        <v>#N/A</v>
      </c>
      <c r="AV85" s="107" t="e">
        <f>VLOOKUP($A85,'S49'!$C:$BQ,39,0)</f>
        <v>#N/A</v>
      </c>
      <c r="AW85" s="107" t="e">
        <f>VLOOKUP($A85,'S49'!$C:$BQ,40,0)</f>
        <v>#N/A</v>
      </c>
      <c r="AX85" s="107" t="e">
        <f>VLOOKUP($A85,'S49'!$C:$BQ,22,0)</f>
        <v>#N/A</v>
      </c>
      <c r="AY85" s="115" t="e">
        <f>VLOOKUP($A85,'S49'!$C:$BQ,29,0)</f>
        <v>#N/A</v>
      </c>
      <c r="AZ85" s="115" t="e">
        <f>VLOOKUP($A85,'S49'!$C:$BQ,30,0)</f>
        <v>#N/A</v>
      </c>
      <c r="BA85" s="115" t="e">
        <f>VLOOKUP($A85,'S49'!$C:$BQ,52,0)</f>
        <v>#N/A</v>
      </c>
      <c r="BB85" s="115" t="e">
        <f>VLOOKUP($A85,'S49'!$C:$BQ,59,0)</f>
        <v>#N/A</v>
      </c>
      <c r="BC85" s="115" t="e">
        <f>VLOOKUP($A85,'S49'!$C:$BQ,60,0)</f>
        <v>#N/A</v>
      </c>
      <c r="BD85" s="107" t="e">
        <f>VLOOKUP($A85,'S50'!$C:$BQ,32,0)</f>
        <v>#N/A</v>
      </c>
      <c r="BE85" s="107" t="e">
        <f>VLOOKUP($A85,'S50'!$C:$BQ,39,0)</f>
        <v>#N/A</v>
      </c>
      <c r="BF85" s="107" t="e">
        <f>VLOOKUP($A85,'S50'!$C:$BQ,40,0)</f>
        <v>#N/A</v>
      </c>
      <c r="BG85" s="107" t="e">
        <f>VLOOKUP($A85,'S50'!$C:$BQ,22,0)</f>
        <v>#N/A</v>
      </c>
      <c r="BH85" s="115" t="e">
        <f>VLOOKUP($A85,'S50'!$C:$BQ,29,0)</f>
        <v>#N/A</v>
      </c>
      <c r="BI85" s="115" t="e">
        <f>VLOOKUP($A85,'S50'!$C:$BQ,30,0)</f>
        <v>#N/A</v>
      </c>
      <c r="BJ85" s="115" t="e">
        <f>VLOOKUP($A85,'S50'!$C:$BQ,52,0)</f>
        <v>#N/A</v>
      </c>
      <c r="BK85" s="115" t="e">
        <f>VLOOKUP($A85,'S50'!$C:$BQ,59,0)</f>
        <v>#N/A</v>
      </c>
      <c r="BL85" s="115" t="e">
        <f>VLOOKUP($A85,'S50'!$C:$BQ,60,0)</f>
        <v>#N/A</v>
      </c>
    </row>
    <row r="86" spans="1:64" x14ac:dyDescent="0.2">
      <c r="A86" s="106" t="s">
        <v>147</v>
      </c>
      <c r="B86" s="107">
        <f>VLOOKUP($A86,'S0 remplacer avec S44'!$C:$BQ,32,0)</f>
        <v>65.2</v>
      </c>
      <c r="C86" s="107">
        <f>VLOOKUP($A86,'S0 remplacer avec S44'!$C:$BQ,39,0)</f>
        <v>38</v>
      </c>
      <c r="D86" s="107">
        <f>VLOOKUP($A86,'S0 remplacer avec S44'!$C:$BQ,40,0)</f>
        <v>59</v>
      </c>
      <c r="E86" s="107">
        <f>VLOOKUP($A86,'S0 remplacer avec S44'!$C:$BQ,22,0)</f>
        <v>368.50261</v>
      </c>
      <c r="F86" s="115">
        <f>VLOOKUP($A86,'S0 remplacer avec S44'!$C:$BQ,29,0)</f>
        <v>566</v>
      </c>
      <c r="G86" s="115">
        <f>VLOOKUP($A86,'S0 remplacer avec S44'!$C:$BQ,30,0)</f>
        <v>753</v>
      </c>
      <c r="H86" s="115">
        <f>VLOOKUP($A86,'S0 remplacer avec S44'!$C:$BQ,52,0)</f>
        <v>26</v>
      </c>
      <c r="I86" s="115">
        <f>VLOOKUP($A86,'S0 remplacer avec S44'!$C:$BQ,59,0)</f>
        <v>27</v>
      </c>
      <c r="J86" s="115">
        <f>VLOOKUP($A86,'S0 remplacer avec S44'!$C:$BQ,60,0)</f>
        <v>37</v>
      </c>
      <c r="K86" s="107" t="e">
        <f>VLOOKUP($A86,'S45'!$C:$BQ,32,0)</f>
        <v>#N/A</v>
      </c>
      <c r="L86" s="107" t="e">
        <f>VLOOKUP($A86,'S45'!$C:$BQ,39,0)</f>
        <v>#N/A</v>
      </c>
      <c r="M86" s="107" t="e">
        <f>VLOOKUP($A86,'S45'!$C:$BQ,40,0)</f>
        <v>#N/A</v>
      </c>
      <c r="N86" s="107" t="e">
        <f>VLOOKUP($A86,'S45'!$C:$BQ,22,0)</f>
        <v>#N/A</v>
      </c>
      <c r="O86" s="115" t="e">
        <f>VLOOKUP($A86,'S45'!$C:$BQ,29,0)</f>
        <v>#N/A</v>
      </c>
      <c r="P86" s="115" t="e">
        <f>VLOOKUP($A86,'S45'!$C:$BQ,30,0)</f>
        <v>#N/A</v>
      </c>
      <c r="Q86" s="115" t="e">
        <f>VLOOKUP($A86,'S45'!$C:$BQ,52,0)</f>
        <v>#N/A</v>
      </c>
      <c r="R86" s="115" t="e">
        <f>VLOOKUP($A86,'S45'!$C:$BQ,59,0)</f>
        <v>#N/A</v>
      </c>
      <c r="S86" s="115" t="e">
        <f>VLOOKUP($A86,'S45'!$C:$BQ,60,0)</f>
        <v>#N/A</v>
      </c>
      <c r="T86" s="107" t="e">
        <f>VLOOKUP($A86,'S46'!$C:$BQ,32,0)</f>
        <v>#N/A</v>
      </c>
      <c r="U86" s="107" t="e">
        <f>VLOOKUP($A86,'S46'!$C:$BQ,39,0)</f>
        <v>#N/A</v>
      </c>
      <c r="V86" s="107" t="e">
        <f>VLOOKUP($A86,'S46'!$C:$BQ,40,0)</f>
        <v>#N/A</v>
      </c>
      <c r="W86" s="107" t="e">
        <f>VLOOKUP($A86,'S46'!$C:$BQ,22,0)</f>
        <v>#N/A</v>
      </c>
      <c r="X86" s="115" t="e">
        <f>VLOOKUP($A86,'S46'!$C:$BQ,29,0)</f>
        <v>#N/A</v>
      </c>
      <c r="Y86" s="115" t="e">
        <f>VLOOKUP($A86,'S46'!$C:$BQ,30,0)</f>
        <v>#N/A</v>
      </c>
      <c r="Z86" s="115" t="e">
        <f>VLOOKUP($A86,'S46'!$C:$BQ,52,0)</f>
        <v>#N/A</v>
      </c>
      <c r="AA86" s="115" t="e">
        <f>VLOOKUP($A86,'S46'!$C:$BQ,59,0)</f>
        <v>#N/A</v>
      </c>
      <c r="AB86" s="115" t="e">
        <f>VLOOKUP($A86,'S46'!$C:$BQ,60,0)</f>
        <v>#N/A</v>
      </c>
      <c r="AC86" s="107" t="e">
        <f>VLOOKUP($A86,'S47'!$C:$BQ,32,0)</f>
        <v>#N/A</v>
      </c>
      <c r="AD86" s="107" t="e">
        <f>VLOOKUP($A86,'S47'!$C:$BQ,39,0)</f>
        <v>#N/A</v>
      </c>
      <c r="AE86" s="107" t="e">
        <f>VLOOKUP($A86,'S47'!$C:$BQ,40,0)</f>
        <v>#N/A</v>
      </c>
      <c r="AF86" s="107" t="e">
        <f>VLOOKUP($A86,'S47'!$C:$BQ,22,0)</f>
        <v>#N/A</v>
      </c>
      <c r="AG86" s="115" t="e">
        <f>VLOOKUP($A86,'S47'!$C:$BQ,29,0)</f>
        <v>#N/A</v>
      </c>
      <c r="AH86" s="115" t="e">
        <f>VLOOKUP($A86,'S47'!$C:$BQ,30,0)</f>
        <v>#N/A</v>
      </c>
      <c r="AI86" s="115" t="e">
        <f>VLOOKUP($A86,'S47'!$C:$BQ,52,0)</f>
        <v>#N/A</v>
      </c>
      <c r="AJ86" s="115" t="e">
        <f>VLOOKUP($A86,'S47'!$C:$BQ,59,0)</f>
        <v>#N/A</v>
      </c>
      <c r="AK86" s="115" t="e">
        <f>VLOOKUP($A86,'S47'!$C:$BQ,60,0)</f>
        <v>#N/A</v>
      </c>
      <c r="AL86" s="107" t="e">
        <f>VLOOKUP($A86,'S48'!$C:$BQ,32,0)</f>
        <v>#N/A</v>
      </c>
      <c r="AM86" s="107" t="e">
        <f>VLOOKUP($A86,'S48'!$C:$BQ,39,0)</f>
        <v>#N/A</v>
      </c>
      <c r="AN86" s="107" t="e">
        <f>VLOOKUP($A86,'S48'!$C:$BQ,40,0)</f>
        <v>#N/A</v>
      </c>
      <c r="AO86" s="107" t="e">
        <f>VLOOKUP($A86,'S48'!$C:$BQ,22,0)</f>
        <v>#N/A</v>
      </c>
      <c r="AP86" s="115" t="e">
        <f>VLOOKUP($A86,'S48'!$C:$BQ,29,0)</f>
        <v>#N/A</v>
      </c>
      <c r="AQ86" s="115" t="e">
        <f>VLOOKUP($A86,'S48'!$C:$BQ,30,0)</f>
        <v>#N/A</v>
      </c>
      <c r="AR86" s="115" t="e">
        <f>VLOOKUP($A86,'S48'!$C:$BQ,52,0)</f>
        <v>#N/A</v>
      </c>
      <c r="AS86" s="115" t="e">
        <f>VLOOKUP($A86,'S48'!$C:$BQ,59,0)</f>
        <v>#N/A</v>
      </c>
      <c r="AT86" s="115" t="e">
        <f>VLOOKUP($A86,'S48'!$C:$BQ,60,0)</f>
        <v>#N/A</v>
      </c>
      <c r="AU86" s="107" t="e">
        <f>VLOOKUP($A86,'S49'!$C:$BQ,32,0)</f>
        <v>#N/A</v>
      </c>
      <c r="AV86" s="107" t="e">
        <f>VLOOKUP($A86,'S49'!$C:$BQ,39,0)</f>
        <v>#N/A</v>
      </c>
      <c r="AW86" s="107" t="e">
        <f>VLOOKUP($A86,'S49'!$C:$BQ,40,0)</f>
        <v>#N/A</v>
      </c>
      <c r="AX86" s="107" t="e">
        <f>VLOOKUP($A86,'S49'!$C:$BQ,22,0)</f>
        <v>#N/A</v>
      </c>
      <c r="AY86" s="115" t="e">
        <f>VLOOKUP($A86,'S49'!$C:$BQ,29,0)</f>
        <v>#N/A</v>
      </c>
      <c r="AZ86" s="115" t="e">
        <f>VLOOKUP($A86,'S49'!$C:$BQ,30,0)</f>
        <v>#N/A</v>
      </c>
      <c r="BA86" s="115" t="e">
        <f>VLOOKUP($A86,'S49'!$C:$BQ,52,0)</f>
        <v>#N/A</v>
      </c>
      <c r="BB86" s="115" t="e">
        <f>VLOOKUP($A86,'S49'!$C:$BQ,59,0)</f>
        <v>#N/A</v>
      </c>
      <c r="BC86" s="115" t="e">
        <f>VLOOKUP($A86,'S49'!$C:$BQ,60,0)</f>
        <v>#N/A</v>
      </c>
      <c r="BD86" s="107" t="e">
        <f>VLOOKUP($A86,'S50'!$C:$BQ,32,0)</f>
        <v>#N/A</v>
      </c>
      <c r="BE86" s="107" t="e">
        <f>VLOOKUP($A86,'S50'!$C:$BQ,39,0)</f>
        <v>#N/A</v>
      </c>
      <c r="BF86" s="107" t="e">
        <f>VLOOKUP($A86,'S50'!$C:$BQ,40,0)</f>
        <v>#N/A</v>
      </c>
      <c r="BG86" s="107" t="e">
        <f>VLOOKUP($A86,'S50'!$C:$BQ,22,0)</f>
        <v>#N/A</v>
      </c>
      <c r="BH86" s="115" t="e">
        <f>VLOOKUP($A86,'S50'!$C:$BQ,29,0)</f>
        <v>#N/A</v>
      </c>
      <c r="BI86" s="115" t="e">
        <f>VLOOKUP($A86,'S50'!$C:$BQ,30,0)</f>
        <v>#N/A</v>
      </c>
      <c r="BJ86" s="115" t="e">
        <f>VLOOKUP($A86,'S50'!$C:$BQ,52,0)</f>
        <v>#N/A</v>
      </c>
      <c r="BK86" s="115" t="e">
        <f>VLOOKUP($A86,'S50'!$C:$BQ,59,0)</f>
        <v>#N/A</v>
      </c>
      <c r="BL86" s="115" t="e">
        <f>VLOOKUP($A86,'S50'!$C:$BQ,60,0)</f>
        <v>#N/A</v>
      </c>
    </row>
    <row r="87" spans="1:64" x14ac:dyDescent="0.2">
      <c r="A87" s="106" t="s">
        <v>148</v>
      </c>
      <c r="B87" s="107">
        <f>VLOOKUP($A87,'S0 remplacer avec S44'!$C:$BQ,32,0)</f>
        <v>262.39999999999998</v>
      </c>
      <c r="C87" s="107">
        <f>VLOOKUP($A87,'S0 remplacer avec S44'!$C:$BQ,39,0)</f>
        <v>28</v>
      </c>
      <c r="D87" s="107">
        <f>VLOOKUP($A87,'S0 remplacer avec S44'!$C:$BQ,40,0)</f>
        <v>86</v>
      </c>
      <c r="E87" s="107">
        <f>VLOOKUP($A87,'S0 remplacer avec S44'!$C:$BQ,22,0)</f>
        <v>2268.5604950000002</v>
      </c>
      <c r="F87" s="115">
        <f>VLOOKUP($A87,'S0 remplacer avec S44'!$C:$BQ,29,0)</f>
        <v>367</v>
      </c>
      <c r="G87" s="115">
        <f>VLOOKUP($A87,'S0 remplacer avec S44'!$C:$BQ,30,0)</f>
        <v>894</v>
      </c>
      <c r="H87" s="115">
        <f>VLOOKUP($A87,'S0 remplacer avec S44'!$C:$BQ,52,0)</f>
        <v>166.4</v>
      </c>
      <c r="I87" s="115">
        <f>VLOOKUP($A87,'S0 remplacer avec S44'!$C:$BQ,59,0)</f>
        <v>0</v>
      </c>
      <c r="J87" s="115">
        <f>VLOOKUP($A87,'S0 remplacer avec S44'!$C:$BQ,60,0)</f>
        <v>11</v>
      </c>
      <c r="K87" s="107" t="e">
        <f>VLOOKUP($A87,'S45'!$C:$BQ,32,0)</f>
        <v>#N/A</v>
      </c>
      <c r="L87" s="107" t="e">
        <f>VLOOKUP($A87,'S45'!$C:$BQ,39,0)</f>
        <v>#N/A</v>
      </c>
      <c r="M87" s="107" t="e">
        <f>VLOOKUP($A87,'S45'!$C:$BQ,40,0)</f>
        <v>#N/A</v>
      </c>
      <c r="N87" s="107" t="e">
        <f>VLOOKUP($A87,'S45'!$C:$BQ,22,0)</f>
        <v>#N/A</v>
      </c>
      <c r="O87" s="115" t="e">
        <f>VLOOKUP($A87,'S45'!$C:$BQ,29,0)</f>
        <v>#N/A</v>
      </c>
      <c r="P87" s="115" t="e">
        <f>VLOOKUP($A87,'S45'!$C:$BQ,30,0)</f>
        <v>#N/A</v>
      </c>
      <c r="Q87" s="115" t="e">
        <f>VLOOKUP($A87,'S45'!$C:$BQ,52,0)</f>
        <v>#N/A</v>
      </c>
      <c r="R87" s="115" t="e">
        <f>VLOOKUP($A87,'S45'!$C:$BQ,59,0)</f>
        <v>#N/A</v>
      </c>
      <c r="S87" s="115" t="e">
        <f>VLOOKUP($A87,'S45'!$C:$BQ,60,0)</f>
        <v>#N/A</v>
      </c>
      <c r="T87" s="107" t="e">
        <f>VLOOKUP($A87,'S46'!$C:$BQ,32,0)</f>
        <v>#N/A</v>
      </c>
      <c r="U87" s="107" t="e">
        <f>VLOOKUP($A87,'S46'!$C:$BQ,39,0)</f>
        <v>#N/A</v>
      </c>
      <c r="V87" s="107" t="e">
        <f>VLOOKUP($A87,'S46'!$C:$BQ,40,0)</f>
        <v>#N/A</v>
      </c>
      <c r="W87" s="107" t="e">
        <f>VLOOKUP($A87,'S46'!$C:$BQ,22,0)</f>
        <v>#N/A</v>
      </c>
      <c r="X87" s="115" t="e">
        <f>VLOOKUP($A87,'S46'!$C:$BQ,29,0)</f>
        <v>#N/A</v>
      </c>
      <c r="Y87" s="115" t="e">
        <f>VLOOKUP($A87,'S46'!$C:$BQ,30,0)</f>
        <v>#N/A</v>
      </c>
      <c r="Z87" s="115" t="e">
        <f>VLOOKUP($A87,'S46'!$C:$BQ,52,0)</f>
        <v>#N/A</v>
      </c>
      <c r="AA87" s="115" t="e">
        <f>VLOOKUP($A87,'S46'!$C:$BQ,59,0)</f>
        <v>#N/A</v>
      </c>
      <c r="AB87" s="115" t="e">
        <f>VLOOKUP($A87,'S46'!$C:$BQ,60,0)</f>
        <v>#N/A</v>
      </c>
      <c r="AC87" s="107" t="e">
        <f>VLOOKUP($A87,'S47'!$C:$BQ,32,0)</f>
        <v>#N/A</v>
      </c>
      <c r="AD87" s="107" t="e">
        <f>VLOOKUP($A87,'S47'!$C:$BQ,39,0)</f>
        <v>#N/A</v>
      </c>
      <c r="AE87" s="107" t="e">
        <f>VLOOKUP($A87,'S47'!$C:$BQ,40,0)</f>
        <v>#N/A</v>
      </c>
      <c r="AF87" s="107" t="e">
        <f>VLOOKUP($A87,'S47'!$C:$BQ,22,0)</f>
        <v>#N/A</v>
      </c>
      <c r="AG87" s="115" t="e">
        <f>VLOOKUP($A87,'S47'!$C:$BQ,29,0)</f>
        <v>#N/A</v>
      </c>
      <c r="AH87" s="115" t="e">
        <f>VLOOKUP($A87,'S47'!$C:$BQ,30,0)</f>
        <v>#N/A</v>
      </c>
      <c r="AI87" s="115" t="e">
        <f>VLOOKUP($A87,'S47'!$C:$BQ,52,0)</f>
        <v>#N/A</v>
      </c>
      <c r="AJ87" s="115" t="e">
        <f>VLOOKUP($A87,'S47'!$C:$BQ,59,0)</f>
        <v>#N/A</v>
      </c>
      <c r="AK87" s="115" t="e">
        <f>VLOOKUP($A87,'S47'!$C:$BQ,60,0)</f>
        <v>#N/A</v>
      </c>
      <c r="AL87" s="107" t="e">
        <f>VLOOKUP($A87,'S48'!$C:$BQ,32,0)</f>
        <v>#N/A</v>
      </c>
      <c r="AM87" s="107" t="e">
        <f>VLOOKUP($A87,'S48'!$C:$BQ,39,0)</f>
        <v>#N/A</v>
      </c>
      <c r="AN87" s="107" t="e">
        <f>VLOOKUP($A87,'S48'!$C:$BQ,40,0)</f>
        <v>#N/A</v>
      </c>
      <c r="AO87" s="107" t="e">
        <f>VLOOKUP($A87,'S48'!$C:$BQ,22,0)</f>
        <v>#N/A</v>
      </c>
      <c r="AP87" s="115" t="e">
        <f>VLOOKUP($A87,'S48'!$C:$BQ,29,0)</f>
        <v>#N/A</v>
      </c>
      <c r="AQ87" s="115" t="e">
        <f>VLOOKUP($A87,'S48'!$C:$BQ,30,0)</f>
        <v>#N/A</v>
      </c>
      <c r="AR87" s="115" t="e">
        <f>VLOOKUP($A87,'S48'!$C:$BQ,52,0)</f>
        <v>#N/A</v>
      </c>
      <c r="AS87" s="115" t="e">
        <f>VLOOKUP($A87,'S48'!$C:$BQ,59,0)</f>
        <v>#N/A</v>
      </c>
      <c r="AT87" s="115" t="e">
        <f>VLOOKUP($A87,'S48'!$C:$BQ,60,0)</f>
        <v>#N/A</v>
      </c>
      <c r="AU87" s="107" t="e">
        <f>VLOOKUP($A87,'S49'!$C:$BQ,32,0)</f>
        <v>#N/A</v>
      </c>
      <c r="AV87" s="107" t="e">
        <f>VLOOKUP($A87,'S49'!$C:$BQ,39,0)</f>
        <v>#N/A</v>
      </c>
      <c r="AW87" s="107" t="e">
        <f>VLOOKUP($A87,'S49'!$C:$BQ,40,0)</f>
        <v>#N/A</v>
      </c>
      <c r="AX87" s="107" t="e">
        <f>VLOOKUP($A87,'S49'!$C:$BQ,22,0)</f>
        <v>#N/A</v>
      </c>
      <c r="AY87" s="115" t="e">
        <f>VLOOKUP($A87,'S49'!$C:$BQ,29,0)</f>
        <v>#N/A</v>
      </c>
      <c r="AZ87" s="115" t="e">
        <f>VLOOKUP($A87,'S49'!$C:$BQ,30,0)</f>
        <v>#N/A</v>
      </c>
      <c r="BA87" s="115" t="e">
        <f>VLOOKUP($A87,'S49'!$C:$BQ,52,0)</f>
        <v>#N/A</v>
      </c>
      <c r="BB87" s="115" t="e">
        <f>VLOOKUP($A87,'S49'!$C:$BQ,59,0)</f>
        <v>#N/A</v>
      </c>
      <c r="BC87" s="115" t="e">
        <f>VLOOKUP($A87,'S49'!$C:$BQ,60,0)</f>
        <v>#N/A</v>
      </c>
      <c r="BD87" s="107" t="e">
        <f>VLOOKUP($A87,'S50'!$C:$BQ,32,0)</f>
        <v>#N/A</v>
      </c>
      <c r="BE87" s="107" t="e">
        <f>VLOOKUP($A87,'S50'!$C:$BQ,39,0)</f>
        <v>#N/A</v>
      </c>
      <c r="BF87" s="107" t="e">
        <f>VLOOKUP($A87,'S50'!$C:$BQ,40,0)</f>
        <v>#N/A</v>
      </c>
      <c r="BG87" s="107" t="e">
        <f>VLOOKUP($A87,'S50'!$C:$BQ,22,0)</f>
        <v>#N/A</v>
      </c>
      <c r="BH87" s="115" t="e">
        <f>VLOOKUP($A87,'S50'!$C:$BQ,29,0)</f>
        <v>#N/A</v>
      </c>
      <c r="BI87" s="115" t="e">
        <f>VLOOKUP($A87,'S50'!$C:$BQ,30,0)</f>
        <v>#N/A</v>
      </c>
      <c r="BJ87" s="115" t="e">
        <f>VLOOKUP($A87,'S50'!$C:$BQ,52,0)</f>
        <v>#N/A</v>
      </c>
      <c r="BK87" s="115" t="e">
        <f>VLOOKUP($A87,'S50'!$C:$BQ,59,0)</f>
        <v>#N/A</v>
      </c>
      <c r="BL87" s="115" t="e">
        <f>VLOOKUP($A87,'S50'!$C:$BQ,60,0)</f>
        <v>#N/A</v>
      </c>
    </row>
    <row r="88" spans="1:64" x14ac:dyDescent="0.2">
      <c r="A88" s="106" t="s">
        <v>149</v>
      </c>
      <c r="B88" s="107">
        <f>VLOOKUP($A88,'S0 remplacer avec S44'!$C:$BQ,32,0)</f>
        <v>291.2</v>
      </c>
      <c r="C88" s="107">
        <f>VLOOKUP($A88,'S0 remplacer avec S44'!$C:$BQ,39,0)</f>
        <v>78</v>
      </c>
      <c r="D88" s="107">
        <f>VLOOKUP($A88,'S0 remplacer avec S44'!$C:$BQ,40,0)</f>
        <v>152</v>
      </c>
      <c r="E88" s="107">
        <f>VLOOKUP($A88,'S0 remplacer avec S44'!$C:$BQ,22,0)</f>
        <v>2456.0585649999998</v>
      </c>
      <c r="F88" s="115">
        <f>VLOOKUP($A88,'S0 remplacer avec S44'!$C:$BQ,29,0)</f>
        <v>902</v>
      </c>
      <c r="G88" s="115">
        <f>VLOOKUP($A88,'S0 remplacer avec S44'!$C:$BQ,30,0)</f>
        <v>1573</v>
      </c>
      <c r="H88" s="115">
        <f>VLOOKUP($A88,'S0 remplacer avec S44'!$C:$BQ,52,0)</f>
        <v>226</v>
      </c>
      <c r="I88" s="115">
        <f>VLOOKUP($A88,'S0 remplacer avec S44'!$C:$BQ,59,0)</f>
        <v>0</v>
      </c>
      <c r="J88" s="115">
        <f>VLOOKUP($A88,'S0 remplacer avec S44'!$C:$BQ,60,0)</f>
        <v>0</v>
      </c>
      <c r="K88" s="107" t="e">
        <f>VLOOKUP($A88,'S45'!$C:$BQ,32,0)</f>
        <v>#N/A</v>
      </c>
      <c r="L88" s="107" t="e">
        <f>VLOOKUP($A88,'S45'!$C:$BQ,39,0)</f>
        <v>#N/A</v>
      </c>
      <c r="M88" s="107" t="e">
        <f>VLOOKUP($A88,'S45'!$C:$BQ,40,0)</f>
        <v>#N/A</v>
      </c>
      <c r="N88" s="107" t="e">
        <f>VLOOKUP($A88,'S45'!$C:$BQ,22,0)</f>
        <v>#N/A</v>
      </c>
      <c r="O88" s="115" t="e">
        <f>VLOOKUP($A88,'S45'!$C:$BQ,29,0)</f>
        <v>#N/A</v>
      </c>
      <c r="P88" s="115" t="e">
        <f>VLOOKUP($A88,'S45'!$C:$BQ,30,0)</f>
        <v>#N/A</v>
      </c>
      <c r="Q88" s="115" t="e">
        <f>VLOOKUP($A88,'S45'!$C:$BQ,52,0)</f>
        <v>#N/A</v>
      </c>
      <c r="R88" s="115" t="e">
        <f>VLOOKUP($A88,'S45'!$C:$BQ,59,0)</f>
        <v>#N/A</v>
      </c>
      <c r="S88" s="115" t="e">
        <f>VLOOKUP($A88,'S45'!$C:$BQ,60,0)</f>
        <v>#N/A</v>
      </c>
      <c r="T88" s="107" t="e">
        <f>VLOOKUP($A88,'S46'!$C:$BQ,32,0)</f>
        <v>#N/A</v>
      </c>
      <c r="U88" s="107" t="e">
        <f>VLOOKUP($A88,'S46'!$C:$BQ,39,0)</f>
        <v>#N/A</v>
      </c>
      <c r="V88" s="107" t="e">
        <f>VLOOKUP($A88,'S46'!$C:$BQ,40,0)</f>
        <v>#N/A</v>
      </c>
      <c r="W88" s="107" t="e">
        <f>VLOOKUP($A88,'S46'!$C:$BQ,22,0)</f>
        <v>#N/A</v>
      </c>
      <c r="X88" s="115" t="e">
        <f>VLOOKUP($A88,'S46'!$C:$BQ,29,0)</f>
        <v>#N/A</v>
      </c>
      <c r="Y88" s="115" t="e">
        <f>VLOOKUP($A88,'S46'!$C:$BQ,30,0)</f>
        <v>#N/A</v>
      </c>
      <c r="Z88" s="115" t="e">
        <f>VLOOKUP($A88,'S46'!$C:$BQ,52,0)</f>
        <v>#N/A</v>
      </c>
      <c r="AA88" s="115" t="e">
        <f>VLOOKUP($A88,'S46'!$C:$BQ,59,0)</f>
        <v>#N/A</v>
      </c>
      <c r="AB88" s="115" t="e">
        <f>VLOOKUP($A88,'S46'!$C:$BQ,60,0)</f>
        <v>#N/A</v>
      </c>
      <c r="AC88" s="107" t="e">
        <f>VLOOKUP($A88,'S47'!$C:$BQ,32,0)</f>
        <v>#N/A</v>
      </c>
      <c r="AD88" s="107" t="e">
        <f>VLOOKUP($A88,'S47'!$C:$BQ,39,0)</f>
        <v>#N/A</v>
      </c>
      <c r="AE88" s="107" t="e">
        <f>VLOOKUP($A88,'S47'!$C:$BQ,40,0)</f>
        <v>#N/A</v>
      </c>
      <c r="AF88" s="107" t="e">
        <f>VLOOKUP($A88,'S47'!$C:$BQ,22,0)</f>
        <v>#N/A</v>
      </c>
      <c r="AG88" s="115" t="e">
        <f>VLOOKUP($A88,'S47'!$C:$BQ,29,0)</f>
        <v>#N/A</v>
      </c>
      <c r="AH88" s="115" t="e">
        <f>VLOOKUP($A88,'S47'!$C:$BQ,30,0)</f>
        <v>#N/A</v>
      </c>
      <c r="AI88" s="115" t="e">
        <f>VLOOKUP($A88,'S47'!$C:$BQ,52,0)</f>
        <v>#N/A</v>
      </c>
      <c r="AJ88" s="115" t="e">
        <f>VLOOKUP($A88,'S47'!$C:$BQ,59,0)</f>
        <v>#N/A</v>
      </c>
      <c r="AK88" s="115" t="e">
        <f>VLOOKUP($A88,'S47'!$C:$BQ,60,0)</f>
        <v>#N/A</v>
      </c>
      <c r="AL88" s="107" t="e">
        <f>VLOOKUP($A88,'S48'!$C:$BQ,32,0)</f>
        <v>#N/A</v>
      </c>
      <c r="AM88" s="107" t="e">
        <f>VLOOKUP($A88,'S48'!$C:$BQ,39,0)</f>
        <v>#N/A</v>
      </c>
      <c r="AN88" s="107" t="e">
        <f>VLOOKUP($A88,'S48'!$C:$BQ,40,0)</f>
        <v>#N/A</v>
      </c>
      <c r="AO88" s="107" t="e">
        <f>VLOOKUP($A88,'S48'!$C:$BQ,22,0)</f>
        <v>#N/A</v>
      </c>
      <c r="AP88" s="115" t="e">
        <f>VLOOKUP($A88,'S48'!$C:$BQ,29,0)</f>
        <v>#N/A</v>
      </c>
      <c r="AQ88" s="115" t="e">
        <f>VLOOKUP($A88,'S48'!$C:$BQ,30,0)</f>
        <v>#N/A</v>
      </c>
      <c r="AR88" s="115" t="e">
        <f>VLOOKUP($A88,'S48'!$C:$BQ,52,0)</f>
        <v>#N/A</v>
      </c>
      <c r="AS88" s="115" t="e">
        <f>VLOOKUP($A88,'S48'!$C:$BQ,59,0)</f>
        <v>#N/A</v>
      </c>
      <c r="AT88" s="115" t="e">
        <f>VLOOKUP($A88,'S48'!$C:$BQ,60,0)</f>
        <v>#N/A</v>
      </c>
      <c r="AU88" s="107" t="e">
        <f>VLOOKUP($A88,'S49'!$C:$BQ,32,0)</f>
        <v>#N/A</v>
      </c>
      <c r="AV88" s="107" t="e">
        <f>VLOOKUP($A88,'S49'!$C:$BQ,39,0)</f>
        <v>#N/A</v>
      </c>
      <c r="AW88" s="107" t="e">
        <f>VLOOKUP($A88,'S49'!$C:$BQ,40,0)</f>
        <v>#N/A</v>
      </c>
      <c r="AX88" s="107" t="e">
        <f>VLOOKUP($A88,'S49'!$C:$BQ,22,0)</f>
        <v>#N/A</v>
      </c>
      <c r="AY88" s="115" t="e">
        <f>VLOOKUP($A88,'S49'!$C:$BQ,29,0)</f>
        <v>#N/A</v>
      </c>
      <c r="AZ88" s="115" t="e">
        <f>VLOOKUP($A88,'S49'!$C:$BQ,30,0)</f>
        <v>#N/A</v>
      </c>
      <c r="BA88" s="115" t="e">
        <f>VLOOKUP($A88,'S49'!$C:$BQ,52,0)</f>
        <v>#N/A</v>
      </c>
      <c r="BB88" s="115" t="e">
        <f>VLOOKUP($A88,'S49'!$C:$BQ,59,0)</f>
        <v>#N/A</v>
      </c>
      <c r="BC88" s="115" t="e">
        <f>VLOOKUP($A88,'S49'!$C:$BQ,60,0)</f>
        <v>#N/A</v>
      </c>
      <c r="BD88" s="107" t="e">
        <f>VLOOKUP($A88,'S50'!$C:$BQ,32,0)</f>
        <v>#N/A</v>
      </c>
      <c r="BE88" s="107" t="e">
        <f>VLOOKUP($A88,'S50'!$C:$BQ,39,0)</f>
        <v>#N/A</v>
      </c>
      <c r="BF88" s="107" t="e">
        <f>VLOOKUP($A88,'S50'!$C:$BQ,40,0)</f>
        <v>#N/A</v>
      </c>
      <c r="BG88" s="107" t="e">
        <f>VLOOKUP($A88,'S50'!$C:$BQ,22,0)</f>
        <v>#N/A</v>
      </c>
      <c r="BH88" s="115" t="e">
        <f>VLOOKUP($A88,'S50'!$C:$BQ,29,0)</f>
        <v>#N/A</v>
      </c>
      <c r="BI88" s="115" t="e">
        <f>VLOOKUP($A88,'S50'!$C:$BQ,30,0)</f>
        <v>#N/A</v>
      </c>
      <c r="BJ88" s="115" t="e">
        <f>VLOOKUP($A88,'S50'!$C:$BQ,52,0)</f>
        <v>#N/A</v>
      </c>
      <c r="BK88" s="115" t="e">
        <f>VLOOKUP($A88,'S50'!$C:$BQ,59,0)</f>
        <v>#N/A</v>
      </c>
      <c r="BL88" s="115" t="e">
        <f>VLOOKUP($A88,'S50'!$C:$BQ,60,0)</f>
        <v>#N/A</v>
      </c>
    </row>
    <row r="89" spans="1:64" x14ac:dyDescent="0.2">
      <c r="A89" s="106" t="s">
        <v>150</v>
      </c>
      <c r="B89" s="107">
        <f>VLOOKUP($A89,'S0 remplacer avec S44'!$C:$BQ,32,0)</f>
        <v>195.3</v>
      </c>
      <c r="C89" s="107">
        <f>VLOOKUP($A89,'S0 remplacer avec S44'!$C:$BQ,39,0)</f>
        <v>10</v>
      </c>
      <c r="D89" s="107">
        <f>VLOOKUP($A89,'S0 remplacer avec S44'!$C:$BQ,40,0)</f>
        <v>51</v>
      </c>
      <c r="E89" s="107">
        <f>VLOOKUP($A89,'S0 remplacer avec S44'!$C:$BQ,22,0)</f>
        <v>1758.42509</v>
      </c>
      <c r="F89" s="115">
        <f>VLOOKUP($A89,'S0 remplacer avec S44'!$C:$BQ,29,0)</f>
        <v>102</v>
      </c>
      <c r="G89" s="115">
        <f>VLOOKUP($A89,'S0 remplacer avec S44'!$C:$BQ,30,0)</f>
        <v>474</v>
      </c>
      <c r="H89" s="115">
        <f>VLOOKUP($A89,'S0 remplacer avec S44'!$C:$BQ,52,0)</f>
        <v>133.6</v>
      </c>
      <c r="I89" s="115">
        <f>VLOOKUP($A89,'S0 remplacer avec S44'!$C:$BQ,59,0)</f>
        <v>0</v>
      </c>
      <c r="J89" s="115">
        <f>VLOOKUP($A89,'S0 remplacer avec S44'!$C:$BQ,60,0)</f>
        <v>0</v>
      </c>
      <c r="K89" s="107" t="e">
        <f>VLOOKUP($A89,'S45'!$C:$BQ,32,0)</f>
        <v>#N/A</v>
      </c>
      <c r="L89" s="107" t="e">
        <f>VLOOKUP($A89,'S45'!$C:$BQ,39,0)</f>
        <v>#N/A</v>
      </c>
      <c r="M89" s="107" t="e">
        <f>VLOOKUP($A89,'S45'!$C:$BQ,40,0)</f>
        <v>#N/A</v>
      </c>
      <c r="N89" s="107" t="e">
        <f>VLOOKUP($A89,'S45'!$C:$BQ,22,0)</f>
        <v>#N/A</v>
      </c>
      <c r="O89" s="115" t="e">
        <f>VLOOKUP($A89,'S45'!$C:$BQ,29,0)</f>
        <v>#N/A</v>
      </c>
      <c r="P89" s="115" t="e">
        <f>VLOOKUP($A89,'S45'!$C:$BQ,30,0)</f>
        <v>#N/A</v>
      </c>
      <c r="Q89" s="115" t="e">
        <f>VLOOKUP($A89,'S45'!$C:$BQ,52,0)</f>
        <v>#N/A</v>
      </c>
      <c r="R89" s="115" t="e">
        <f>VLOOKUP($A89,'S45'!$C:$BQ,59,0)</f>
        <v>#N/A</v>
      </c>
      <c r="S89" s="115" t="e">
        <f>VLOOKUP($A89,'S45'!$C:$BQ,60,0)</f>
        <v>#N/A</v>
      </c>
      <c r="T89" s="107" t="e">
        <f>VLOOKUP($A89,'S46'!$C:$BQ,32,0)</f>
        <v>#N/A</v>
      </c>
      <c r="U89" s="107" t="e">
        <f>VLOOKUP($A89,'S46'!$C:$BQ,39,0)</f>
        <v>#N/A</v>
      </c>
      <c r="V89" s="107" t="e">
        <f>VLOOKUP($A89,'S46'!$C:$BQ,40,0)</f>
        <v>#N/A</v>
      </c>
      <c r="W89" s="107" t="e">
        <f>VLOOKUP($A89,'S46'!$C:$BQ,22,0)</f>
        <v>#N/A</v>
      </c>
      <c r="X89" s="115" t="e">
        <f>VLOOKUP($A89,'S46'!$C:$BQ,29,0)</f>
        <v>#N/A</v>
      </c>
      <c r="Y89" s="115" t="e">
        <f>VLOOKUP($A89,'S46'!$C:$BQ,30,0)</f>
        <v>#N/A</v>
      </c>
      <c r="Z89" s="115" t="e">
        <f>VLOOKUP($A89,'S46'!$C:$BQ,52,0)</f>
        <v>#N/A</v>
      </c>
      <c r="AA89" s="115" t="e">
        <f>VLOOKUP($A89,'S46'!$C:$BQ,59,0)</f>
        <v>#N/A</v>
      </c>
      <c r="AB89" s="115" t="e">
        <f>VLOOKUP($A89,'S46'!$C:$BQ,60,0)</f>
        <v>#N/A</v>
      </c>
      <c r="AC89" s="107" t="e">
        <f>VLOOKUP($A89,'S47'!$C:$BQ,32,0)</f>
        <v>#N/A</v>
      </c>
      <c r="AD89" s="107" t="e">
        <f>VLOOKUP($A89,'S47'!$C:$BQ,39,0)</f>
        <v>#N/A</v>
      </c>
      <c r="AE89" s="107" t="e">
        <f>VLOOKUP($A89,'S47'!$C:$BQ,40,0)</f>
        <v>#N/A</v>
      </c>
      <c r="AF89" s="107" t="e">
        <f>VLOOKUP($A89,'S47'!$C:$BQ,22,0)</f>
        <v>#N/A</v>
      </c>
      <c r="AG89" s="115" t="e">
        <f>VLOOKUP($A89,'S47'!$C:$BQ,29,0)</f>
        <v>#N/A</v>
      </c>
      <c r="AH89" s="115" t="e">
        <f>VLOOKUP($A89,'S47'!$C:$BQ,30,0)</f>
        <v>#N/A</v>
      </c>
      <c r="AI89" s="115" t="e">
        <f>VLOOKUP($A89,'S47'!$C:$BQ,52,0)</f>
        <v>#N/A</v>
      </c>
      <c r="AJ89" s="115" t="e">
        <f>VLOOKUP($A89,'S47'!$C:$BQ,59,0)</f>
        <v>#N/A</v>
      </c>
      <c r="AK89" s="115" t="e">
        <f>VLOOKUP($A89,'S47'!$C:$BQ,60,0)</f>
        <v>#N/A</v>
      </c>
      <c r="AL89" s="107" t="e">
        <f>VLOOKUP($A89,'S48'!$C:$BQ,32,0)</f>
        <v>#N/A</v>
      </c>
      <c r="AM89" s="107" t="e">
        <f>VLOOKUP($A89,'S48'!$C:$BQ,39,0)</f>
        <v>#N/A</v>
      </c>
      <c r="AN89" s="107" t="e">
        <f>VLOOKUP($A89,'S48'!$C:$BQ,40,0)</f>
        <v>#N/A</v>
      </c>
      <c r="AO89" s="107" t="e">
        <f>VLOOKUP($A89,'S48'!$C:$BQ,22,0)</f>
        <v>#N/A</v>
      </c>
      <c r="AP89" s="115" t="e">
        <f>VLOOKUP($A89,'S48'!$C:$BQ,29,0)</f>
        <v>#N/A</v>
      </c>
      <c r="AQ89" s="115" t="e">
        <f>VLOOKUP($A89,'S48'!$C:$BQ,30,0)</f>
        <v>#N/A</v>
      </c>
      <c r="AR89" s="115" t="e">
        <f>VLOOKUP($A89,'S48'!$C:$BQ,52,0)</f>
        <v>#N/A</v>
      </c>
      <c r="AS89" s="115" t="e">
        <f>VLOOKUP($A89,'S48'!$C:$BQ,59,0)</f>
        <v>#N/A</v>
      </c>
      <c r="AT89" s="115" t="e">
        <f>VLOOKUP($A89,'S48'!$C:$BQ,60,0)</f>
        <v>#N/A</v>
      </c>
      <c r="AU89" s="107" t="e">
        <f>VLOOKUP($A89,'S49'!$C:$BQ,32,0)</f>
        <v>#N/A</v>
      </c>
      <c r="AV89" s="107" t="e">
        <f>VLOOKUP($A89,'S49'!$C:$BQ,39,0)</f>
        <v>#N/A</v>
      </c>
      <c r="AW89" s="107" t="e">
        <f>VLOOKUP($A89,'S49'!$C:$BQ,40,0)</f>
        <v>#N/A</v>
      </c>
      <c r="AX89" s="107" t="e">
        <f>VLOOKUP($A89,'S49'!$C:$BQ,22,0)</f>
        <v>#N/A</v>
      </c>
      <c r="AY89" s="115" t="e">
        <f>VLOOKUP($A89,'S49'!$C:$BQ,29,0)</f>
        <v>#N/A</v>
      </c>
      <c r="AZ89" s="115" t="e">
        <f>VLOOKUP($A89,'S49'!$C:$BQ,30,0)</f>
        <v>#N/A</v>
      </c>
      <c r="BA89" s="115" t="e">
        <f>VLOOKUP($A89,'S49'!$C:$BQ,52,0)</f>
        <v>#N/A</v>
      </c>
      <c r="BB89" s="115" t="e">
        <f>VLOOKUP($A89,'S49'!$C:$BQ,59,0)</f>
        <v>#N/A</v>
      </c>
      <c r="BC89" s="115" t="e">
        <f>VLOOKUP($A89,'S49'!$C:$BQ,60,0)</f>
        <v>#N/A</v>
      </c>
      <c r="BD89" s="107" t="e">
        <f>VLOOKUP($A89,'S50'!$C:$BQ,32,0)</f>
        <v>#N/A</v>
      </c>
      <c r="BE89" s="107" t="e">
        <f>VLOOKUP($A89,'S50'!$C:$BQ,39,0)</f>
        <v>#N/A</v>
      </c>
      <c r="BF89" s="107" t="e">
        <f>VLOOKUP($A89,'S50'!$C:$BQ,40,0)</f>
        <v>#N/A</v>
      </c>
      <c r="BG89" s="107" t="e">
        <f>VLOOKUP($A89,'S50'!$C:$BQ,22,0)</f>
        <v>#N/A</v>
      </c>
      <c r="BH89" s="115" t="e">
        <f>VLOOKUP($A89,'S50'!$C:$BQ,29,0)</f>
        <v>#N/A</v>
      </c>
      <c r="BI89" s="115" t="e">
        <f>VLOOKUP($A89,'S50'!$C:$BQ,30,0)</f>
        <v>#N/A</v>
      </c>
      <c r="BJ89" s="115" t="e">
        <f>VLOOKUP($A89,'S50'!$C:$BQ,52,0)</f>
        <v>#N/A</v>
      </c>
      <c r="BK89" s="115" t="e">
        <f>VLOOKUP($A89,'S50'!$C:$BQ,59,0)</f>
        <v>#N/A</v>
      </c>
      <c r="BL89" s="115" t="e">
        <f>VLOOKUP($A89,'S50'!$C:$BQ,60,0)</f>
        <v>#N/A</v>
      </c>
    </row>
    <row r="90" spans="1:64" x14ac:dyDescent="0.2">
      <c r="A90" s="106" t="s">
        <v>151</v>
      </c>
      <c r="B90" s="107">
        <f>VLOOKUP($A90,'S0 remplacer avec S44'!$C:$BQ,32,0)</f>
        <v>319.60000000000002</v>
      </c>
      <c r="C90" s="107">
        <f>VLOOKUP($A90,'S0 remplacer avec S44'!$C:$BQ,39,0)</f>
        <v>57</v>
      </c>
      <c r="D90" s="107">
        <f>VLOOKUP($A90,'S0 remplacer avec S44'!$C:$BQ,40,0)</f>
        <v>133</v>
      </c>
      <c r="E90" s="107">
        <f>VLOOKUP($A90,'S0 remplacer avec S44'!$C:$BQ,22,0)</f>
        <v>2159.1284850000002</v>
      </c>
      <c r="F90" s="115">
        <f>VLOOKUP($A90,'S0 remplacer avec S44'!$C:$BQ,29,0)</f>
        <v>1264</v>
      </c>
      <c r="G90" s="115">
        <f>VLOOKUP($A90,'S0 remplacer avec S44'!$C:$BQ,30,0)</f>
        <v>1949</v>
      </c>
      <c r="H90" s="115">
        <f>VLOOKUP($A90,'S0 remplacer avec S44'!$C:$BQ,52,0)</f>
        <v>142.19999999999999</v>
      </c>
      <c r="I90" s="115">
        <f>VLOOKUP($A90,'S0 remplacer avec S44'!$C:$BQ,59,0)</f>
        <v>49</v>
      </c>
      <c r="J90" s="115">
        <f>VLOOKUP($A90,'S0 remplacer avec S44'!$C:$BQ,60,0)</f>
        <v>88</v>
      </c>
      <c r="K90" s="107" t="e">
        <f>VLOOKUP($A90,'S45'!$C:$BQ,32,0)</f>
        <v>#N/A</v>
      </c>
      <c r="L90" s="107" t="e">
        <f>VLOOKUP($A90,'S45'!$C:$BQ,39,0)</f>
        <v>#N/A</v>
      </c>
      <c r="M90" s="107" t="e">
        <f>VLOOKUP($A90,'S45'!$C:$BQ,40,0)</f>
        <v>#N/A</v>
      </c>
      <c r="N90" s="107" t="e">
        <f>VLOOKUP($A90,'S45'!$C:$BQ,22,0)</f>
        <v>#N/A</v>
      </c>
      <c r="O90" s="115" t="e">
        <f>VLOOKUP($A90,'S45'!$C:$BQ,29,0)</f>
        <v>#N/A</v>
      </c>
      <c r="P90" s="115" t="e">
        <f>VLOOKUP($A90,'S45'!$C:$BQ,30,0)</f>
        <v>#N/A</v>
      </c>
      <c r="Q90" s="115" t="e">
        <f>VLOOKUP($A90,'S45'!$C:$BQ,52,0)</f>
        <v>#N/A</v>
      </c>
      <c r="R90" s="115" t="e">
        <f>VLOOKUP($A90,'S45'!$C:$BQ,59,0)</f>
        <v>#N/A</v>
      </c>
      <c r="S90" s="115" t="e">
        <f>VLOOKUP($A90,'S45'!$C:$BQ,60,0)</f>
        <v>#N/A</v>
      </c>
      <c r="T90" s="107" t="e">
        <f>VLOOKUP($A90,'S46'!$C:$BQ,32,0)</f>
        <v>#N/A</v>
      </c>
      <c r="U90" s="107" t="e">
        <f>VLOOKUP($A90,'S46'!$C:$BQ,39,0)</f>
        <v>#N/A</v>
      </c>
      <c r="V90" s="107" t="e">
        <f>VLOOKUP($A90,'S46'!$C:$BQ,40,0)</f>
        <v>#N/A</v>
      </c>
      <c r="W90" s="107" t="e">
        <f>VLOOKUP($A90,'S46'!$C:$BQ,22,0)</f>
        <v>#N/A</v>
      </c>
      <c r="X90" s="115" t="e">
        <f>VLOOKUP($A90,'S46'!$C:$BQ,29,0)</f>
        <v>#N/A</v>
      </c>
      <c r="Y90" s="115" t="e">
        <f>VLOOKUP($A90,'S46'!$C:$BQ,30,0)</f>
        <v>#N/A</v>
      </c>
      <c r="Z90" s="115" t="e">
        <f>VLOOKUP($A90,'S46'!$C:$BQ,52,0)</f>
        <v>#N/A</v>
      </c>
      <c r="AA90" s="115" t="e">
        <f>VLOOKUP($A90,'S46'!$C:$BQ,59,0)</f>
        <v>#N/A</v>
      </c>
      <c r="AB90" s="115" t="e">
        <f>VLOOKUP($A90,'S46'!$C:$BQ,60,0)</f>
        <v>#N/A</v>
      </c>
      <c r="AC90" s="107" t="e">
        <f>VLOOKUP($A90,'S47'!$C:$BQ,32,0)</f>
        <v>#N/A</v>
      </c>
      <c r="AD90" s="107" t="e">
        <f>VLOOKUP($A90,'S47'!$C:$BQ,39,0)</f>
        <v>#N/A</v>
      </c>
      <c r="AE90" s="107" t="e">
        <f>VLOOKUP($A90,'S47'!$C:$BQ,40,0)</f>
        <v>#N/A</v>
      </c>
      <c r="AF90" s="107" t="e">
        <f>VLOOKUP($A90,'S47'!$C:$BQ,22,0)</f>
        <v>#N/A</v>
      </c>
      <c r="AG90" s="115" t="e">
        <f>VLOOKUP($A90,'S47'!$C:$BQ,29,0)</f>
        <v>#N/A</v>
      </c>
      <c r="AH90" s="115" t="e">
        <f>VLOOKUP($A90,'S47'!$C:$BQ,30,0)</f>
        <v>#N/A</v>
      </c>
      <c r="AI90" s="115" t="e">
        <f>VLOOKUP($A90,'S47'!$C:$BQ,52,0)</f>
        <v>#N/A</v>
      </c>
      <c r="AJ90" s="115" t="e">
        <f>VLOOKUP($A90,'S47'!$C:$BQ,59,0)</f>
        <v>#N/A</v>
      </c>
      <c r="AK90" s="115" t="e">
        <f>VLOOKUP($A90,'S47'!$C:$BQ,60,0)</f>
        <v>#N/A</v>
      </c>
      <c r="AL90" s="107" t="e">
        <f>VLOOKUP($A90,'S48'!$C:$BQ,32,0)</f>
        <v>#N/A</v>
      </c>
      <c r="AM90" s="107" t="e">
        <f>VLOOKUP($A90,'S48'!$C:$BQ,39,0)</f>
        <v>#N/A</v>
      </c>
      <c r="AN90" s="107" t="e">
        <f>VLOOKUP($A90,'S48'!$C:$BQ,40,0)</f>
        <v>#N/A</v>
      </c>
      <c r="AO90" s="107" t="e">
        <f>VLOOKUP($A90,'S48'!$C:$BQ,22,0)</f>
        <v>#N/A</v>
      </c>
      <c r="AP90" s="115" t="e">
        <f>VLOOKUP($A90,'S48'!$C:$BQ,29,0)</f>
        <v>#N/A</v>
      </c>
      <c r="AQ90" s="115" t="e">
        <f>VLOOKUP($A90,'S48'!$C:$BQ,30,0)</f>
        <v>#N/A</v>
      </c>
      <c r="AR90" s="115" t="e">
        <f>VLOOKUP($A90,'S48'!$C:$BQ,52,0)</f>
        <v>#N/A</v>
      </c>
      <c r="AS90" s="115" t="e">
        <f>VLOOKUP($A90,'S48'!$C:$BQ,59,0)</f>
        <v>#N/A</v>
      </c>
      <c r="AT90" s="115" t="e">
        <f>VLOOKUP($A90,'S48'!$C:$BQ,60,0)</f>
        <v>#N/A</v>
      </c>
      <c r="AU90" s="107" t="e">
        <f>VLOOKUP($A90,'S49'!$C:$BQ,32,0)</f>
        <v>#N/A</v>
      </c>
      <c r="AV90" s="107" t="e">
        <f>VLOOKUP($A90,'S49'!$C:$BQ,39,0)</f>
        <v>#N/A</v>
      </c>
      <c r="AW90" s="107" t="e">
        <f>VLOOKUP($A90,'S49'!$C:$BQ,40,0)</f>
        <v>#N/A</v>
      </c>
      <c r="AX90" s="107" t="e">
        <f>VLOOKUP($A90,'S49'!$C:$BQ,22,0)</f>
        <v>#N/A</v>
      </c>
      <c r="AY90" s="115" t="e">
        <f>VLOOKUP($A90,'S49'!$C:$BQ,29,0)</f>
        <v>#N/A</v>
      </c>
      <c r="AZ90" s="115" t="e">
        <f>VLOOKUP($A90,'S49'!$C:$BQ,30,0)</f>
        <v>#N/A</v>
      </c>
      <c r="BA90" s="115" t="e">
        <f>VLOOKUP($A90,'S49'!$C:$BQ,52,0)</f>
        <v>#N/A</v>
      </c>
      <c r="BB90" s="115" t="e">
        <f>VLOOKUP($A90,'S49'!$C:$BQ,59,0)</f>
        <v>#N/A</v>
      </c>
      <c r="BC90" s="115" t="e">
        <f>VLOOKUP($A90,'S49'!$C:$BQ,60,0)</f>
        <v>#N/A</v>
      </c>
      <c r="BD90" s="107" t="e">
        <f>VLOOKUP($A90,'S50'!$C:$BQ,32,0)</f>
        <v>#N/A</v>
      </c>
      <c r="BE90" s="107" t="e">
        <f>VLOOKUP($A90,'S50'!$C:$BQ,39,0)</f>
        <v>#N/A</v>
      </c>
      <c r="BF90" s="107" t="e">
        <f>VLOOKUP($A90,'S50'!$C:$BQ,40,0)</f>
        <v>#N/A</v>
      </c>
      <c r="BG90" s="107" t="e">
        <f>VLOOKUP($A90,'S50'!$C:$BQ,22,0)</f>
        <v>#N/A</v>
      </c>
      <c r="BH90" s="115" t="e">
        <f>VLOOKUP($A90,'S50'!$C:$BQ,29,0)</f>
        <v>#N/A</v>
      </c>
      <c r="BI90" s="115" t="e">
        <f>VLOOKUP($A90,'S50'!$C:$BQ,30,0)</f>
        <v>#N/A</v>
      </c>
      <c r="BJ90" s="115" t="e">
        <f>VLOOKUP($A90,'S50'!$C:$BQ,52,0)</f>
        <v>#N/A</v>
      </c>
      <c r="BK90" s="115" t="e">
        <f>VLOOKUP($A90,'S50'!$C:$BQ,59,0)</f>
        <v>#N/A</v>
      </c>
      <c r="BL90" s="115" t="e">
        <f>VLOOKUP($A90,'S50'!$C:$BQ,60,0)</f>
        <v>#N/A</v>
      </c>
    </row>
    <row r="91" spans="1:64" x14ac:dyDescent="0.2">
      <c r="A91" s="106" t="s">
        <v>152</v>
      </c>
      <c r="B91" s="107">
        <f>VLOOKUP($A91,'S0 remplacer avec S44'!$C:$BQ,32,0)</f>
        <v>303.35000000000002</v>
      </c>
      <c r="C91" s="107">
        <f>VLOOKUP($A91,'S0 remplacer avec S44'!$C:$BQ,39,0)</f>
        <v>34</v>
      </c>
      <c r="D91" s="107">
        <f>VLOOKUP($A91,'S0 remplacer avec S44'!$C:$BQ,40,0)</f>
        <v>101</v>
      </c>
      <c r="E91" s="107">
        <f>VLOOKUP($A91,'S0 remplacer avec S44'!$C:$BQ,22,0)</f>
        <v>2395.705915</v>
      </c>
      <c r="F91" s="115">
        <f>VLOOKUP($A91,'S0 remplacer avec S44'!$C:$BQ,29,0)</f>
        <v>669</v>
      </c>
      <c r="G91" s="115">
        <f>VLOOKUP($A91,'S0 remplacer avec S44'!$C:$BQ,30,0)</f>
        <v>1282</v>
      </c>
      <c r="H91" s="115">
        <f>VLOOKUP($A91,'S0 remplacer avec S44'!$C:$BQ,52,0)</f>
        <v>138</v>
      </c>
      <c r="I91" s="115">
        <f>VLOOKUP($A91,'S0 remplacer avec S44'!$C:$BQ,59,0)</f>
        <v>34</v>
      </c>
      <c r="J91" s="115">
        <f>VLOOKUP($A91,'S0 remplacer avec S44'!$C:$BQ,60,0)</f>
        <v>68</v>
      </c>
      <c r="K91" s="107" t="e">
        <f>VLOOKUP($A91,'S45'!$C:$BQ,32,0)</f>
        <v>#N/A</v>
      </c>
      <c r="L91" s="107" t="e">
        <f>VLOOKUP($A91,'S45'!$C:$BQ,39,0)</f>
        <v>#N/A</v>
      </c>
      <c r="M91" s="107" t="e">
        <f>VLOOKUP($A91,'S45'!$C:$BQ,40,0)</f>
        <v>#N/A</v>
      </c>
      <c r="N91" s="107" t="e">
        <f>VLOOKUP($A91,'S45'!$C:$BQ,22,0)</f>
        <v>#N/A</v>
      </c>
      <c r="O91" s="115" t="e">
        <f>VLOOKUP($A91,'S45'!$C:$BQ,29,0)</f>
        <v>#N/A</v>
      </c>
      <c r="P91" s="115" t="e">
        <f>VLOOKUP($A91,'S45'!$C:$BQ,30,0)</f>
        <v>#N/A</v>
      </c>
      <c r="Q91" s="115" t="e">
        <f>VLOOKUP($A91,'S45'!$C:$BQ,52,0)</f>
        <v>#N/A</v>
      </c>
      <c r="R91" s="115" t="e">
        <f>VLOOKUP($A91,'S45'!$C:$BQ,59,0)</f>
        <v>#N/A</v>
      </c>
      <c r="S91" s="115" t="e">
        <f>VLOOKUP($A91,'S45'!$C:$BQ,60,0)</f>
        <v>#N/A</v>
      </c>
      <c r="T91" s="107" t="e">
        <f>VLOOKUP($A91,'S46'!$C:$BQ,32,0)</f>
        <v>#N/A</v>
      </c>
      <c r="U91" s="107" t="e">
        <f>VLOOKUP($A91,'S46'!$C:$BQ,39,0)</f>
        <v>#N/A</v>
      </c>
      <c r="V91" s="107" t="e">
        <f>VLOOKUP($A91,'S46'!$C:$BQ,40,0)</f>
        <v>#N/A</v>
      </c>
      <c r="W91" s="107" t="e">
        <f>VLOOKUP($A91,'S46'!$C:$BQ,22,0)</f>
        <v>#N/A</v>
      </c>
      <c r="X91" s="115" t="e">
        <f>VLOOKUP($A91,'S46'!$C:$BQ,29,0)</f>
        <v>#N/A</v>
      </c>
      <c r="Y91" s="115" t="e">
        <f>VLOOKUP($A91,'S46'!$C:$BQ,30,0)</f>
        <v>#N/A</v>
      </c>
      <c r="Z91" s="115" t="e">
        <f>VLOOKUP($A91,'S46'!$C:$BQ,52,0)</f>
        <v>#N/A</v>
      </c>
      <c r="AA91" s="115" t="e">
        <f>VLOOKUP($A91,'S46'!$C:$BQ,59,0)</f>
        <v>#N/A</v>
      </c>
      <c r="AB91" s="115" t="e">
        <f>VLOOKUP($A91,'S46'!$C:$BQ,60,0)</f>
        <v>#N/A</v>
      </c>
      <c r="AC91" s="107" t="e">
        <f>VLOOKUP($A91,'S47'!$C:$BQ,32,0)</f>
        <v>#N/A</v>
      </c>
      <c r="AD91" s="107" t="e">
        <f>VLOOKUP($A91,'S47'!$C:$BQ,39,0)</f>
        <v>#N/A</v>
      </c>
      <c r="AE91" s="107" t="e">
        <f>VLOOKUP($A91,'S47'!$C:$BQ,40,0)</f>
        <v>#N/A</v>
      </c>
      <c r="AF91" s="107" t="e">
        <f>VLOOKUP($A91,'S47'!$C:$BQ,22,0)</f>
        <v>#N/A</v>
      </c>
      <c r="AG91" s="115" t="e">
        <f>VLOOKUP($A91,'S47'!$C:$BQ,29,0)</f>
        <v>#N/A</v>
      </c>
      <c r="AH91" s="115" t="e">
        <f>VLOOKUP($A91,'S47'!$C:$BQ,30,0)</f>
        <v>#N/A</v>
      </c>
      <c r="AI91" s="115" t="e">
        <f>VLOOKUP($A91,'S47'!$C:$BQ,52,0)</f>
        <v>#N/A</v>
      </c>
      <c r="AJ91" s="115" t="e">
        <f>VLOOKUP($A91,'S47'!$C:$BQ,59,0)</f>
        <v>#N/A</v>
      </c>
      <c r="AK91" s="115" t="e">
        <f>VLOOKUP($A91,'S47'!$C:$BQ,60,0)</f>
        <v>#N/A</v>
      </c>
      <c r="AL91" s="107" t="e">
        <f>VLOOKUP($A91,'S48'!$C:$BQ,32,0)</f>
        <v>#N/A</v>
      </c>
      <c r="AM91" s="107" t="e">
        <f>VLOOKUP($A91,'S48'!$C:$BQ,39,0)</f>
        <v>#N/A</v>
      </c>
      <c r="AN91" s="107" t="e">
        <f>VLOOKUP($A91,'S48'!$C:$BQ,40,0)</f>
        <v>#N/A</v>
      </c>
      <c r="AO91" s="107" t="e">
        <f>VLOOKUP($A91,'S48'!$C:$BQ,22,0)</f>
        <v>#N/A</v>
      </c>
      <c r="AP91" s="115" t="e">
        <f>VLOOKUP($A91,'S48'!$C:$BQ,29,0)</f>
        <v>#N/A</v>
      </c>
      <c r="AQ91" s="115" t="e">
        <f>VLOOKUP($A91,'S48'!$C:$BQ,30,0)</f>
        <v>#N/A</v>
      </c>
      <c r="AR91" s="115" t="e">
        <f>VLOOKUP($A91,'S48'!$C:$BQ,52,0)</f>
        <v>#N/A</v>
      </c>
      <c r="AS91" s="115" t="e">
        <f>VLOOKUP($A91,'S48'!$C:$BQ,59,0)</f>
        <v>#N/A</v>
      </c>
      <c r="AT91" s="115" t="e">
        <f>VLOOKUP($A91,'S48'!$C:$BQ,60,0)</f>
        <v>#N/A</v>
      </c>
      <c r="AU91" s="107" t="e">
        <f>VLOOKUP($A91,'S49'!$C:$BQ,32,0)</f>
        <v>#N/A</v>
      </c>
      <c r="AV91" s="107" t="e">
        <f>VLOOKUP($A91,'S49'!$C:$BQ,39,0)</f>
        <v>#N/A</v>
      </c>
      <c r="AW91" s="107" t="e">
        <f>VLOOKUP($A91,'S49'!$C:$BQ,40,0)</f>
        <v>#N/A</v>
      </c>
      <c r="AX91" s="107" t="e">
        <f>VLOOKUP($A91,'S49'!$C:$BQ,22,0)</f>
        <v>#N/A</v>
      </c>
      <c r="AY91" s="115" t="e">
        <f>VLOOKUP($A91,'S49'!$C:$BQ,29,0)</f>
        <v>#N/A</v>
      </c>
      <c r="AZ91" s="115" t="e">
        <f>VLOOKUP($A91,'S49'!$C:$BQ,30,0)</f>
        <v>#N/A</v>
      </c>
      <c r="BA91" s="115" t="e">
        <f>VLOOKUP($A91,'S49'!$C:$BQ,52,0)</f>
        <v>#N/A</v>
      </c>
      <c r="BB91" s="115" t="e">
        <f>VLOOKUP($A91,'S49'!$C:$BQ,59,0)</f>
        <v>#N/A</v>
      </c>
      <c r="BC91" s="115" t="e">
        <f>VLOOKUP($A91,'S49'!$C:$BQ,60,0)</f>
        <v>#N/A</v>
      </c>
      <c r="BD91" s="107" t="e">
        <f>VLOOKUP($A91,'S50'!$C:$BQ,32,0)</f>
        <v>#N/A</v>
      </c>
      <c r="BE91" s="107" t="e">
        <f>VLOOKUP($A91,'S50'!$C:$BQ,39,0)</f>
        <v>#N/A</v>
      </c>
      <c r="BF91" s="107" t="e">
        <f>VLOOKUP($A91,'S50'!$C:$BQ,40,0)</f>
        <v>#N/A</v>
      </c>
      <c r="BG91" s="107" t="e">
        <f>VLOOKUP($A91,'S50'!$C:$BQ,22,0)</f>
        <v>#N/A</v>
      </c>
      <c r="BH91" s="115" t="e">
        <f>VLOOKUP($A91,'S50'!$C:$BQ,29,0)</f>
        <v>#N/A</v>
      </c>
      <c r="BI91" s="115" t="e">
        <f>VLOOKUP($A91,'S50'!$C:$BQ,30,0)</f>
        <v>#N/A</v>
      </c>
      <c r="BJ91" s="115" t="e">
        <f>VLOOKUP($A91,'S50'!$C:$BQ,52,0)</f>
        <v>#N/A</v>
      </c>
      <c r="BK91" s="115" t="e">
        <f>VLOOKUP($A91,'S50'!$C:$BQ,59,0)</f>
        <v>#N/A</v>
      </c>
      <c r="BL91" s="115" t="e">
        <f>VLOOKUP($A91,'S50'!$C:$BQ,60,0)</f>
        <v>#N/A</v>
      </c>
    </row>
    <row r="92" spans="1:64" x14ac:dyDescent="0.2">
      <c r="A92" s="106" t="s">
        <v>153</v>
      </c>
      <c r="B92" s="107">
        <f>VLOOKUP($A92,'S0 remplacer avec S44'!$C:$BQ,32,0)</f>
        <v>100.7</v>
      </c>
      <c r="C92" s="107">
        <f>VLOOKUP($A92,'S0 remplacer avec S44'!$C:$BQ,39,0)</f>
        <v>17</v>
      </c>
      <c r="D92" s="107">
        <f>VLOOKUP($A92,'S0 remplacer avec S44'!$C:$BQ,40,0)</f>
        <v>40</v>
      </c>
      <c r="E92" s="107">
        <f>VLOOKUP($A92,'S0 remplacer avec S44'!$C:$BQ,22,0)</f>
        <v>1074.056</v>
      </c>
      <c r="F92" s="115">
        <f>VLOOKUP($A92,'S0 remplacer avec S44'!$C:$BQ,29,0)</f>
        <v>0</v>
      </c>
      <c r="G92" s="115">
        <f>VLOOKUP($A92,'S0 remplacer avec S44'!$C:$BQ,30,0)</f>
        <v>204</v>
      </c>
      <c r="H92" s="115">
        <f>VLOOKUP($A92,'S0 remplacer avec S44'!$C:$BQ,52,0)</f>
        <v>93</v>
      </c>
      <c r="I92" s="115">
        <f>VLOOKUP($A92,'S0 remplacer avec S44'!$C:$BQ,59,0)</f>
        <v>0</v>
      </c>
      <c r="J92" s="115">
        <f>VLOOKUP($A92,'S0 remplacer avec S44'!$C:$BQ,60,0)</f>
        <v>0</v>
      </c>
      <c r="K92" s="107" t="e">
        <f>VLOOKUP($A92,'S45'!$C:$BQ,32,0)</f>
        <v>#N/A</v>
      </c>
      <c r="L92" s="107" t="e">
        <f>VLOOKUP($A92,'S45'!$C:$BQ,39,0)</f>
        <v>#N/A</v>
      </c>
      <c r="M92" s="107" t="e">
        <f>VLOOKUP($A92,'S45'!$C:$BQ,40,0)</f>
        <v>#N/A</v>
      </c>
      <c r="N92" s="107" t="e">
        <f>VLOOKUP($A92,'S45'!$C:$BQ,22,0)</f>
        <v>#N/A</v>
      </c>
      <c r="O92" s="115" t="e">
        <f>VLOOKUP($A92,'S45'!$C:$BQ,29,0)</f>
        <v>#N/A</v>
      </c>
      <c r="P92" s="115" t="e">
        <f>VLOOKUP($A92,'S45'!$C:$BQ,30,0)</f>
        <v>#N/A</v>
      </c>
      <c r="Q92" s="115" t="e">
        <f>VLOOKUP($A92,'S45'!$C:$BQ,52,0)</f>
        <v>#N/A</v>
      </c>
      <c r="R92" s="115" t="e">
        <f>VLOOKUP($A92,'S45'!$C:$BQ,59,0)</f>
        <v>#N/A</v>
      </c>
      <c r="S92" s="115" t="e">
        <f>VLOOKUP($A92,'S45'!$C:$BQ,60,0)</f>
        <v>#N/A</v>
      </c>
      <c r="T92" s="107" t="e">
        <f>VLOOKUP($A92,'S46'!$C:$BQ,32,0)</f>
        <v>#N/A</v>
      </c>
      <c r="U92" s="107" t="e">
        <f>VLOOKUP($A92,'S46'!$C:$BQ,39,0)</f>
        <v>#N/A</v>
      </c>
      <c r="V92" s="107" t="e">
        <f>VLOOKUP($A92,'S46'!$C:$BQ,40,0)</f>
        <v>#N/A</v>
      </c>
      <c r="W92" s="107" t="e">
        <f>VLOOKUP($A92,'S46'!$C:$BQ,22,0)</f>
        <v>#N/A</v>
      </c>
      <c r="X92" s="115" t="e">
        <f>VLOOKUP($A92,'S46'!$C:$BQ,29,0)</f>
        <v>#N/A</v>
      </c>
      <c r="Y92" s="115" t="e">
        <f>VLOOKUP($A92,'S46'!$C:$BQ,30,0)</f>
        <v>#N/A</v>
      </c>
      <c r="Z92" s="115" t="e">
        <f>VLOOKUP($A92,'S46'!$C:$BQ,52,0)</f>
        <v>#N/A</v>
      </c>
      <c r="AA92" s="115" t="e">
        <f>VLOOKUP($A92,'S46'!$C:$BQ,59,0)</f>
        <v>#N/A</v>
      </c>
      <c r="AB92" s="115" t="e">
        <f>VLOOKUP($A92,'S46'!$C:$BQ,60,0)</f>
        <v>#N/A</v>
      </c>
      <c r="AC92" s="107" t="e">
        <f>VLOOKUP($A92,'S47'!$C:$BQ,32,0)</f>
        <v>#N/A</v>
      </c>
      <c r="AD92" s="107" t="e">
        <f>VLOOKUP($A92,'S47'!$C:$BQ,39,0)</f>
        <v>#N/A</v>
      </c>
      <c r="AE92" s="107" t="e">
        <f>VLOOKUP($A92,'S47'!$C:$BQ,40,0)</f>
        <v>#N/A</v>
      </c>
      <c r="AF92" s="107" t="e">
        <f>VLOOKUP($A92,'S47'!$C:$BQ,22,0)</f>
        <v>#N/A</v>
      </c>
      <c r="AG92" s="115" t="e">
        <f>VLOOKUP($A92,'S47'!$C:$BQ,29,0)</f>
        <v>#N/A</v>
      </c>
      <c r="AH92" s="115" t="e">
        <f>VLOOKUP($A92,'S47'!$C:$BQ,30,0)</f>
        <v>#N/A</v>
      </c>
      <c r="AI92" s="115" t="e">
        <f>VLOOKUP($A92,'S47'!$C:$BQ,52,0)</f>
        <v>#N/A</v>
      </c>
      <c r="AJ92" s="115" t="e">
        <f>VLOOKUP($A92,'S47'!$C:$BQ,59,0)</f>
        <v>#N/A</v>
      </c>
      <c r="AK92" s="115" t="e">
        <f>VLOOKUP($A92,'S47'!$C:$BQ,60,0)</f>
        <v>#N/A</v>
      </c>
      <c r="AL92" s="107" t="e">
        <f>VLOOKUP($A92,'S48'!$C:$BQ,32,0)</f>
        <v>#N/A</v>
      </c>
      <c r="AM92" s="107" t="e">
        <f>VLOOKUP($A92,'S48'!$C:$BQ,39,0)</f>
        <v>#N/A</v>
      </c>
      <c r="AN92" s="107" t="e">
        <f>VLOOKUP($A92,'S48'!$C:$BQ,40,0)</f>
        <v>#N/A</v>
      </c>
      <c r="AO92" s="107" t="e">
        <f>VLOOKUP($A92,'S48'!$C:$BQ,22,0)</f>
        <v>#N/A</v>
      </c>
      <c r="AP92" s="115" t="e">
        <f>VLOOKUP($A92,'S48'!$C:$BQ,29,0)</f>
        <v>#N/A</v>
      </c>
      <c r="AQ92" s="115" t="e">
        <f>VLOOKUP($A92,'S48'!$C:$BQ,30,0)</f>
        <v>#N/A</v>
      </c>
      <c r="AR92" s="115" t="e">
        <f>VLOOKUP($A92,'S48'!$C:$BQ,52,0)</f>
        <v>#N/A</v>
      </c>
      <c r="AS92" s="115" t="e">
        <f>VLOOKUP($A92,'S48'!$C:$BQ,59,0)</f>
        <v>#N/A</v>
      </c>
      <c r="AT92" s="115" t="e">
        <f>VLOOKUP($A92,'S48'!$C:$BQ,60,0)</f>
        <v>#N/A</v>
      </c>
      <c r="AU92" s="107" t="e">
        <f>VLOOKUP($A92,'S49'!$C:$BQ,32,0)</f>
        <v>#N/A</v>
      </c>
      <c r="AV92" s="107" t="e">
        <f>VLOOKUP($A92,'S49'!$C:$BQ,39,0)</f>
        <v>#N/A</v>
      </c>
      <c r="AW92" s="107" t="e">
        <f>VLOOKUP($A92,'S49'!$C:$BQ,40,0)</f>
        <v>#N/A</v>
      </c>
      <c r="AX92" s="107" t="e">
        <f>VLOOKUP($A92,'S49'!$C:$BQ,22,0)</f>
        <v>#N/A</v>
      </c>
      <c r="AY92" s="115" t="e">
        <f>VLOOKUP($A92,'S49'!$C:$BQ,29,0)</f>
        <v>#N/A</v>
      </c>
      <c r="AZ92" s="115" t="e">
        <f>VLOOKUP($A92,'S49'!$C:$BQ,30,0)</f>
        <v>#N/A</v>
      </c>
      <c r="BA92" s="115" t="e">
        <f>VLOOKUP($A92,'S49'!$C:$BQ,52,0)</f>
        <v>#N/A</v>
      </c>
      <c r="BB92" s="115" t="e">
        <f>VLOOKUP($A92,'S49'!$C:$BQ,59,0)</f>
        <v>#N/A</v>
      </c>
      <c r="BC92" s="115" t="e">
        <f>VLOOKUP($A92,'S49'!$C:$BQ,60,0)</f>
        <v>#N/A</v>
      </c>
      <c r="BD92" s="107" t="e">
        <f>VLOOKUP($A92,'S50'!$C:$BQ,32,0)</f>
        <v>#N/A</v>
      </c>
      <c r="BE92" s="107" t="e">
        <f>VLOOKUP($A92,'S50'!$C:$BQ,39,0)</f>
        <v>#N/A</v>
      </c>
      <c r="BF92" s="107" t="e">
        <f>VLOOKUP($A92,'S50'!$C:$BQ,40,0)</f>
        <v>#N/A</v>
      </c>
      <c r="BG92" s="107" t="e">
        <f>VLOOKUP($A92,'S50'!$C:$BQ,22,0)</f>
        <v>#N/A</v>
      </c>
      <c r="BH92" s="115" t="e">
        <f>VLOOKUP($A92,'S50'!$C:$BQ,29,0)</f>
        <v>#N/A</v>
      </c>
      <c r="BI92" s="115" t="e">
        <f>VLOOKUP($A92,'S50'!$C:$BQ,30,0)</f>
        <v>#N/A</v>
      </c>
      <c r="BJ92" s="115" t="e">
        <f>VLOOKUP($A92,'S50'!$C:$BQ,52,0)</f>
        <v>#N/A</v>
      </c>
      <c r="BK92" s="115" t="e">
        <f>VLOOKUP($A92,'S50'!$C:$BQ,59,0)</f>
        <v>#N/A</v>
      </c>
      <c r="BL92" s="115" t="e">
        <f>VLOOKUP($A92,'S50'!$C:$BQ,60,0)</f>
        <v>#N/A</v>
      </c>
    </row>
    <row r="93" spans="1:64" x14ac:dyDescent="0.2">
      <c r="A93" s="106" t="s">
        <v>154</v>
      </c>
      <c r="B93" s="107">
        <f>VLOOKUP($A93,'S0 remplacer avec S44'!$C:$BQ,32,0)</f>
        <v>210.25</v>
      </c>
      <c r="C93" s="107">
        <f>VLOOKUP($A93,'S0 remplacer avec S44'!$C:$BQ,39,0)</f>
        <v>0</v>
      </c>
      <c r="D93" s="107">
        <f>VLOOKUP($A93,'S0 remplacer avec S44'!$C:$BQ,40,0)</f>
        <v>40</v>
      </c>
      <c r="E93" s="107">
        <f>VLOOKUP($A93,'S0 remplacer avec S44'!$C:$BQ,22,0)</f>
        <v>2021.4178400000001</v>
      </c>
      <c r="F93" s="115">
        <f>VLOOKUP($A93,'S0 remplacer avec S44'!$C:$BQ,29,0)</f>
        <v>0</v>
      </c>
      <c r="G93" s="115">
        <f>VLOOKUP($A93,'S0 remplacer avec S44'!$C:$BQ,30,0)</f>
        <v>253</v>
      </c>
      <c r="H93" s="115">
        <f>VLOOKUP($A93,'S0 remplacer avec S44'!$C:$BQ,52,0)</f>
        <v>124.6</v>
      </c>
      <c r="I93" s="115">
        <f>VLOOKUP($A93,'S0 remplacer avec S44'!$C:$BQ,59,0)</f>
        <v>0</v>
      </c>
      <c r="J93" s="115">
        <f>VLOOKUP($A93,'S0 remplacer avec S44'!$C:$BQ,60,0)</f>
        <v>3</v>
      </c>
      <c r="K93" s="107" t="e">
        <f>VLOOKUP($A93,'S45'!$C:$BQ,32,0)</f>
        <v>#N/A</v>
      </c>
      <c r="L93" s="107" t="e">
        <f>VLOOKUP($A93,'S45'!$C:$BQ,39,0)</f>
        <v>#N/A</v>
      </c>
      <c r="M93" s="107" t="e">
        <f>VLOOKUP($A93,'S45'!$C:$BQ,40,0)</f>
        <v>#N/A</v>
      </c>
      <c r="N93" s="107" t="e">
        <f>VLOOKUP($A93,'S45'!$C:$BQ,22,0)</f>
        <v>#N/A</v>
      </c>
      <c r="O93" s="115" t="e">
        <f>VLOOKUP($A93,'S45'!$C:$BQ,29,0)</f>
        <v>#N/A</v>
      </c>
      <c r="P93" s="115" t="e">
        <f>VLOOKUP($A93,'S45'!$C:$BQ,30,0)</f>
        <v>#N/A</v>
      </c>
      <c r="Q93" s="115" t="e">
        <f>VLOOKUP($A93,'S45'!$C:$BQ,52,0)</f>
        <v>#N/A</v>
      </c>
      <c r="R93" s="115" t="e">
        <f>VLOOKUP($A93,'S45'!$C:$BQ,59,0)</f>
        <v>#N/A</v>
      </c>
      <c r="S93" s="115" t="e">
        <f>VLOOKUP($A93,'S45'!$C:$BQ,60,0)</f>
        <v>#N/A</v>
      </c>
      <c r="T93" s="107" t="e">
        <f>VLOOKUP($A93,'S46'!$C:$BQ,32,0)</f>
        <v>#N/A</v>
      </c>
      <c r="U93" s="107" t="e">
        <f>VLOOKUP($A93,'S46'!$C:$BQ,39,0)</f>
        <v>#N/A</v>
      </c>
      <c r="V93" s="107" t="e">
        <f>VLOOKUP($A93,'S46'!$C:$BQ,40,0)</f>
        <v>#N/A</v>
      </c>
      <c r="W93" s="107" t="e">
        <f>VLOOKUP($A93,'S46'!$C:$BQ,22,0)</f>
        <v>#N/A</v>
      </c>
      <c r="X93" s="115" t="e">
        <f>VLOOKUP($A93,'S46'!$C:$BQ,29,0)</f>
        <v>#N/A</v>
      </c>
      <c r="Y93" s="115" t="e">
        <f>VLOOKUP($A93,'S46'!$C:$BQ,30,0)</f>
        <v>#N/A</v>
      </c>
      <c r="Z93" s="115" t="e">
        <f>VLOOKUP($A93,'S46'!$C:$BQ,52,0)</f>
        <v>#N/A</v>
      </c>
      <c r="AA93" s="115" t="e">
        <f>VLOOKUP($A93,'S46'!$C:$BQ,59,0)</f>
        <v>#N/A</v>
      </c>
      <c r="AB93" s="115" t="e">
        <f>VLOOKUP($A93,'S46'!$C:$BQ,60,0)</f>
        <v>#N/A</v>
      </c>
      <c r="AC93" s="107" t="e">
        <f>VLOOKUP($A93,'S47'!$C:$BQ,32,0)</f>
        <v>#N/A</v>
      </c>
      <c r="AD93" s="107" t="e">
        <f>VLOOKUP($A93,'S47'!$C:$BQ,39,0)</f>
        <v>#N/A</v>
      </c>
      <c r="AE93" s="107" t="e">
        <f>VLOOKUP($A93,'S47'!$C:$BQ,40,0)</f>
        <v>#N/A</v>
      </c>
      <c r="AF93" s="107" t="e">
        <f>VLOOKUP($A93,'S47'!$C:$BQ,22,0)</f>
        <v>#N/A</v>
      </c>
      <c r="AG93" s="115" t="e">
        <f>VLOOKUP($A93,'S47'!$C:$BQ,29,0)</f>
        <v>#N/A</v>
      </c>
      <c r="AH93" s="115" t="e">
        <f>VLOOKUP($A93,'S47'!$C:$BQ,30,0)</f>
        <v>#N/A</v>
      </c>
      <c r="AI93" s="115" t="e">
        <f>VLOOKUP($A93,'S47'!$C:$BQ,52,0)</f>
        <v>#N/A</v>
      </c>
      <c r="AJ93" s="115" t="e">
        <f>VLOOKUP($A93,'S47'!$C:$BQ,59,0)</f>
        <v>#N/A</v>
      </c>
      <c r="AK93" s="115" t="e">
        <f>VLOOKUP($A93,'S47'!$C:$BQ,60,0)</f>
        <v>#N/A</v>
      </c>
      <c r="AL93" s="107" t="e">
        <f>VLOOKUP($A93,'S48'!$C:$BQ,32,0)</f>
        <v>#N/A</v>
      </c>
      <c r="AM93" s="107" t="e">
        <f>VLOOKUP($A93,'S48'!$C:$BQ,39,0)</f>
        <v>#N/A</v>
      </c>
      <c r="AN93" s="107" t="e">
        <f>VLOOKUP($A93,'S48'!$C:$BQ,40,0)</f>
        <v>#N/A</v>
      </c>
      <c r="AO93" s="107" t="e">
        <f>VLOOKUP($A93,'S48'!$C:$BQ,22,0)</f>
        <v>#N/A</v>
      </c>
      <c r="AP93" s="115" t="e">
        <f>VLOOKUP($A93,'S48'!$C:$BQ,29,0)</f>
        <v>#N/A</v>
      </c>
      <c r="AQ93" s="115" t="e">
        <f>VLOOKUP($A93,'S48'!$C:$BQ,30,0)</f>
        <v>#N/A</v>
      </c>
      <c r="AR93" s="115" t="e">
        <f>VLOOKUP($A93,'S48'!$C:$BQ,52,0)</f>
        <v>#N/A</v>
      </c>
      <c r="AS93" s="115" t="e">
        <f>VLOOKUP($A93,'S48'!$C:$BQ,59,0)</f>
        <v>#N/A</v>
      </c>
      <c r="AT93" s="115" t="e">
        <f>VLOOKUP($A93,'S48'!$C:$BQ,60,0)</f>
        <v>#N/A</v>
      </c>
      <c r="AU93" s="107" t="e">
        <f>VLOOKUP($A93,'S49'!$C:$BQ,32,0)</f>
        <v>#N/A</v>
      </c>
      <c r="AV93" s="107" t="e">
        <f>VLOOKUP($A93,'S49'!$C:$BQ,39,0)</f>
        <v>#N/A</v>
      </c>
      <c r="AW93" s="107" t="e">
        <f>VLOOKUP($A93,'S49'!$C:$BQ,40,0)</f>
        <v>#N/A</v>
      </c>
      <c r="AX93" s="107" t="e">
        <f>VLOOKUP($A93,'S49'!$C:$BQ,22,0)</f>
        <v>#N/A</v>
      </c>
      <c r="AY93" s="115" t="e">
        <f>VLOOKUP($A93,'S49'!$C:$BQ,29,0)</f>
        <v>#N/A</v>
      </c>
      <c r="AZ93" s="115" t="e">
        <f>VLOOKUP($A93,'S49'!$C:$BQ,30,0)</f>
        <v>#N/A</v>
      </c>
      <c r="BA93" s="115" t="e">
        <f>VLOOKUP($A93,'S49'!$C:$BQ,52,0)</f>
        <v>#N/A</v>
      </c>
      <c r="BB93" s="115" t="e">
        <f>VLOOKUP($A93,'S49'!$C:$BQ,59,0)</f>
        <v>#N/A</v>
      </c>
      <c r="BC93" s="115" t="e">
        <f>VLOOKUP($A93,'S49'!$C:$BQ,60,0)</f>
        <v>#N/A</v>
      </c>
      <c r="BD93" s="107" t="e">
        <f>VLOOKUP($A93,'S50'!$C:$BQ,32,0)</f>
        <v>#N/A</v>
      </c>
      <c r="BE93" s="107" t="e">
        <f>VLOOKUP($A93,'S50'!$C:$BQ,39,0)</f>
        <v>#N/A</v>
      </c>
      <c r="BF93" s="107" t="e">
        <f>VLOOKUP($A93,'S50'!$C:$BQ,40,0)</f>
        <v>#N/A</v>
      </c>
      <c r="BG93" s="107" t="e">
        <f>VLOOKUP($A93,'S50'!$C:$BQ,22,0)</f>
        <v>#N/A</v>
      </c>
      <c r="BH93" s="115" t="e">
        <f>VLOOKUP($A93,'S50'!$C:$BQ,29,0)</f>
        <v>#N/A</v>
      </c>
      <c r="BI93" s="115" t="e">
        <f>VLOOKUP($A93,'S50'!$C:$BQ,30,0)</f>
        <v>#N/A</v>
      </c>
      <c r="BJ93" s="115" t="e">
        <f>VLOOKUP($A93,'S50'!$C:$BQ,52,0)</f>
        <v>#N/A</v>
      </c>
      <c r="BK93" s="115" t="e">
        <f>VLOOKUP($A93,'S50'!$C:$BQ,59,0)</f>
        <v>#N/A</v>
      </c>
      <c r="BL93" s="115" t="e">
        <f>VLOOKUP($A93,'S50'!$C:$BQ,60,0)</f>
        <v>#N/A</v>
      </c>
    </row>
    <row r="94" spans="1:64" x14ac:dyDescent="0.2">
      <c r="A94" s="106" t="s">
        <v>155</v>
      </c>
      <c r="B94" s="107">
        <f>VLOOKUP($A94,'S0 remplacer avec S44'!$C:$BQ,32,0)</f>
        <v>141</v>
      </c>
      <c r="C94" s="107">
        <f>VLOOKUP($A94,'S0 remplacer avec S44'!$C:$BQ,39,0)</f>
        <v>52</v>
      </c>
      <c r="D94" s="107">
        <f>VLOOKUP($A94,'S0 remplacer avec S44'!$C:$BQ,40,0)</f>
        <v>90</v>
      </c>
      <c r="E94" s="107">
        <f>VLOOKUP($A94,'S0 remplacer avec S44'!$C:$BQ,22,0)</f>
        <v>1062.0941499999999</v>
      </c>
      <c r="F94" s="115">
        <f>VLOOKUP($A94,'S0 remplacer avec S44'!$C:$BQ,29,0)</f>
        <v>689</v>
      </c>
      <c r="G94" s="115">
        <f>VLOOKUP($A94,'S0 remplacer avec S44'!$C:$BQ,30,0)</f>
        <v>1039</v>
      </c>
      <c r="H94" s="115">
        <f>VLOOKUP($A94,'S0 remplacer avec S44'!$C:$BQ,52,0)</f>
        <v>91.6</v>
      </c>
      <c r="I94" s="115">
        <f>VLOOKUP($A94,'S0 remplacer avec S44'!$C:$BQ,59,0)</f>
        <v>7</v>
      </c>
      <c r="J94" s="115">
        <f>VLOOKUP($A94,'S0 remplacer avec S44'!$C:$BQ,60,0)</f>
        <v>26</v>
      </c>
      <c r="K94" s="107" t="e">
        <f>VLOOKUP($A94,'S45'!$C:$BQ,32,0)</f>
        <v>#N/A</v>
      </c>
      <c r="L94" s="107" t="e">
        <f>VLOOKUP($A94,'S45'!$C:$BQ,39,0)</f>
        <v>#N/A</v>
      </c>
      <c r="M94" s="107" t="e">
        <f>VLOOKUP($A94,'S45'!$C:$BQ,40,0)</f>
        <v>#N/A</v>
      </c>
      <c r="N94" s="107" t="e">
        <f>VLOOKUP($A94,'S45'!$C:$BQ,22,0)</f>
        <v>#N/A</v>
      </c>
      <c r="O94" s="115" t="e">
        <f>VLOOKUP($A94,'S45'!$C:$BQ,29,0)</f>
        <v>#N/A</v>
      </c>
      <c r="P94" s="115" t="e">
        <f>VLOOKUP($A94,'S45'!$C:$BQ,30,0)</f>
        <v>#N/A</v>
      </c>
      <c r="Q94" s="115" t="e">
        <f>VLOOKUP($A94,'S45'!$C:$BQ,52,0)</f>
        <v>#N/A</v>
      </c>
      <c r="R94" s="115" t="e">
        <f>VLOOKUP($A94,'S45'!$C:$BQ,59,0)</f>
        <v>#N/A</v>
      </c>
      <c r="S94" s="115" t="e">
        <f>VLOOKUP($A94,'S45'!$C:$BQ,60,0)</f>
        <v>#N/A</v>
      </c>
      <c r="T94" s="107" t="e">
        <f>VLOOKUP($A94,'S46'!$C:$BQ,32,0)</f>
        <v>#N/A</v>
      </c>
      <c r="U94" s="107" t="e">
        <f>VLOOKUP($A94,'S46'!$C:$BQ,39,0)</f>
        <v>#N/A</v>
      </c>
      <c r="V94" s="107" t="e">
        <f>VLOOKUP($A94,'S46'!$C:$BQ,40,0)</f>
        <v>#N/A</v>
      </c>
      <c r="W94" s="107" t="e">
        <f>VLOOKUP($A94,'S46'!$C:$BQ,22,0)</f>
        <v>#N/A</v>
      </c>
      <c r="X94" s="115" t="e">
        <f>VLOOKUP($A94,'S46'!$C:$BQ,29,0)</f>
        <v>#N/A</v>
      </c>
      <c r="Y94" s="115" t="e">
        <f>VLOOKUP($A94,'S46'!$C:$BQ,30,0)</f>
        <v>#N/A</v>
      </c>
      <c r="Z94" s="115" t="e">
        <f>VLOOKUP($A94,'S46'!$C:$BQ,52,0)</f>
        <v>#N/A</v>
      </c>
      <c r="AA94" s="115" t="e">
        <f>VLOOKUP($A94,'S46'!$C:$BQ,59,0)</f>
        <v>#N/A</v>
      </c>
      <c r="AB94" s="115" t="e">
        <f>VLOOKUP($A94,'S46'!$C:$BQ,60,0)</f>
        <v>#N/A</v>
      </c>
      <c r="AC94" s="107" t="e">
        <f>VLOOKUP($A94,'S47'!$C:$BQ,32,0)</f>
        <v>#N/A</v>
      </c>
      <c r="AD94" s="107" t="e">
        <f>VLOOKUP($A94,'S47'!$C:$BQ,39,0)</f>
        <v>#N/A</v>
      </c>
      <c r="AE94" s="107" t="e">
        <f>VLOOKUP($A94,'S47'!$C:$BQ,40,0)</f>
        <v>#N/A</v>
      </c>
      <c r="AF94" s="107" t="e">
        <f>VLOOKUP($A94,'S47'!$C:$BQ,22,0)</f>
        <v>#N/A</v>
      </c>
      <c r="AG94" s="115" t="e">
        <f>VLOOKUP($A94,'S47'!$C:$BQ,29,0)</f>
        <v>#N/A</v>
      </c>
      <c r="AH94" s="115" t="e">
        <f>VLOOKUP($A94,'S47'!$C:$BQ,30,0)</f>
        <v>#N/A</v>
      </c>
      <c r="AI94" s="115" t="e">
        <f>VLOOKUP($A94,'S47'!$C:$BQ,52,0)</f>
        <v>#N/A</v>
      </c>
      <c r="AJ94" s="115" t="e">
        <f>VLOOKUP($A94,'S47'!$C:$BQ,59,0)</f>
        <v>#N/A</v>
      </c>
      <c r="AK94" s="115" t="e">
        <f>VLOOKUP($A94,'S47'!$C:$BQ,60,0)</f>
        <v>#N/A</v>
      </c>
      <c r="AL94" s="107" t="e">
        <f>VLOOKUP($A94,'S48'!$C:$BQ,32,0)</f>
        <v>#N/A</v>
      </c>
      <c r="AM94" s="107" t="e">
        <f>VLOOKUP($A94,'S48'!$C:$BQ,39,0)</f>
        <v>#N/A</v>
      </c>
      <c r="AN94" s="107" t="e">
        <f>VLOOKUP($A94,'S48'!$C:$BQ,40,0)</f>
        <v>#N/A</v>
      </c>
      <c r="AO94" s="107" t="e">
        <f>VLOOKUP($A94,'S48'!$C:$BQ,22,0)</f>
        <v>#N/A</v>
      </c>
      <c r="AP94" s="115" t="e">
        <f>VLOOKUP($A94,'S48'!$C:$BQ,29,0)</f>
        <v>#N/A</v>
      </c>
      <c r="AQ94" s="115" t="e">
        <f>VLOOKUP($A94,'S48'!$C:$BQ,30,0)</f>
        <v>#N/A</v>
      </c>
      <c r="AR94" s="115" t="e">
        <f>VLOOKUP($A94,'S48'!$C:$BQ,52,0)</f>
        <v>#N/A</v>
      </c>
      <c r="AS94" s="115" t="e">
        <f>VLOOKUP($A94,'S48'!$C:$BQ,59,0)</f>
        <v>#N/A</v>
      </c>
      <c r="AT94" s="115" t="e">
        <f>VLOOKUP($A94,'S48'!$C:$BQ,60,0)</f>
        <v>#N/A</v>
      </c>
      <c r="AU94" s="107" t="e">
        <f>VLOOKUP($A94,'S49'!$C:$BQ,32,0)</f>
        <v>#N/A</v>
      </c>
      <c r="AV94" s="107" t="e">
        <f>VLOOKUP($A94,'S49'!$C:$BQ,39,0)</f>
        <v>#N/A</v>
      </c>
      <c r="AW94" s="107" t="e">
        <f>VLOOKUP($A94,'S49'!$C:$BQ,40,0)</f>
        <v>#N/A</v>
      </c>
      <c r="AX94" s="107" t="e">
        <f>VLOOKUP($A94,'S49'!$C:$BQ,22,0)</f>
        <v>#N/A</v>
      </c>
      <c r="AY94" s="115" t="e">
        <f>VLOOKUP($A94,'S49'!$C:$BQ,29,0)</f>
        <v>#N/A</v>
      </c>
      <c r="AZ94" s="115" t="e">
        <f>VLOOKUP($A94,'S49'!$C:$BQ,30,0)</f>
        <v>#N/A</v>
      </c>
      <c r="BA94" s="115" t="e">
        <f>VLOOKUP($A94,'S49'!$C:$BQ,52,0)</f>
        <v>#N/A</v>
      </c>
      <c r="BB94" s="115" t="e">
        <f>VLOOKUP($A94,'S49'!$C:$BQ,59,0)</f>
        <v>#N/A</v>
      </c>
      <c r="BC94" s="115" t="e">
        <f>VLOOKUP($A94,'S49'!$C:$BQ,60,0)</f>
        <v>#N/A</v>
      </c>
      <c r="BD94" s="107" t="e">
        <f>VLOOKUP($A94,'S50'!$C:$BQ,32,0)</f>
        <v>#N/A</v>
      </c>
      <c r="BE94" s="107" t="e">
        <f>VLOOKUP($A94,'S50'!$C:$BQ,39,0)</f>
        <v>#N/A</v>
      </c>
      <c r="BF94" s="107" t="e">
        <f>VLOOKUP($A94,'S50'!$C:$BQ,40,0)</f>
        <v>#N/A</v>
      </c>
      <c r="BG94" s="107" t="e">
        <f>VLOOKUP($A94,'S50'!$C:$BQ,22,0)</f>
        <v>#N/A</v>
      </c>
      <c r="BH94" s="115" t="e">
        <f>VLOOKUP($A94,'S50'!$C:$BQ,29,0)</f>
        <v>#N/A</v>
      </c>
      <c r="BI94" s="115" t="e">
        <f>VLOOKUP($A94,'S50'!$C:$BQ,30,0)</f>
        <v>#N/A</v>
      </c>
      <c r="BJ94" s="115" t="e">
        <f>VLOOKUP($A94,'S50'!$C:$BQ,52,0)</f>
        <v>#N/A</v>
      </c>
      <c r="BK94" s="115" t="e">
        <f>VLOOKUP($A94,'S50'!$C:$BQ,59,0)</f>
        <v>#N/A</v>
      </c>
      <c r="BL94" s="115" t="e">
        <f>VLOOKUP($A94,'S50'!$C:$BQ,60,0)</f>
        <v>#N/A</v>
      </c>
    </row>
    <row r="95" spans="1:64" x14ac:dyDescent="0.2">
      <c r="A95" s="106" t="s">
        <v>156</v>
      </c>
      <c r="B95" s="107">
        <f>VLOOKUP($A95,'S0 remplacer avec S44'!$C:$BQ,32,0)</f>
        <v>168.4</v>
      </c>
      <c r="C95" s="107">
        <f>VLOOKUP($A95,'S0 remplacer avec S44'!$C:$BQ,39,0)</f>
        <v>5</v>
      </c>
      <c r="D95" s="107">
        <f>VLOOKUP($A95,'S0 remplacer avec S44'!$C:$BQ,40,0)</f>
        <v>40</v>
      </c>
      <c r="E95" s="107">
        <f>VLOOKUP($A95,'S0 remplacer avec S44'!$C:$BQ,22,0)</f>
        <v>699.08525999999995</v>
      </c>
      <c r="F95" s="115">
        <f>VLOOKUP($A95,'S0 remplacer avec S44'!$C:$BQ,29,0)</f>
        <v>874</v>
      </c>
      <c r="G95" s="115">
        <f>VLOOKUP($A95,'S0 remplacer avec S44'!$C:$BQ,30,0)</f>
        <v>1189</v>
      </c>
      <c r="H95" s="115">
        <f>VLOOKUP($A95,'S0 remplacer avec S44'!$C:$BQ,52,0)</f>
        <v>103.4</v>
      </c>
      <c r="I95" s="115">
        <f>VLOOKUP($A95,'S0 remplacer avec S44'!$C:$BQ,59,0)</f>
        <v>0</v>
      </c>
      <c r="J95" s="115">
        <f>VLOOKUP($A95,'S0 remplacer avec S44'!$C:$BQ,60,0)</f>
        <v>3</v>
      </c>
      <c r="K95" s="107" t="e">
        <f>VLOOKUP($A95,'S45'!$C:$BQ,32,0)</f>
        <v>#N/A</v>
      </c>
      <c r="L95" s="107" t="e">
        <f>VLOOKUP($A95,'S45'!$C:$BQ,39,0)</f>
        <v>#N/A</v>
      </c>
      <c r="M95" s="107" t="e">
        <f>VLOOKUP($A95,'S45'!$C:$BQ,40,0)</f>
        <v>#N/A</v>
      </c>
      <c r="N95" s="107" t="e">
        <f>VLOOKUP($A95,'S45'!$C:$BQ,22,0)</f>
        <v>#N/A</v>
      </c>
      <c r="O95" s="115" t="e">
        <f>VLOOKUP($A95,'S45'!$C:$BQ,29,0)</f>
        <v>#N/A</v>
      </c>
      <c r="P95" s="115" t="e">
        <f>VLOOKUP($A95,'S45'!$C:$BQ,30,0)</f>
        <v>#N/A</v>
      </c>
      <c r="Q95" s="115" t="e">
        <f>VLOOKUP($A95,'S45'!$C:$BQ,52,0)</f>
        <v>#N/A</v>
      </c>
      <c r="R95" s="115" t="e">
        <f>VLOOKUP($A95,'S45'!$C:$BQ,59,0)</f>
        <v>#N/A</v>
      </c>
      <c r="S95" s="115" t="e">
        <f>VLOOKUP($A95,'S45'!$C:$BQ,60,0)</f>
        <v>#N/A</v>
      </c>
      <c r="T95" s="107" t="e">
        <f>VLOOKUP($A95,'S46'!$C:$BQ,32,0)</f>
        <v>#N/A</v>
      </c>
      <c r="U95" s="107" t="e">
        <f>VLOOKUP($A95,'S46'!$C:$BQ,39,0)</f>
        <v>#N/A</v>
      </c>
      <c r="V95" s="107" t="e">
        <f>VLOOKUP($A95,'S46'!$C:$BQ,40,0)</f>
        <v>#N/A</v>
      </c>
      <c r="W95" s="107" t="e">
        <f>VLOOKUP($A95,'S46'!$C:$BQ,22,0)</f>
        <v>#N/A</v>
      </c>
      <c r="X95" s="115" t="e">
        <f>VLOOKUP($A95,'S46'!$C:$BQ,29,0)</f>
        <v>#N/A</v>
      </c>
      <c r="Y95" s="115" t="e">
        <f>VLOOKUP($A95,'S46'!$C:$BQ,30,0)</f>
        <v>#N/A</v>
      </c>
      <c r="Z95" s="115" t="e">
        <f>VLOOKUP($A95,'S46'!$C:$BQ,52,0)</f>
        <v>#N/A</v>
      </c>
      <c r="AA95" s="115" t="e">
        <f>VLOOKUP($A95,'S46'!$C:$BQ,59,0)</f>
        <v>#N/A</v>
      </c>
      <c r="AB95" s="115" t="e">
        <f>VLOOKUP($A95,'S46'!$C:$BQ,60,0)</f>
        <v>#N/A</v>
      </c>
      <c r="AC95" s="107" t="e">
        <f>VLOOKUP($A95,'S47'!$C:$BQ,32,0)</f>
        <v>#N/A</v>
      </c>
      <c r="AD95" s="107" t="e">
        <f>VLOOKUP($A95,'S47'!$C:$BQ,39,0)</f>
        <v>#N/A</v>
      </c>
      <c r="AE95" s="107" t="e">
        <f>VLOOKUP($A95,'S47'!$C:$BQ,40,0)</f>
        <v>#N/A</v>
      </c>
      <c r="AF95" s="107" t="e">
        <f>VLOOKUP($A95,'S47'!$C:$BQ,22,0)</f>
        <v>#N/A</v>
      </c>
      <c r="AG95" s="115" t="e">
        <f>VLOOKUP($A95,'S47'!$C:$BQ,29,0)</f>
        <v>#N/A</v>
      </c>
      <c r="AH95" s="115" t="e">
        <f>VLOOKUP($A95,'S47'!$C:$BQ,30,0)</f>
        <v>#N/A</v>
      </c>
      <c r="AI95" s="115" t="e">
        <f>VLOOKUP($A95,'S47'!$C:$BQ,52,0)</f>
        <v>#N/A</v>
      </c>
      <c r="AJ95" s="115" t="e">
        <f>VLOOKUP($A95,'S47'!$C:$BQ,59,0)</f>
        <v>#N/A</v>
      </c>
      <c r="AK95" s="115" t="e">
        <f>VLOOKUP($A95,'S47'!$C:$BQ,60,0)</f>
        <v>#N/A</v>
      </c>
      <c r="AL95" s="107" t="e">
        <f>VLOOKUP($A95,'S48'!$C:$BQ,32,0)</f>
        <v>#N/A</v>
      </c>
      <c r="AM95" s="107" t="e">
        <f>VLOOKUP($A95,'S48'!$C:$BQ,39,0)</f>
        <v>#N/A</v>
      </c>
      <c r="AN95" s="107" t="e">
        <f>VLOOKUP($A95,'S48'!$C:$BQ,40,0)</f>
        <v>#N/A</v>
      </c>
      <c r="AO95" s="107" t="e">
        <f>VLOOKUP($A95,'S48'!$C:$BQ,22,0)</f>
        <v>#N/A</v>
      </c>
      <c r="AP95" s="115" t="e">
        <f>VLOOKUP($A95,'S48'!$C:$BQ,29,0)</f>
        <v>#N/A</v>
      </c>
      <c r="AQ95" s="115" t="e">
        <f>VLOOKUP($A95,'S48'!$C:$BQ,30,0)</f>
        <v>#N/A</v>
      </c>
      <c r="AR95" s="115" t="e">
        <f>VLOOKUP($A95,'S48'!$C:$BQ,52,0)</f>
        <v>#N/A</v>
      </c>
      <c r="AS95" s="115" t="e">
        <f>VLOOKUP($A95,'S48'!$C:$BQ,59,0)</f>
        <v>#N/A</v>
      </c>
      <c r="AT95" s="115" t="e">
        <f>VLOOKUP($A95,'S48'!$C:$BQ,60,0)</f>
        <v>#N/A</v>
      </c>
      <c r="AU95" s="107" t="e">
        <f>VLOOKUP($A95,'S49'!$C:$BQ,32,0)</f>
        <v>#N/A</v>
      </c>
      <c r="AV95" s="107" t="e">
        <f>VLOOKUP($A95,'S49'!$C:$BQ,39,0)</f>
        <v>#N/A</v>
      </c>
      <c r="AW95" s="107" t="e">
        <f>VLOOKUP($A95,'S49'!$C:$BQ,40,0)</f>
        <v>#N/A</v>
      </c>
      <c r="AX95" s="107" t="e">
        <f>VLOOKUP($A95,'S49'!$C:$BQ,22,0)</f>
        <v>#N/A</v>
      </c>
      <c r="AY95" s="115" t="e">
        <f>VLOOKUP($A95,'S49'!$C:$BQ,29,0)</f>
        <v>#N/A</v>
      </c>
      <c r="AZ95" s="115" t="e">
        <f>VLOOKUP($A95,'S49'!$C:$BQ,30,0)</f>
        <v>#N/A</v>
      </c>
      <c r="BA95" s="115" t="e">
        <f>VLOOKUP($A95,'S49'!$C:$BQ,52,0)</f>
        <v>#N/A</v>
      </c>
      <c r="BB95" s="115" t="e">
        <f>VLOOKUP($A95,'S49'!$C:$BQ,59,0)</f>
        <v>#N/A</v>
      </c>
      <c r="BC95" s="115" t="e">
        <f>VLOOKUP($A95,'S49'!$C:$BQ,60,0)</f>
        <v>#N/A</v>
      </c>
      <c r="BD95" s="107" t="e">
        <f>VLOOKUP($A95,'S50'!$C:$BQ,32,0)</f>
        <v>#N/A</v>
      </c>
      <c r="BE95" s="107" t="e">
        <f>VLOOKUP($A95,'S50'!$C:$BQ,39,0)</f>
        <v>#N/A</v>
      </c>
      <c r="BF95" s="107" t="e">
        <f>VLOOKUP($A95,'S50'!$C:$BQ,40,0)</f>
        <v>#N/A</v>
      </c>
      <c r="BG95" s="107" t="e">
        <f>VLOOKUP($A95,'S50'!$C:$BQ,22,0)</f>
        <v>#N/A</v>
      </c>
      <c r="BH95" s="115" t="e">
        <f>VLOOKUP($A95,'S50'!$C:$BQ,29,0)</f>
        <v>#N/A</v>
      </c>
      <c r="BI95" s="115" t="e">
        <f>VLOOKUP($A95,'S50'!$C:$BQ,30,0)</f>
        <v>#N/A</v>
      </c>
      <c r="BJ95" s="115" t="e">
        <f>VLOOKUP($A95,'S50'!$C:$BQ,52,0)</f>
        <v>#N/A</v>
      </c>
      <c r="BK95" s="115" t="e">
        <f>VLOOKUP($A95,'S50'!$C:$BQ,59,0)</f>
        <v>#N/A</v>
      </c>
      <c r="BL95" s="115" t="e">
        <f>VLOOKUP($A95,'S50'!$C:$BQ,60,0)</f>
        <v>#N/A</v>
      </c>
    </row>
    <row r="96" spans="1:64" x14ac:dyDescent="0.2">
      <c r="A96" s="106" t="s">
        <v>157</v>
      </c>
      <c r="B96" s="107">
        <f>VLOOKUP($A96,'S0 remplacer avec S44'!$C:$BQ,32,0)</f>
        <v>217.35</v>
      </c>
      <c r="C96" s="107">
        <f>VLOOKUP($A96,'S0 remplacer avec S44'!$C:$BQ,39,0)</f>
        <v>20</v>
      </c>
      <c r="D96" s="107">
        <f>VLOOKUP($A96,'S0 remplacer avec S44'!$C:$BQ,40,0)</f>
        <v>67</v>
      </c>
      <c r="E96" s="107">
        <f>VLOOKUP($A96,'S0 remplacer avec S44'!$C:$BQ,22,0)</f>
        <v>2157.8723850000001</v>
      </c>
      <c r="F96" s="115">
        <f>VLOOKUP($A96,'S0 remplacer avec S44'!$C:$BQ,29,0)</f>
        <v>0</v>
      </c>
      <c r="G96" s="115">
        <f>VLOOKUP($A96,'S0 remplacer avec S44'!$C:$BQ,30,0)</f>
        <v>426</v>
      </c>
      <c r="H96" s="115">
        <f>VLOOKUP($A96,'S0 remplacer avec S44'!$C:$BQ,52,0)</f>
        <v>153</v>
      </c>
      <c r="I96" s="115">
        <f>VLOOKUP($A96,'S0 remplacer avec S44'!$C:$BQ,59,0)</f>
        <v>0</v>
      </c>
      <c r="J96" s="115">
        <f>VLOOKUP($A96,'S0 remplacer avec S44'!$C:$BQ,60,0)</f>
        <v>0</v>
      </c>
      <c r="K96" s="107" t="e">
        <f>VLOOKUP($A96,'S45'!$C:$BQ,32,0)</f>
        <v>#N/A</v>
      </c>
      <c r="L96" s="107" t="e">
        <f>VLOOKUP($A96,'S45'!$C:$BQ,39,0)</f>
        <v>#N/A</v>
      </c>
      <c r="M96" s="107" t="e">
        <f>VLOOKUP($A96,'S45'!$C:$BQ,40,0)</f>
        <v>#N/A</v>
      </c>
      <c r="N96" s="107" t="e">
        <f>VLOOKUP($A96,'S45'!$C:$BQ,22,0)</f>
        <v>#N/A</v>
      </c>
      <c r="O96" s="115" t="e">
        <f>VLOOKUP($A96,'S45'!$C:$BQ,29,0)</f>
        <v>#N/A</v>
      </c>
      <c r="P96" s="115" t="e">
        <f>VLOOKUP($A96,'S45'!$C:$BQ,30,0)</f>
        <v>#N/A</v>
      </c>
      <c r="Q96" s="115" t="e">
        <f>VLOOKUP($A96,'S45'!$C:$BQ,52,0)</f>
        <v>#N/A</v>
      </c>
      <c r="R96" s="115" t="e">
        <f>VLOOKUP($A96,'S45'!$C:$BQ,59,0)</f>
        <v>#N/A</v>
      </c>
      <c r="S96" s="115" t="e">
        <f>VLOOKUP($A96,'S45'!$C:$BQ,60,0)</f>
        <v>#N/A</v>
      </c>
      <c r="T96" s="107" t="e">
        <f>VLOOKUP($A96,'S46'!$C:$BQ,32,0)</f>
        <v>#N/A</v>
      </c>
      <c r="U96" s="107" t="e">
        <f>VLOOKUP($A96,'S46'!$C:$BQ,39,0)</f>
        <v>#N/A</v>
      </c>
      <c r="V96" s="107" t="e">
        <f>VLOOKUP($A96,'S46'!$C:$BQ,40,0)</f>
        <v>#N/A</v>
      </c>
      <c r="W96" s="107" t="e">
        <f>VLOOKUP($A96,'S46'!$C:$BQ,22,0)</f>
        <v>#N/A</v>
      </c>
      <c r="X96" s="115" t="e">
        <f>VLOOKUP($A96,'S46'!$C:$BQ,29,0)</f>
        <v>#N/A</v>
      </c>
      <c r="Y96" s="115" t="e">
        <f>VLOOKUP($A96,'S46'!$C:$BQ,30,0)</f>
        <v>#N/A</v>
      </c>
      <c r="Z96" s="115" t="e">
        <f>VLOOKUP($A96,'S46'!$C:$BQ,52,0)</f>
        <v>#N/A</v>
      </c>
      <c r="AA96" s="115" t="e">
        <f>VLOOKUP($A96,'S46'!$C:$BQ,59,0)</f>
        <v>#N/A</v>
      </c>
      <c r="AB96" s="115" t="e">
        <f>VLOOKUP($A96,'S46'!$C:$BQ,60,0)</f>
        <v>#N/A</v>
      </c>
      <c r="AC96" s="107" t="e">
        <f>VLOOKUP($A96,'S47'!$C:$BQ,32,0)</f>
        <v>#N/A</v>
      </c>
      <c r="AD96" s="107" t="e">
        <f>VLOOKUP($A96,'S47'!$C:$BQ,39,0)</f>
        <v>#N/A</v>
      </c>
      <c r="AE96" s="107" t="e">
        <f>VLOOKUP($A96,'S47'!$C:$BQ,40,0)</f>
        <v>#N/A</v>
      </c>
      <c r="AF96" s="107" t="e">
        <f>VLOOKUP($A96,'S47'!$C:$BQ,22,0)</f>
        <v>#N/A</v>
      </c>
      <c r="AG96" s="115" t="e">
        <f>VLOOKUP($A96,'S47'!$C:$BQ,29,0)</f>
        <v>#N/A</v>
      </c>
      <c r="AH96" s="115" t="e">
        <f>VLOOKUP($A96,'S47'!$C:$BQ,30,0)</f>
        <v>#N/A</v>
      </c>
      <c r="AI96" s="115" t="e">
        <f>VLOOKUP($A96,'S47'!$C:$BQ,52,0)</f>
        <v>#N/A</v>
      </c>
      <c r="AJ96" s="115" t="e">
        <f>VLOOKUP($A96,'S47'!$C:$BQ,59,0)</f>
        <v>#N/A</v>
      </c>
      <c r="AK96" s="115" t="e">
        <f>VLOOKUP($A96,'S47'!$C:$BQ,60,0)</f>
        <v>#N/A</v>
      </c>
      <c r="AL96" s="107" t="e">
        <f>VLOOKUP($A96,'S48'!$C:$BQ,32,0)</f>
        <v>#N/A</v>
      </c>
      <c r="AM96" s="107" t="e">
        <f>VLOOKUP($A96,'S48'!$C:$BQ,39,0)</f>
        <v>#N/A</v>
      </c>
      <c r="AN96" s="107" t="e">
        <f>VLOOKUP($A96,'S48'!$C:$BQ,40,0)</f>
        <v>#N/A</v>
      </c>
      <c r="AO96" s="107" t="e">
        <f>VLOOKUP($A96,'S48'!$C:$BQ,22,0)</f>
        <v>#N/A</v>
      </c>
      <c r="AP96" s="115" t="e">
        <f>VLOOKUP($A96,'S48'!$C:$BQ,29,0)</f>
        <v>#N/A</v>
      </c>
      <c r="AQ96" s="115" t="e">
        <f>VLOOKUP($A96,'S48'!$C:$BQ,30,0)</f>
        <v>#N/A</v>
      </c>
      <c r="AR96" s="115" t="e">
        <f>VLOOKUP($A96,'S48'!$C:$BQ,52,0)</f>
        <v>#N/A</v>
      </c>
      <c r="AS96" s="115" t="e">
        <f>VLOOKUP($A96,'S48'!$C:$BQ,59,0)</f>
        <v>#N/A</v>
      </c>
      <c r="AT96" s="115" t="e">
        <f>VLOOKUP($A96,'S48'!$C:$BQ,60,0)</f>
        <v>#N/A</v>
      </c>
      <c r="AU96" s="107" t="e">
        <f>VLOOKUP($A96,'S49'!$C:$BQ,32,0)</f>
        <v>#N/A</v>
      </c>
      <c r="AV96" s="107" t="e">
        <f>VLOOKUP($A96,'S49'!$C:$BQ,39,0)</f>
        <v>#N/A</v>
      </c>
      <c r="AW96" s="107" t="e">
        <f>VLOOKUP($A96,'S49'!$C:$BQ,40,0)</f>
        <v>#N/A</v>
      </c>
      <c r="AX96" s="107" t="e">
        <f>VLOOKUP($A96,'S49'!$C:$BQ,22,0)</f>
        <v>#N/A</v>
      </c>
      <c r="AY96" s="115" t="e">
        <f>VLOOKUP($A96,'S49'!$C:$BQ,29,0)</f>
        <v>#N/A</v>
      </c>
      <c r="AZ96" s="115" t="e">
        <f>VLOOKUP($A96,'S49'!$C:$BQ,30,0)</f>
        <v>#N/A</v>
      </c>
      <c r="BA96" s="115" t="e">
        <f>VLOOKUP($A96,'S49'!$C:$BQ,52,0)</f>
        <v>#N/A</v>
      </c>
      <c r="BB96" s="115" t="e">
        <f>VLOOKUP($A96,'S49'!$C:$BQ,59,0)</f>
        <v>#N/A</v>
      </c>
      <c r="BC96" s="115" t="e">
        <f>VLOOKUP($A96,'S49'!$C:$BQ,60,0)</f>
        <v>#N/A</v>
      </c>
      <c r="BD96" s="107" t="e">
        <f>VLOOKUP($A96,'S50'!$C:$BQ,32,0)</f>
        <v>#N/A</v>
      </c>
      <c r="BE96" s="107" t="e">
        <f>VLOOKUP($A96,'S50'!$C:$BQ,39,0)</f>
        <v>#N/A</v>
      </c>
      <c r="BF96" s="107" t="e">
        <f>VLOOKUP($A96,'S50'!$C:$BQ,40,0)</f>
        <v>#N/A</v>
      </c>
      <c r="BG96" s="107" t="e">
        <f>VLOOKUP($A96,'S50'!$C:$BQ,22,0)</f>
        <v>#N/A</v>
      </c>
      <c r="BH96" s="115" t="e">
        <f>VLOOKUP($A96,'S50'!$C:$BQ,29,0)</f>
        <v>#N/A</v>
      </c>
      <c r="BI96" s="115" t="e">
        <f>VLOOKUP($A96,'S50'!$C:$BQ,30,0)</f>
        <v>#N/A</v>
      </c>
      <c r="BJ96" s="115" t="e">
        <f>VLOOKUP($A96,'S50'!$C:$BQ,52,0)</f>
        <v>#N/A</v>
      </c>
      <c r="BK96" s="115" t="e">
        <f>VLOOKUP($A96,'S50'!$C:$BQ,59,0)</f>
        <v>#N/A</v>
      </c>
      <c r="BL96" s="115" t="e">
        <f>VLOOKUP($A96,'S50'!$C:$BQ,60,0)</f>
        <v>#N/A</v>
      </c>
    </row>
    <row r="97" spans="1:64" x14ac:dyDescent="0.2">
      <c r="A97" s="106" t="s">
        <v>158</v>
      </c>
      <c r="B97" s="107">
        <f>VLOOKUP($A97,'S0 remplacer avec S44'!$C:$BQ,32,0)</f>
        <v>105.3</v>
      </c>
      <c r="C97" s="107">
        <f>VLOOKUP($A97,'S0 remplacer avec S44'!$C:$BQ,39,0)</f>
        <v>74</v>
      </c>
      <c r="D97" s="107">
        <f>VLOOKUP($A97,'S0 remplacer avec S44'!$C:$BQ,40,0)</f>
        <v>110</v>
      </c>
      <c r="E97" s="107">
        <f>VLOOKUP($A97,'S0 remplacer avec S44'!$C:$BQ,22,0)</f>
        <v>952.47429499999998</v>
      </c>
      <c r="F97" s="115">
        <f>VLOOKUP($A97,'S0 remplacer avec S44'!$C:$BQ,29,0)</f>
        <v>678</v>
      </c>
      <c r="G97" s="115">
        <f>VLOOKUP($A97,'S0 remplacer avec S44'!$C:$BQ,30,0)</f>
        <v>1004</v>
      </c>
      <c r="H97" s="115">
        <f>VLOOKUP($A97,'S0 remplacer avec S44'!$C:$BQ,52,0)</f>
        <v>48.4</v>
      </c>
      <c r="I97" s="115">
        <f>VLOOKUP($A97,'S0 remplacer avec S44'!$C:$BQ,59,0)</f>
        <v>43</v>
      </c>
      <c r="J97" s="115">
        <f>VLOOKUP($A97,'S0 remplacer avec S44'!$C:$BQ,60,0)</f>
        <v>61</v>
      </c>
      <c r="K97" s="107" t="e">
        <f>VLOOKUP($A97,'S45'!$C:$BQ,32,0)</f>
        <v>#N/A</v>
      </c>
      <c r="L97" s="107" t="e">
        <f>VLOOKUP($A97,'S45'!$C:$BQ,39,0)</f>
        <v>#N/A</v>
      </c>
      <c r="M97" s="107" t="e">
        <f>VLOOKUP($A97,'S45'!$C:$BQ,40,0)</f>
        <v>#N/A</v>
      </c>
      <c r="N97" s="107" t="e">
        <f>VLOOKUP($A97,'S45'!$C:$BQ,22,0)</f>
        <v>#N/A</v>
      </c>
      <c r="O97" s="115" t="e">
        <f>VLOOKUP($A97,'S45'!$C:$BQ,29,0)</f>
        <v>#N/A</v>
      </c>
      <c r="P97" s="115" t="e">
        <f>VLOOKUP($A97,'S45'!$C:$BQ,30,0)</f>
        <v>#N/A</v>
      </c>
      <c r="Q97" s="115" t="e">
        <f>VLOOKUP($A97,'S45'!$C:$BQ,52,0)</f>
        <v>#N/A</v>
      </c>
      <c r="R97" s="115" t="e">
        <f>VLOOKUP($A97,'S45'!$C:$BQ,59,0)</f>
        <v>#N/A</v>
      </c>
      <c r="S97" s="115" t="e">
        <f>VLOOKUP($A97,'S45'!$C:$BQ,60,0)</f>
        <v>#N/A</v>
      </c>
      <c r="T97" s="107" t="e">
        <f>VLOOKUP($A97,'S46'!$C:$BQ,32,0)</f>
        <v>#N/A</v>
      </c>
      <c r="U97" s="107" t="e">
        <f>VLOOKUP($A97,'S46'!$C:$BQ,39,0)</f>
        <v>#N/A</v>
      </c>
      <c r="V97" s="107" t="e">
        <f>VLOOKUP($A97,'S46'!$C:$BQ,40,0)</f>
        <v>#N/A</v>
      </c>
      <c r="W97" s="107" t="e">
        <f>VLOOKUP($A97,'S46'!$C:$BQ,22,0)</f>
        <v>#N/A</v>
      </c>
      <c r="X97" s="115" t="e">
        <f>VLOOKUP($A97,'S46'!$C:$BQ,29,0)</f>
        <v>#N/A</v>
      </c>
      <c r="Y97" s="115" t="e">
        <f>VLOOKUP($A97,'S46'!$C:$BQ,30,0)</f>
        <v>#N/A</v>
      </c>
      <c r="Z97" s="115" t="e">
        <f>VLOOKUP($A97,'S46'!$C:$BQ,52,0)</f>
        <v>#N/A</v>
      </c>
      <c r="AA97" s="115" t="e">
        <f>VLOOKUP($A97,'S46'!$C:$BQ,59,0)</f>
        <v>#N/A</v>
      </c>
      <c r="AB97" s="115" t="e">
        <f>VLOOKUP($A97,'S46'!$C:$BQ,60,0)</f>
        <v>#N/A</v>
      </c>
      <c r="AC97" s="107" t="e">
        <f>VLOOKUP($A97,'S47'!$C:$BQ,32,0)</f>
        <v>#N/A</v>
      </c>
      <c r="AD97" s="107" t="e">
        <f>VLOOKUP($A97,'S47'!$C:$BQ,39,0)</f>
        <v>#N/A</v>
      </c>
      <c r="AE97" s="107" t="e">
        <f>VLOOKUP($A97,'S47'!$C:$BQ,40,0)</f>
        <v>#N/A</v>
      </c>
      <c r="AF97" s="107" t="e">
        <f>VLOOKUP($A97,'S47'!$C:$BQ,22,0)</f>
        <v>#N/A</v>
      </c>
      <c r="AG97" s="115" t="e">
        <f>VLOOKUP($A97,'S47'!$C:$BQ,29,0)</f>
        <v>#N/A</v>
      </c>
      <c r="AH97" s="115" t="e">
        <f>VLOOKUP($A97,'S47'!$C:$BQ,30,0)</f>
        <v>#N/A</v>
      </c>
      <c r="AI97" s="115" t="e">
        <f>VLOOKUP($A97,'S47'!$C:$BQ,52,0)</f>
        <v>#N/A</v>
      </c>
      <c r="AJ97" s="115" t="e">
        <f>VLOOKUP($A97,'S47'!$C:$BQ,59,0)</f>
        <v>#N/A</v>
      </c>
      <c r="AK97" s="115" t="e">
        <f>VLOOKUP($A97,'S47'!$C:$BQ,60,0)</f>
        <v>#N/A</v>
      </c>
      <c r="AL97" s="107" t="e">
        <f>VLOOKUP($A97,'S48'!$C:$BQ,32,0)</f>
        <v>#N/A</v>
      </c>
      <c r="AM97" s="107" t="e">
        <f>VLOOKUP($A97,'S48'!$C:$BQ,39,0)</f>
        <v>#N/A</v>
      </c>
      <c r="AN97" s="107" t="e">
        <f>VLOOKUP($A97,'S48'!$C:$BQ,40,0)</f>
        <v>#N/A</v>
      </c>
      <c r="AO97" s="107" t="e">
        <f>VLOOKUP($A97,'S48'!$C:$BQ,22,0)</f>
        <v>#N/A</v>
      </c>
      <c r="AP97" s="115" t="e">
        <f>VLOOKUP($A97,'S48'!$C:$BQ,29,0)</f>
        <v>#N/A</v>
      </c>
      <c r="AQ97" s="115" t="e">
        <f>VLOOKUP($A97,'S48'!$C:$BQ,30,0)</f>
        <v>#N/A</v>
      </c>
      <c r="AR97" s="115" t="e">
        <f>VLOOKUP($A97,'S48'!$C:$BQ,52,0)</f>
        <v>#N/A</v>
      </c>
      <c r="AS97" s="115" t="e">
        <f>VLOOKUP($A97,'S48'!$C:$BQ,59,0)</f>
        <v>#N/A</v>
      </c>
      <c r="AT97" s="115" t="e">
        <f>VLOOKUP($A97,'S48'!$C:$BQ,60,0)</f>
        <v>#N/A</v>
      </c>
      <c r="AU97" s="107" t="e">
        <f>VLOOKUP($A97,'S49'!$C:$BQ,32,0)</f>
        <v>#N/A</v>
      </c>
      <c r="AV97" s="107" t="e">
        <f>VLOOKUP($A97,'S49'!$C:$BQ,39,0)</f>
        <v>#N/A</v>
      </c>
      <c r="AW97" s="107" t="e">
        <f>VLOOKUP($A97,'S49'!$C:$BQ,40,0)</f>
        <v>#N/A</v>
      </c>
      <c r="AX97" s="107" t="e">
        <f>VLOOKUP($A97,'S49'!$C:$BQ,22,0)</f>
        <v>#N/A</v>
      </c>
      <c r="AY97" s="115" t="e">
        <f>VLOOKUP($A97,'S49'!$C:$BQ,29,0)</f>
        <v>#N/A</v>
      </c>
      <c r="AZ97" s="115" t="e">
        <f>VLOOKUP($A97,'S49'!$C:$BQ,30,0)</f>
        <v>#N/A</v>
      </c>
      <c r="BA97" s="115" t="e">
        <f>VLOOKUP($A97,'S49'!$C:$BQ,52,0)</f>
        <v>#N/A</v>
      </c>
      <c r="BB97" s="115" t="e">
        <f>VLOOKUP($A97,'S49'!$C:$BQ,59,0)</f>
        <v>#N/A</v>
      </c>
      <c r="BC97" s="115" t="e">
        <f>VLOOKUP($A97,'S49'!$C:$BQ,60,0)</f>
        <v>#N/A</v>
      </c>
      <c r="BD97" s="107" t="e">
        <f>VLOOKUP($A97,'S50'!$C:$BQ,32,0)</f>
        <v>#N/A</v>
      </c>
      <c r="BE97" s="107" t="e">
        <f>VLOOKUP($A97,'S50'!$C:$BQ,39,0)</f>
        <v>#N/A</v>
      </c>
      <c r="BF97" s="107" t="e">
        <f>VLOOKUP($A97,'S50'!$C:$BQ,40,0)</f>
        <v>#N/A</v>
      </c>
      <c r="BG97" s="107" t="e">
        <f>VLOOKUP($A97,'S50'!$C:$BQ,22,0)</f>
        <v>#N/A</v>
      </c>
      <c r="BH97" s="115" t="e">
        <f>VLOOKUP($A97,'S50'!$C:$BQ,29,0)</f>
        <v>#N/A</v>
      </c>
      <c r="BI97" s="115" t="e">
        <f>VLOOKUP($A97,'S50'!$C:$BQ,30,0)</f>
        <v>#N/A</v>
      </c>
      <c r="BJ97" s="115" t="e">
        <f>VLOOKUP($A97,'S50'!$C:$BQ,52,0)</f>
        <v>#N/A</v>
      </c>
      <c r="BK97" s="115" t="e">
        <f>VLOOKUP($A97,'S50'!$C:$BQ,59,0)</f>
        <v>#N/A</v>
      </c>
      <c r="BL97" s="115" t="e">
        <f>VLOOKUP($A97,'S50'!$C:$BQ,60,0)</f>
        <v>#N/A</v>
      </c>
    </row>
    <row r="98" spans="1:64" x14ac:dyDescent="0.2">
      <c r="A98" s="106" t="s">
        <v>159</v>
      </c>
      <c r="B98" s="107">
        <f>VLOOKUP($A98,'S0 remplacer avec S44'!$C:$BQ,32,0)</f>
        <v>87.3</v>
      </c>
      <c r="C98" s="107">
        <f>VLOOKUP($A98,'S0 remplacer avec S44'!$C:$BQ,39,0)</f>
        <v>68</v>
      </c>
      <c r="D98" s="107">
        <f>VLOOKUP($A98,'S0 remplacer avec S44'!$C:$BQ,40,0)</f>
        <v>99</v>
      </c>
      <c r="E98" s="107">
        <f>VLOOKUP($A98,'S0 remplacer avec S44'!$C:$BQ,22,0)</f>
        <v>739.85117500000001</v>
      </c>
      <c r="F98" s="115">
        <f>VLOOKUP($A98,'S0 remplacer avec S44'!$C:$BQ,29,0)</f>
        <v>668</v>
      </c>
      <c r="G98" s="115">
        <f>VLOOKUP($A98,'S0 remplacer avec S44'!$C:$BQ,30,0)</f>
        <v>950</v>
      </c>
      <c r="H98" s="115">
        <f>VLOOKUP($A98,'S0 remplacer avec S44'!$C:$BQ,52,0)</f>
        <v>68.400000000000006</v>
      </c>
      <c r="I98" s="115">
        <f>VLOOKUP($A98,'S0 remplacer avec S44'!$C:$BQ,59,0)</f>
        <v>11</v>
      </c>
      <c r="J98" s="115">
        <f>VLOOKUP($A98,'S0 remplacer avec S44'!$C:$BQ,60,0)</f>
        <v>26</v>
      </c>
      <c r="K98" s="107" t="e">
        <f>VLOOKUP($A98,'S45'!$C:$BQ,32,0)</f>
        <v>#N/A</v>
      </c>
      <c r="L98" s="107" t="e">
        <f>VLOOKUP($A98,'S45'!$C:$BQ,39,0)</f>
        <v>#N/A</v>
      </c>
      <c r="M98" s="107" t="e">
        <f>VLOOKUP($A98,'S45'!$C:$BQ,40,0)</f>
        <v>#N/A</v>
      </c>
      <c r="N98" s="107" t="e">
        <f>VLOOKUP($A98,'S45'!$C:$BQ,22,0)</f>
        <v>#N/A</v>
      </c>
      <c r="O98" s="115" t="e">
        <f>VLOOKUP($A98,'S45'!$C:$BQ,29,0)</f>
        <v>#N/A</v>
      </c>
      <c r="P98" s="115" t="e">
        <f>VLOOKUP($A98,'S45'!$C:$BQ,30,0)</f>
        <v>#N/A</v>
      </c>
      <c r="Q98" s="115" t="e">
        <f>VLOOKUP($A98,'S45'!$C:$BQ,52,0)</f>
        <v>#N/A</v>
      </c>
      <c r="R98" s="115" t="e">
        <f>VLOOKUP($A98,'S45'!$C:$BQ,59,0)</f>
        <v>#N/A</v>
      </c>
      <c r="S98" s="115" t="e">
        <f>VLOOKUP($A98,'S45'!$C:$BQ,60,0)</f>
        <v>#N/A</v>
      </c>
      <c r="T98" s="107" t="e">
        <f>VLOOKUP($A98,'S46'!$C:$BQ,32,0)</f>
        <v>#N/A</v>
      </c>
      <c r="U98" s="107" t="e">
        <f>VLOOKUP($A98,'S46'!$C:$BQ,39,0)</f>
        <v>#N/A</v>
      </c>
      <c r="V98" s="107" t="e">
        <f>VLOOKUP($A98,'S46'!$C:$BQ,40,0)</f>
        <v>#N/A</v>
      </c>
      <c r="W98" s="107" t="e">
        <f>VLOOKUP($A98,'S46'!$C:$BQ,22,0)</f>
        <v>#N/A</v>
      </c>
      <c r="X98" s="115" t="e">
        <f>VLOOKUP($A98,'S46'!$C:$BQ,29,0)</f>
        <v>#N/A</v>
      </c>
      <c r="Y98" s="115" t="e">
        <f>VLOOKUP($A98,'S46'!$C:$BQ,30,0)</f>
        <v>#N/A</v>
      </c>
      <c r="Z98" s="115" t="e">
        <f>VLOOKUP($A98,'S46'!$C:$BQ,52,0)</f>
        <v>#N/A</v>
      </c>
      <c r="AA98" s="115" t="e">
        <f>VLOOKUP($A98,'S46'!$C:$BQ,59,0)</f>
        <v>#N/A</v>
      </c>
      <c r="AB98" s="115" t="e">
        <f>VLOOKUP($A98,'S46'!$C:$BQ,60,0)</f>
        <v>#N/A</v>
      </c>
      <c r="AC98" s="107" t="e">
        <f>VLOOKUP($A98,'S47'!$C:$BQ,32,0)</f>
        <v>#N/A</v>
      </c>
      <c r="AD98" s="107" t="e">
        <f>VLOOKUP($A98,'S47'!$C:$BQ,39,0)</f>
        <v>#N/A</v>
      </c>
      <c r="AE98" s="107" t="e">
        <f>VLOOKUP($A98,'S47'!$C:$BQ,40,0)</f>
        <v>#N/A</v>
      </c>
      <c r="AF98" s="107" t="e">
        <f>VLOOKUP($A98,'S47'!$C:$BQ,22,0)</f>
        <v>#N/A</v>
      </c>
      <c r="AG98" s="115" t="e">
        <f>VLOOKUP($A98,'S47'!$C:$BQ,29,0)</f>
        <v>#N/A</v>
      </c>
      <c r="AH98" s="115" t="e">
        <f>VLOOKUP($A98,'S47'!$C:$BQ,30,0)</f>
        <v>#N/A</v>
      </c>
      <c r="AI98" s="115" t="e">
        <f>VLOOKUP($A98,'S47'!$C:$BQ,52,0)</f>
        <v>#N/A</v>
      </c>
      <c r="AJ98" s="115" t="e">
        <f>VLOOKUP($A98,'S47'!$C:$BQ,59,0)</f>
        <v>#N/A</v>
      </c>
      <c r="AK98" s="115" t="e">
        <f>VLOOKUP($A98,'S47'!$C:$BQ,60,0)</f>
        <v>#N/A</v>
      </c>
      <c r="AL98" s="107" t="e">
        <f>VLOOKUP($A98,'S48'!$C:$BQ,32,0)</f>
        <v>#N/A</v>
      </c>
      <c r="AM98" s="107" t="e">
        <f>VLOOKUP($A98,'S48'!$C:$BQ,39,0)</f>
        <v>#N/A</v>
      </c>
      <c r="AN98" s="107" t="e">
        <f>VLOOKUP($A98,'S48'!$C:$BQ,40,0)</f>
        <v>#N/A</v>
      </c>
      <c r="AO98" s="107" t="e">
        <f>VLOOKUP($A98,'S48'!$C:$BQ,22,0)</f>
        <v>#N/A</v>
      </c>
      <c r="AP98" s="115" t="e">
        <f>VLOOKUP($A98,'S48'!$C:$BQ,29,0)</f>
        <v>#N/A</v>
      </c>
      <c r="AQ98" s="115" t="e">
        <f>VLOOKUP($A98,'S48'!$C:$BQ,30,0)</f>
        <v>#N/A</v>
      </c>
      <c r="AR98" s="115" t="e">
        <f>VLOOKUP($A98,'S48'!$C:$BQ,52,0)</f>
        <v>#N/A</v>
      </c>
      <c r="AS98" s="115" t="e">
        <f>VLOOKUP($A98,'S48'!$C:$BQ,59,0)</f>
        <v>#N/A</v>
      </c>
      <c r="AT98" s="115" t="e">
        <f>VLOOKUP($A98,'S48'!$C:$BQ,60,0)</f>
        <v>#N/A</v>
      </c>
      <c r="AU98" s="107" t="e">
        <f>VLOOKUP($A98,'S49'!$C:$BQ,32,0)</f>
        <v>#N/A</v>
      </c>
      <c r="AV98" s="107" t="e">
        <f>VLOOKUP($A98,'S49'!$C:$BQ,39,0)</f>
        <v>#N/A</v>
      </c>
      <c r="AW98" s="107" t="e">
        <f>VLOOKUP($A98,'S49'!$C:$BQ,40,0)</f>
        <v>#N/A</v>
      </c>
      <c r="AX98" s="107" t="e">
        <f>VLOOKUP($A98,'S49'!$C:$BQ,22,0)</f>
        <v>#N/A</v>
      </c>
      <c r="AY98" s="115" t="e">
        <f>VLOOKUP($A98,'S49'!$C:$BQ,29,0)</f>
        <v>#N/A</v>
      </c>
      <c r="AZ98" s="115" t="e">
        <f>VLOOKUP($A98,'S49'!$C:$BQ,30,0)</f>
        <v>#N/A</v>
      </c>
      <c r="BA98" s="115" t="e">
        <f>VLOOKUP($A98,'S49'!$C:$BQ,52,0)</f>
        <v>#N/A</v>
      </c>
      <c r="BB98" s="115" t="e">
        <f>VLOOKUP($A98,'S49'!$C:$BQ,59,0)</f>
        <v>#N/A</v>
      </c>
      <c r="BC98" s="115" t="e">
        <f>VLOOKUP($A98,'S49'!$C:$BQ,60,0)</f>
        <v>#N/A</v>
      </c>
      <c r="BD98" s="107" t="e">
        <f>VLOOKUP($A98,'S50'!$C:$BQ,32,0)</f>
        <v>#N/A</v>
      </c>
      <c r="BE98" s="107" t="e">
        <f>VLOOKUP($A98,'S50'!$C:$BQ,39,0)</f>
        <v>#N/A</v>
      </c>
      <c r="BF98" s="107" t="e">
        <f>VLOOKUP($A98,'S50'!$C:$BQ,40,0)</f>
        <v>#N/A</v>
      </c>
      <c r="BG98" s="107" t="e">
        <f>VLOOKUP($A98,'S50'!$C:$BQ,22,0)</f>
        <v>#N/A</v>
      </c>
      <c r="BH98" s="115" t="e">
        <f>VLOOKUP($A98,'S50'!$C:$BQ,29,0)</f>
        <v>#N/A</v>
      </c>
      <c r="BI98" s="115" t="e">
        <f>VLOOKUP($A98,'S50'!$C:$BQ,30,0)</f>
        <v>#N/A</v>
      </c>
      <c r="BJ98" s="115" t="e">
        <f>VLOOKUP($A98,'S50'!$C:$BQ,52,0)</f>
        <v>#N/A</v>
      </c>
      <c r="BK98" s="115" t="e">
        <f>VLOOKUP($A98,'S50'!$C:$BQ,59,0)</f>
        <v>#N/A</v>
      </c>
      <c r="BL98" s="115" t="e">
        <f>VLOOKUP($A98,'S50'!$C:$BQ,60,0)</f>
        <v>#N/A</v>
      </c>
    </row>
    <row r="99" spans="1:64" x14ac:dyDescent="0.2">
      <c r="A99" s="106" t="s">
        <v>161</v>
      </c>
      <c r="B99" s="107">
        <f>VLOOKUP($A99,'S0 remplacer avec S44'!$C:$BQ,32,0)</f>
        <v>128.30000000000001</v>
      </c>
      <c r="C99" s="107">
        <f>VLOOKUP($A99,'S0 remplacer avec S44'!$C:$BQ,39,0)</f>
        <v>124</v>
      </c>
      <c r="D99" s="107">
        <f>VLOOKUP($A99,'S0 remplacer avec S44'!$C:$BQ,40,0)</f>
        <v>174</v>
      </c>
      <c r="E99" s="107">
        <f>VLOOKUP($A99,'S0 remplacer avec S44'!$C:$BQ,22,0)</f>
        <v>1695.8392449999999</v>
      </c>
      <c r="F99" s="115">
        <f>VLOOKUP($A99,'S0 remplacer avec S44'!$C:$BQ,29,0)</f>
        <v>595</v>
      </c>
      <c r="G99" s="115">
        <f>VLOOKUP($A99,'S0 remplacer avec S44'!$C:$BQ,30,0)</f>
        <v>1053</v>
      </c>
      <c r="H99" s="115">
        <f>VLOOKUP($A99,'S0 remplacer avec S44'!$C:$BQ,52,0)</f>
        <v>95.2</v>
      </c>
      <c r="I99" s="115">
        <f>VLOOKUP($A99,'S0 remplacer avec S44'!$C:$BQ,59,0)</f>
        <v>33</v>
      </c>
      <c r="J99" s="115">
        <f>VLOOKUP($A99,'S0 remplacer avec S44'!$C:$BQ,60,0)</f>
        <v>59</v>
      </c>
      <c r="K99" s="107" t="e">
        <f>VLOOKUP($A99,'S45'!$C:$BQ,32,0)</f>
        <v>#N/A</v>
      </c>
      <c r="L99" s="107" t="e">
        <f>VLOOKUP($A99,'S45'!$C:$BQ,39,0)</f>
        <v>#N/A</v>
      </c>
      <c r="M99" s="107" t="e">
        <f>VLOOKUP($A99,'S45'!$C:$BQ,40,0)</f>
        <v>#N/A</v>
      </c>
      <c r="N99" s="107" t="e">
        <f>VLOOKUP($A99,'S45'!$C:$BQ,22,0)</f>
        <v>#N/A</v>
      </c>
      <c r="O99" s="115" t="e">
        <f>VLOOKUP($A99,'S45'!$C:$BQ,29,0)</f>
        <v>#N/A</v>
      </c>
      <c r="P99" s="115" t="e">
        <f>VLOOKUP($A99,'S45'!$C:$BQ,30,0)</f>
        <v>#N/A</v>
      </c>
      <c r="Q99" s="115" t="e">
        <f>VLOOKUP($A99,'S45'!$C:$BQ,52,0)</f>
        <v>#N/A</v>
      </c>
      <c r="R99" s="115" t="e">
        <f>VLOOKUP($A99,'S45'!$C:$BQ,59,0)</f>
        <v>#N/A</v>
      </c>
      <c r="S99" s="115" t="e">
        <f>VLOOKUP($A99,'S45'!$C:$BQ,60,0)</f>
        <v>#N/A</v>
      </c>
      <c r="T99" s="107" t="e">
        <f>VLOOKUP($A99,'S46'!$C:$BQ,32,0)</f>
        <v>#N/A</v>
      </c>
      <c r="U99" s="107" t="e">
        <f>VLOOKUP($A99,'S46'!$C:$BQ,39,0)</f>
        <v>#N/A</v>
      </c>
      <c r="V99" s="107" t="e">
        <f>VLOOKUP($A99,'S46'!$C:$BQ,40,0)</f>
        <v>#N/A</v>
      </c>
      <c r="W99" s="107" t="e">
        <f>VLOOKUP($A99,'S46'!$C:$BQ,22,0)</f>
        <v>#N/A</v>
      </c>
      <c r="X99" s="115" t="e">
        <f>VLOOKUP($A99,'S46'!$C:$BQ,29,0)</f>
        <v>#N/A</v>
      </c>
      <c r="Y99" s="115" t="e">
        <f>VLOOKUP($A99,'S46'!$C:$BQ,30,0)</f>
        <v>#N/A</v>
      </c>
      <c r="Z99" s="115" t="e">
        <f>VLOOKUP($A99,'S46'!$C:$BQ,52,0)</f>
        <v>#N/A</v>
      </c>
      <c r="AA99" s="115" t="e">
        <f>VLOOKUP($A99,'S46'!$C:$BQ,59,0)</f>
        <v>#N/A</v>
      </c>
      <c r="AB99" s="115" t="e">
        <f>VLOOKUP($A99,'S46'!$C:$BQ,60,0)</f>
        <v>#N/A</v>
      </c>
      <c r="AC99" s="107" t="e">
        <f>VLOOKUP($A99,'S47'!$C:$BQ,32,0)</f>
        <v>#N/A</v>
      </c>
      <c r="AD99" s="107" t="e">
        <f>VLOOKUP($A99,'S47'!$C:$BQ,39,0)</f>
        <v>#N/A</v>
      </c>
      <c r="AE99" s="107" t="e">
        <f>VLOOKUP($A99,'S47'!$C:$BQ,40,0)</f>
        <v>#N/A</v>
      </c>
      <c r="AF99" s="107" t="e">
        <f>VLOOKUP($A99,'S47'!$C:$BQ,22,0)</f>
        <v>#N/A</v>
      </c>
      <c r="AG99" s="115" t="e">
        <f>VLOOKUP($A99,'S47'!$C:$BQ,29,0)</f>
        <v>#N/A</v>
      </c>
      <c r="AH99" s="115" t="e">
        <f>VLOOKUP($A99,'S47'!$C:$BQ,30,0)</f>
        <v>#N/A</v>
      </c>
      <c r="AI99" s="115" t="e">
        <f>VLOOKUP($A99,'S47'!$C:$BQ,52,0)</f>
        <v>#N/A</v>
      </c>
      <c r="AJ99" s="115" t="e">
        <f>VLOOKUP($A99,'S47'!$C:$BQ,59,0)</f>
        <v>#N/A</v>
      </c>
      <c r="AK99" s="115" t="e">
        <f>VLOOKUP($A99,'S47'!$C:$BQ,60,0)</f>
        <v>#N/A</v>
      </c>
      <c r="AL99" s="107" t="e">
        <f>VLOOKUP($A99,'S48'!$C:$BQ,32,0)</f>
        <v>#N/A</v>
      </c>
      <c r="AM99" s="107" t="e">
        <f>VLOOKUP($A99,'S48'!$C:$BQ,39,0)</f>
        <v>#N/A</v>
      </c>
      <c r="AN99" s="107" t="e">
        <f>VLOOKUP($A99,'S48'!$C:$BQ,40,0)</f>
        <v>#N/A</v>
      </c>
      <c r="AO99" s="107" t="e">
        <f>VLOOKUP($A99,'S48'!$C:$BQ,22,0)</f>
        <v>#N/A</v>
      </c>
      <c r="AP99" s="115" t="e">
        <f>VLOOKUP($A99,'S48'!$C:$BQ,29,0)</f>
        <v>#N/A</v>
      </c>
      <c r="AQ99" s="115" t="e">
        <f>VLOOKUP($A99,'S48'!$C:$BQ,30,0)</f>
        <v>#N/A</v>
      </c>
      <c r="AR99" s="115" t="e">
        <f>VLOOKUP($A99,'S48'!$C:$BQ,52,0)</f>
        <v>#N/A</v>
      </c>
      <c r="AS99" s="115" t="e">
        <f>VLOOKUP($A99,'S48'!$C:$BQ,59,0)</f>
        <v>#N/A</v>
      </c>
      <c r="AT99" s="115" t="e">
        <f>VLOOKUP($A99,'S48'!$C:$BQ,60,0)</f>
        <v>#N/A</v>
      </c>
      <c r="AU99" s="107" t="e">
        <f>VLOOKUP($A99,'S49'!$C:$BQ,32,0)</f>
        <v>#N/A</v>
      </c>
      <c r="AV99" s="107" t="e">
        <f>VLOOKUP($A99,'S49'!$C:$BQ,39,0)</f>
        <v>#N/A</v>
      </c>
      <c r="AW99" s="107" t="e">
        <f>VLOOKUP($A99,'S49'!$C:$BQ,40,0)</f>
        <v>#N/A</v>
      </c>
      <c r="AX99" s="107" t="e">
        <f>VLOOKUP($A99,'S49'!$C:$BQ,22,0)</f>
        <v>#N/A</v>
      </c>
      <c r="AY99" s="115" t="e">
        <f>VLOOKUP($A99,'S49'!$C:$BQ,29,0)</f>
        <v>#N/A</v>
      </c>
      <c r="AZ99" s="115" t="e">
        <f>VLOOKUP($A99,'S49'!$C:$BQ,30,0)</f>
        <v>#N/A</v>
      </c>
      <c r="BA99" s="115" t="e">
        <f>VLOOKUP($A99,'S49'!$C:$BQ,52,0)</f>
        <v>#N/A</v>
      </c>
      <c r="BB99" s="115" t="e">
        <f>VLOOKUP($A99,'S49'!$C:$BQ,59,0)</f>
        <v>#N/A</v>
      </c>
      <c r="BC99" s="115" t="e">
        <f>VLOOKUP($A99,'S49'!$C:$BQ,60,0)</f>
        <v>#N/A</v>
      </c>
      <c r="BD99" s="107" t="e">
        <f>VLOOKUP($A99,'S50'!$C:$BQ,32,0)</f>
        <v>#N/A</v>
      </c>
      <c r="BE99" s="107" t="e">
        <f>VLOOKUP($A99,'S50'!$C:$BQ,39,0)</f>
        <v>#N/A</v>
      </c>
      <c r="BF99" s="107" t="e">
        <f>VLOOKUP($A99,'S50'!$C:$BQ,40,0)</f>
        <v>#N/A</v>
      </c>
      <c r="BG99" s="107" t="e">
        <f>VLOOKUP($A99,'S50'!$C:$BQ,22,0)</f>
        <v>#N/A</v>
      </c>
      <c r="BH99" s="115" t="e">
        <f>VLOOKUP($A99,'S50'!$C:$BQ,29,0)</f>
        <v>#N/A</v>
      </c>
      <c r="BI99" s="115" t="e">
        <f>VLOOKUP($A99,'S50'!$C:$BQ,30,0)</f>
        <v>#N/A</v>
      </c>
      <c r="BJ99" s="115" t="e">
        <f>VLOOKUP($A99,'S50'!$C:$BQ,52,0)</f>
        <v>#N/A</v>
      </c>
      <c r="BK99" s="115" t="e">
        <f>VLOOKUP($A99,'S50'!$C:$BQ,59,0)</f>
        <v>#N/A</v>
      </c>
      <c r="BL99" s="115" t="e">
        <f>VLOOKUP($A99,'S50'!$C:$BQ,60,0)</f>
        <v>#N/A</v>
      </c>
    </row>
    <row r="100" spans="1:64" x14ac:dyDescent="0.2">
      <c r="A100" s="106" t="s">
        <v>162</v>
      </c>
      <c r="B100" s="107">
        <f>VLOOKUP($A100,'S0 remplacer avec S44'!$C:$BQ,32,0)</f>
        <v>98.8</v>
      </c>
      <c r="C100" s="107">
        <f>VLOOKUP($A100,'S0 remplacer avec S44'!$C:$BQ,39,0)</f>
        <v>98</v>
      </c>
      <c r="D100" s="107">
        <f>VLOOKUP($A100,'S0 remplacer avec S44'!$C:$BQ,40,0)</f>
        <v>137</v>
      </c>
      <c r="E100" s="107">
        <f>VLOOKUP($A100,'S0 remplacer avec S44'!$C:$BQ,22,0)</f>
        <v>1353.471035</v>
      </c>
      <c r="F100" s="115">
        <f>VLOOKUP($A100,'S0 remplacer avec S44'!$C:$BQ,29,0)</f>
        <v>433</v>
      </c>
      <c r="G100" s="115">
        <f>VLOOKUP($A100,'S0 remplacer avec S44'!$C:$BQ,30,0)</f>
        <v>790</v>
      </c>
      <c r="H100" s="115">
        <f>VLOOKUP($A100,'S0 remplacer avec S44'!$C:$BQ,52,0)</f>
        <v>100.8</v>
      </c>
      <c r="I100" s="115">
        <f>VLOOKUP($A100,'S0 remplacer avec S44'!$C:$BQ,59,0)</f>
        <v>0</v>
      </c>
      <c r="J100" s="115">
        <f>VLOOKUP($A100,'S0 remplacer avec S44'!$C:$BQ,60,0)</f>
        <v>19</v>
      </c>
      <c r="K100" s="107" t="e">
        <f>VLOOKUP($A100,'S45'!$C:$BQ,32,0)</f>
        <v>#N/A</v>
      </c>
      <c r="L100" s="107" t="e">
        <f>VLOOKUP($A100,'S45'!$C:$BQ,39,0)</f>
        <v>#N/A</v>
      </c>
      <c r="M100" s="107" t="e">
        <f>VLOOKUP($A100,'S45'!$C:$BQ,40,0)</f>
        <v>#N/A</v>
      </c>
      <c r="N100" s="107" t="e">
        <f>VLOOKUP($A100,'S45'!$C:$BQ,22,0)</f>
        <v>#N/A</v>
      </c>
      <c r="O100" s="115" t="e">
        <f>VLOOKUP($A100,'S45'!$C:$BQ,29,0)</f>
        <v>#N/A</v>
      </c>
      <c r="P100" s="115" t="e">
        <f>VLOOKUP($A100,'S45'!$C:$BQ,30,0)</f>
        <v>#N/A</v>
      </c>
      <c r="Q100" s="115" t="e">
        <f>VLOOKUP($A100,'S45'!$C:$BQ,52,0)</f>
        <v>#N/A</v>
      </c>
      <c r="R100" s="115" t="e">
        <f>VLOOKUP($A100,'S45'!$C:$BQ,59,0)</f>
        <v>#N/A</v>
      </c>
      <c r="S100" s="115" t="e">
        <f>VLOOKUP($A100,'S45'!$C:$BQ,60,0)</f>
        <v>#N/A</v>
      </c>
      <c r="T100" s="107" t="e">
        <f>VLOOKUP($A100,'S46'!$C:$BQ,32,0)</f>
        <v>#N/A</v>
      </c>
      <c r="U100" s="107" t="e">
        <f>VLOOKUP($A100,'S46'!$C:$BQ,39,0)</f>
        <v>#N/A</v>
      </c>
      <c r="V100" s="107" t="e">
        <f>VLOOKUP($A100,'S46'!$C:$BQ,40,0)</f>
        <v>#N/A</v>
      </c>
      <c r="W100" s="107" t="e">
        <f>VLOOKUP($A100,'S46'!$C:$BQ,22,0)</f>
        <v>#N/A</v>
      </c>
      <c r="X100" s="115" t="e">
        <f>VLOOKUP($A100,'S46'!$C:$BQ,29,0)</f>
        <v>#N/A</v>
      </c>
      <c r="Y100" s="115" t="e">
        <f>VLOOKUP($A100,'S46'!$C:$BQ,30,0)</f>
        <v>#N/A</v>
      </c>
      <c r="Z100" s="115" t="e">
        <f>VLOOKUP($A100,'S46'!$C:$BQ,52,0)</f>
        <v>#N/A</v>
      </c>
      <c r="AA100" s="115" t="e">
        <f>VLOOKUP($A100,'S46'!$C:$BQ,59,0)</f>
        <v>#N/A</v>
      </c>
      <c r="AB100" s="115" t="e">
        <f>VLOOKUP($A100,'S46'!$C:$BQ,60,0)</f>
        <v>#N/A</v>
      </c>
      <c r="AC100" s="107" t="e">
        <f>VLOOKUP($A100,'S47'!$C:$BQ,32,0)</f>
        <v>#N/A</v>
      </c>
      <c r="AD100" s="107" t="e">
        <f>VLOOKUP($A100,'S47'!$C:$BQ,39,0)</f>
        <v>#N/A</v>
      </c>
      <c r="AE100" s="107" t="e">
        <f>VLOOKUP($A100,'S47'!$C:$BQ,40,0)</f>
        <v>#N/A</v>
      </c>
      <c r="AF100" s="107" t="e">
        <f>VLOOKUP($A100,'S47'!$C:$BQ,22,0)</f>
        <v>#N/A</v>
      </c>
      <c r="AG100" s="115" t="e">
        <f>VLOOKUP($A100,'S47'!$C:$BQ,29,0)</f>
        <v>#N/A</v>
      </c>
      <c r="AH100" s="115" t="e">
        <f>VLOOKUP($A100,'S47'!$C:$BQ,30,0)</f>
        <v>#N/A</v>
      </c>
      <c r="AI100" s="115" t="e">
        <f>VLOOKUP($A100,'S47'!$C:$BQ,52,0)</f>
        <v>#N/A</v>
      </c>
      <c r="AJ100" s="115" t="e">
        <f>VLOOKUP($A100,'S47'!$C:$BQ,59,0)</f>
        <v>#N/A</v>
      </c>
      <c r="AK100" s="115" t="e">
        <f>VLOOKUP($A100,'S47'!$C:$BQ,60,0)</f>
        <v>#N/A</v>
      </c>
      <c r="AL100" s="107" t="e">
        <f>VLOOKUP($A100,'S48'!$C:$BQ,32,0)</f>
        <v>#N/A</v>
      </c>
      <c r="AM100" s="107" t="e">
        <f>VLOOKUP($A100,'S48'!$C:$BQ,39,0)</f>
        <v>#N/A</v>
      </c>
      <c r="AN100" s="107" t="e">
        <f>VLOOKUP($A100,'S48'!$C:$BQ,40,0)</f>
        <v>#N/A</v>
      </c>
      <c r="AO100" s="107" t="e">
        <f>VLOOKUP($A100,'S48'!$C:$BQ,22,0)</f>
        <v>#N/A</v>
      </c>
      <c r="AP100" s="115" t="e">
        <f>VLOOKUP($A100,'S48'!$C:$BQ,29,0)</f>
        <v>#N/A</v>
      </c>
      <c r="AQ100" s="115" t="e">
        <f>VLOOKUP($A100,'S48'!$C:$BQ,30,0)</f>
        <v>#N/A</v>
      </c>
      <c r="AR100" s="115" t="e">
        <f>VLOOKUP($A100,'S48'!$C:$BQ,52,0)</f>
        <v>#N/A</v>
      </c>
      <c r="AS100" s="115" t="e">
        <f>VLOOKUP($A100,'S48'!$C:$BQ,59,0)</f>
        <v>#N/A</v>
      </c>
      <c r="AT100" s="115" t="e">
        <f>VLOOKUP($A100,'S48'!$C:$BQ,60,0)</f>
        <v>#N/A</v>
      </c>
      <c r="AU100" s="107" t="e">
        <f>VLOOKUP($A100,'S49'!$C:$BQ,32,0)</f>
        <v>#N/A</v>
      </c>
      <c r="AV100" s="107" t="e">
        <f>VLOOKUP($A100,'S49'!$C:$BQ,39,0)</f>
        <v>#N/A</v>
      </c>
      <c r="AW100" s="107" t="e">
        <f>VLOOKUP($A100,'S49'!$C:$BQ,40,0)</f>
        <v>#N/A</v>
      </c>
      <c r="AX100" s="107" t="e">
        <f>VLOOKUP($A100,'S49'!$C:$BQ,22,0)</f>
        <v>#N/A</v>
      </c>
      <c r="AY100" s="115" t="e">
        <f>VLOOKUP($A100,'S49'!$C:$BQ,29,0)</f>
        <v>#N/A</v>
      </c>
      <c r="AZ100" s="115" t="e">
        <f>VLOOKUP($A100,'S49'!$C:$BQ,30,0)</f>
        <v>#N/A</v>
      </c>
      <c r="BA100" s="115" t="e">
        <f>VLOOKUP($A100,'S49'!$C:$BQ,52,0)</f>
        <v>#N/A</v>
      </c>
      <c r="BB100" s="115" t="e">
        <f>VLOOKUP($A100,'S49'!$C:$BQ,59,0)</f>
        <v>#N/A</v>
      </c>
      <c r="BC100" s="115" t="e">
        <f>VLOOKUP($A100,'S49'!$C:$BQ,60,0)</f>
        <v>#N/A</v>
      </c>
      <c r="BD100" s="107" t="e">
        <f>VLOOKUP($A100,'S50'!$C:$BQ,32,0)</f>
        <v>#N/A</v>
      </c>
      <c r="BE100" s="107" t="e">
        <f>VLOOKUP($A100,'S50'!$C:$BQ,39,0)</f>
        <v>#N/A</v>
      </c>
      <c r="BF100" s="107" t="e">
        <f>VLOOKUP($A100,'S50'!$C:$BQ,40,0)</f>
        <v>#N/A</v>
      </c>
      <c r="BG100" s="107" t="e">
        <f>VLOOKUP($A100,'S50'!$C:$BQ,22,0)</f>
        <v>#N/A</v>
      </c>
      <c r="BH100" s="115" t="e">
        <f>VLOOKUP($A100,'S50'!$C:$BQ,29,0)</f>
        <v>#N/A</v>
      </c>
      <c r="BI100" s="115" t="e">
        <f>VLOOKUP($A100,'S50'!$C:$BQ,30,0)</f>
        <v>#N/A</v>
      </c>
      <c r="BJ100" s="115" t="e">
        <f>VLOOKUP($A100,'S50'!$C:$BQ,52,0)</f>
        <v>#N/A</v>
      </c>
      <c r="BK100" s="115" t="e">
        <f>VLOOKUP($A100,'S50'!$C:$BQ,59,0)</f>
        <v>#N/A</v>
      </c>
      <c r="BL100" s="115" t="e">
        <f>VLOOKUP($A100,'S50'!$C:$BQ,60,0)</f>
        <v>#N/A</v>
      </c>
    </row>
    <row r="101" spans="1:64" x14ac:dyDescent="0.2">
      <c r="A101" s="106" t="s">
        <v>163</v>
      </c>
      <c r="B101" s="107">
        <f>VLOOKUP($A101,'S0 remplacer avec S44'!$C:$BQ,32,0)</f>
        <v>206.4</v>
      </c>
      <c r="C101" s="107">
        <f>VLOOKUP($A101,'S0 remplacer avec S44'!$C:$BQ,39,0)</f>
        <v>16</v>
      </c>
      <c r="D101" s="107">
        <f>VLOOKUP($A101,'S0 remplacer avec S44'!$C:$BQ,40,0)</f>
        <v>60</v>
      </c>
      <c r="E101" s="107">
        <f>VLOOKUP($A101,'S0 remplacer avec S44'!$C:$BQ,22,0)</f>
        <v>2334.2631550000001</v>
      </c>
      <c r="F101" s="115">
        <f>VLOOKUP($A101,'S0 remplacer avec S44'!$C:$BQ,29,0)</f>
        <v>0</v>
      </c>
      <c r="G101" s="115">
        <f>VLOOKUP($A101,'S0 remplacer avec S44'!$C:$BQ,30,0)</f>
        <v>86</v>
      </c>
      <c r="H101" s="115">
        <f>VLOOKUP($A101,'S0 remplacer avec S44'!$C:$BQ,52,0)</f>
        <v>120.4</v>
      </c>
      <c r="I101" s="115">
        <f>VLOOKUP($A101,'S0 remplacer avec S44'!$C:$BQ,59,0)</f>
        <v>0</v>
      </c>
      <c r="J101" s="115">
        <f>VLOOKUP($A101,'S0 remplacer avec S44'!$C:$BQ,60,0)</f>
        <v>15</v>
      </c>
      <c r="K101" s="107" t="e">
        <f>VLOOKUP($A101,'S45'!$C:$BQ,32,0)</f>
        <v>#N/A</v>
      </c>
      <c r="L101" s="107" t="e">
        <f>VLOOKUP($A101,'S45'!$C:$BQ,39,0)</f>
        <v>#N/A</v>
      </c>
      <c r="M101" s="107" t="e">
        <f>VLOOKUP($A101,'S45'!$C:$BQ,40,0)</f>
        <v>#N/A</v>
      </c>
      <c r="N101" s="107" t="e">
        <f>VLOOKUP($A101,'S45'!$C:$BQ,22,0)</f>
        <v>#N/A</v>
      </c>
      <c r="O101" s="115" t="e">
        <f>VLOOKUP($A101,'S45'!$C:$BQ,29,0)</f>
        <v>#N/A</v>
      </c>
      <c r="P101" s="115" t="e">
        <f>VLOOKUP($A101,'S45'!$C:$BQ,30,0)</f>
        <v>#N/A</v>
      </c>
      <c r="Q101" s="115" t="e">
        <f>VLOOKUP($A101,'S45'!$C:$BQ,52,0)</f>
        <v>#N/A</v>
      </c>
      <c r="R101" s="115" t="e">
        <f>VLOOKUP($A101,'S45'!$C:$BQ,59,0)</f>
        <v>#N/A</v>
      </c>
      <c r="S101" s="115" t="e">
        <f>VLOOKUP($A101,'S45'!$C:$BQ,60,0)</f>
        <v>#N/A</v>
      </c>
      <c r="T101" s="107" t="e">
        <f>VLOOKUP($A101,'S46'!$C:$BQ,32,0)</f>
        <v>#N/A</v>
      </c>
      <c r="U101" s="107" t="e">
        <f>VLOOKUP($A101,'S46'!$C:$BQ,39,0)</f>
        <v>#N/A</v>
      </c>
      <c r="V101" s="107" t="e">
        <f>VLOOKUP($A101,'S46'!$C:$BQ,40,0)</f>
        <v>#N/A</v>
      </c>
      <c r="W101" s="107" t="e">
        <f>VLOOKUP($A101,'S46'!$C:$BQ,22,0)</f>
        <v>#N/A</v>
      </c>
      <c r="X101" s="115" t="e">
        <f>VLOOKUP($A101,'S46'!$C:$BQ,29,0)</f>
        <v>#N/A</v>
      </c>
      <c r="Y101" s="115" t="e">
        <f>VLOOKUP($A101,'S46'!$C:$BQ,30,0)</f>
        <v>#N/A</v>
      </c>
      <c r="Z101" s="115" t="e">
        <f>VLOOKUP($A101,'S46'!$C:$BQ,52,0)</f>
        <v>#N/A</v>
      </c>
      <c r="AA101" s="115" t="e">
        <f>VLOOKUP($A101,'S46'!$C:$BQ,59,0)</f>
        <v>#N/A</v>
      </c>
      <c r="AB101" s="115" t="e">
        <f>VLOOKUP($A101,'S46'!$C:$BQ,60,0)</f>
        <v>#N/A</v>
      </c>
      <c r="AC101" s="107" t="e">
        <f>VLOOKUP($A101,'S47'!$C:$BQ,32,0)</f>
        <v>#N/A</v>
      </c>
      <c r="AD101" s="107" t="e">
        <f>VLOOKUP($A101,'S47'!$C:$BQ,39,0)</f>
        <v>#N/A</v>
      </c>
      <c r="AE101" s="107" t="e">
        <f>VLOOKUP($A101,'S47'!$C:$BQ,40,0)</f>
        <v>#N/A</v>
      </c>
      <c r="AF101" s="107" t="e">
        <f>VLOOKUP($A101,'S47'!$C:$BQ,22,0)</f>
        <v>#N/A</v>
      </c>
      <c r="AG101" s="115" t="e">
        <f>VLOOKUP($A101,'S47'!$C:$BQ,29,0)</f>
        <v>#N/A</v>
      </c>
      <c r="AH101" s="115" t="e">
        <f>VLOOKUP($A101,'S47'!$C:$BQ,30,0)</f>
        <v>#N/A</v>
      </c>
      <c r="AI101" s="115" t="e">
        <f>VLOOKUP($A101,'S47'!$C:$BQ,52,0)</f>
        <v>#N/A</v>
      </c>
      <c r="AJ101" s="115" t="e">
        <f>VLOOKUP($A101,'S47'!$C:$BQ,59,0)</f>
        <v>#N/A</v>
      </c>
      <c r="AK101" s="115" t="e">
        <f>VLOOKUP($A101,'S47'!$C:$BQ,60,0)</f>
        <v>#N/A</v>
      </c>
      <c r="AL101" s="107" t="e">
        <f>VLOOKUP($A101,'S48'!$C:$BQ,32,0)</f>
        <v>#N/A</v>
      </c>
      <c r="AM101" s="107" t="e">
        <f>VLOOKUP($A101,'S48'!$C:$BQ,39,0)</f>
        <v>#N/A</v>
      </c>
      <c r="AN101" s="107" t="e">
        <f>VLOOKUP($A101,'S48'!$C:$BQ,40,0)</f>
        <v>#N/A</v>
      </c>
      <c r="AO101" s="107" t="e">
        <f>VLOOKUP($A101,'S48'!$C:$BQ,22,0)</f>
        <v>#N/A</v>
      </c>
      <c r="AP101" s="115" t="e">
        <f>VLOOKUP($A101,'S48'!$C:$BQ,29,0)</f>
        <v>#N/A</v>
      </c>
      <c r="AQ101" s="115" t="e">
        <f>VLOOKUP($A101,'S48'!$C:$BQ,30,0)</f>
        <v>#N/A</v>
      </c>
      <c r="AR101" s="115" t="e">
        <f>VLOOKUP($A101,'S48'!$C:$BQ,52,0)</f>
        <v>#N/A</v>
      </c>
      <c r="AS101" s="115" t="e">
        <f>VLOOKUP($A101,'S48'!$C:$BQ,59,0)</f>
        <v>#N/A</v>
      </c>
      <c r="AT101" s="115" t="e">
        <f>VLOOKUP($A101,'S48'!$C:$BQ,60,0)</f>
        <v>#N/A</v>
      </c>
      <c r="AU101" s="107" t="e">
        <f>VLOOKUP($A101,'S49'!$C:$BQ,32,0)</f>
        <v>#N/A</v>
      </c>
      <c r="AV101" s="107" t="e">
        <f>VLOOKUP($A101,'S49'!$C:$BQ,39,0)</f>
        <v>#N/A</v>
      </c>
      <c r="AW101" s="107" t="e">
        <f>VLOOKUP($A101,'S49'!$C:$BQ,40,0)</f>
        <v>#N/A</v>
      </c>
      <c r="AX101" s="107" t="e">
        <f>VLOOKUP($A101,'S49'!$C:$BQ,22,0)</f>
        <v>#N/A</v>
      </c>
      <c r="AY101" s="115" t="e">
        <f>VLOOKUP($A101,'S49'!$C:$BQ,29,0)</f>
        <v>#N/A</v>
      </c>
      <c r="AZ101" s="115" t="e">
        <f>VLOOKUP($A101,'S49'!$C:$BQ,30,0)</f>
        <v>#N/A</v>
      </c>
      <c r="BA101" s="115" t="e">
        <f>VLOOKUP($A101,'S49'!$C:$BQ,52,0)</f>
        <v>#N/A</v>
      </c>
      <c r="BB101" s="115" t="e">
        <f>VLOOKUP($A101,'S49'!$C:$BQ,59,0)</f>
        <v>#N/A</v>
      </c>
      <c r="BC101" s="115" t="e">
        <f>VLOOKUP($A101,'S49'!$C:$BQ,60,0)</f>
        <v>#N/A</v>
      </c>
      <c r="BD101" s="107" t="e">
        <f>VLOOKUP($A101,'S50'!$C:$BQ,32,0)</f>
        <v>#N/A</v>
      </c>
      <c r="BE101" s="107" t="e">
        <f>VLOOKUP($A101,'S50'!$C:$BQ,39,0)</f>
        <v>#N/A</v>
      </c>
      <c r="BF101" s="107" t="e">
        <f>VLOOKUP($A101,'S50'!$C:$BQ,40,0)</f>
        <v>#N/A</v>
      </c>
      <c r="BG101" s="107" t="e">
        <f>VLOOKUP($A101,'S50'!$C:$BQ,22,0)</f>
        <v>#N/A</v>
      </c>
      <c r="BH101" s="115" t="e">
        <f>VLOOKUP($A101,'S50'!$C:$BQ,29,0)</f>
        <v>#N/A</v>
      </c>
      <c r="BI101" s="115" t="e">
        <f>VLOOKUP($A101,'S50'!$C:$BQ,30,0)</f>
        <v>#N/A</v>
      </c>
      <c r="BJ101" s="115" t="e">
        <f>VLOOKUP($A101,'S50'!$C:$BQ,52,0)</f>
        <v>#N/A</v>
      </c>
      <c r="BK101" s="115" t="e">
        <f>VLOOKUP($A101,'S50'!$C:$BQ,59,0)</f>
        <v>#N/A</v>
      </c>
      <c r="BL101" s="115" t="e">
        <f>VLOOKUP($A101,'S50'!$C:$BQ,60,0)</f>
        <v>#N/A</v>
      </c>
    </row>
    <row r="102" spans="1:64" x14ac:dyDescent="0.2">
      <c r="A102" s="106" t="s">
        <v>164</v>
      </c>
      <c r="B102" s="107">
        <f>VLOOKUP($A102,'S0 remplacer avec S44'!$C:$BQ,32,0)</f>
        <v>122.8</v>
      </c>
      <c r="C102" s="107">
        <f>VLOOKUP($A102,'S0 remplacer avec S44'!$C:$BQ,39,0)</f>
        <v>84</v>
      </c>
      <c r="D102" s="107">
        <f>VLOOKUP($A102,'S0 remplacer avec S44'!$C:$BQ,40,0)</f>
        <v>125</v>
      </c>
      <c r="E102" s="107">
        <f>VLOOKUP($A102,'S0 remplacer avec S44'!$C:$BQ,22,0)</f>
        <v>1801.66002</v>
      </c>
      <c r="F102" s="115">
        <f>VLOOKUP($A102,'S0 remplacer avec S44'!$C:$BQ,29,0)</f>
        <v>76</v>
      </c>
      <c r="G102" s="115">
        <f>VLOOKUP($A102,'S0 remplacer avec S44'!$C:$BQ,30,0)</f>
        <v>452</v>
      </c>
      <c r="H102" s="115">
        <f>VLOOKUP($A102,'S0 remplacer avec S44'!$C:$BQ,52,0)</f>
        <v>108</v>
      </c>
      <c r="I102" s="115">
        <f>VLOOKUP($A102,'S0 remplacer avec S44'!$C:$BQ,59,0)</f>
        <v>0</v>
      </c>
      <c r="J102" s="115">
        <f>VLOOKUP($A102,'S0 remplacer avec S44'!$C:$BQ,60,0)</f>
        <v>18</v>
      </c>
      <c r="K102" s="107" t="e">
        <f>VLOOKUP($A102,'S45'!$C:$BQ,32,0)</f>
        <v>#N/A</v>
      </c>
      <c r="L102" s="107" t="e">
        <f>VLOOKUP($A102,'S45'!$C:$BQ,39,0)</f>
        <v>#N/A</v>
      </c>
      <c r="M102" s="107" t="e">
        <f>VLOOKUP($A102,'S45'!$C:$BQ,40,0)</f>
        <v>#N/A</v>
      </c>
      <c r="N102" s="107" t="e">
        <f>VLOOKUP($A102,'S45'!$C:$BQ,22,0)</f>
        <v>#N/A</v>
      </c>
      <c r="O102" s="115" t="e">
        <f>VLOOKUP($A102,'S45'!$C:$BQ,29,0)</f>
        <v>#N/A</v>
      </c>
      <c r="P102" s="115" t="e">
        <f>VLOOKUP($A102,'S45'!$C:$BQ,30,0)</f>
        <v>#N/A</v>
      </c>
      <c r="Q102" s="115" t="e">
        <f>VLOOKUP($A102,'S45'!$C:$BQ,52,0)</f>
        <v>#N/A</v>
      </c>
      <c r="R102" s="115" t="e">
        <f>VLOOKUP($A102,'S45'!$C:$BQ,59,0)</f>
        <v>#N/A</v>
      </c>
      <c r="S102" s="115" t="e">
        <f>VLOOKUP($A102,'S45'!$C:$BQ,60,0)</f>
        <v>#N/A</v>
      </c>
      <c r="T102" s="107" t="e">
        <f>VLOOKUP($A102,'S46'!$C:$BQ,32,0)</f>
        <v>#N/A</v>
      </c>
      <c r="U102" s="107" t="e">
        <f>VLOOKUP($A102,'S46'!$C:$BQ,39,0)</f>
        <v>#N/A</v>
      </c>
      <c r="V102" s="107" t="e">
        <f>VLOOKUP($A102,'S46'!$C:$BQ,40,0)</f>
        <v>#N/A</v>
      </c>
      <c r="W102" s="107" t="e">
        <f>VLOOKUP($A102,'S46'!$C:$BQ,22,0)</f>
        <v>#N/A</v>
      </c>
      <c r="X102" s="115" t="e">
        <f>VLOOKUP($A102,'S46'!$C:$BQ,29,0)</f>
        <v>#N/A</v>
      </c>
      <c r="Y102" s="115" t="e">
        <f>VLOOKUP($A102,'S46'!$C:$BQ,30,0)</f>
        <v>#N/A</v>
      </c>
      <c r="Z102" s="115" t="e">
        <f>VLOOKUP($A102,'S46'!$C:$BQ,52,0)</f>
        <v>#N/A</v>
      </c>
      <c r="AA102" s="115" t="e">
        <f>VLOOKUP($A102,'S46'!$C:$BQ,59,0)</f>
        <v>#N/A</v>
      </c>
      <c r="AB102" s="115" t="e">
        <f>VLOOKUP($A102,'S46'!$C:$BQ,60,0)</f>
        <v>#N/A</v>
      </c>
      <c r="AC102" s="107" t="e">
        <f>VLOOKUP($A102,'S47'!$C:$BQ,32,0)</f>
        <v>#N/A</v>
      </c>
      <c r="AD102" s="107" t="e">
        <f>VLOOKUP($A102,'S47'!$C:$BQ,39,0)</f>
        <v>#N/A</v>
      </c>
      <c r="AE102" s="107" t="e">
        <f>VLOOKUP($A102,'S47'!$C:$BQ,40,0)</f>
        <v>#N/A</v>
      </c>
      <c r="AF102" s="107" t="e">
        <f>VLOOKUP($A102,'S47'!$C:$BQ,22,0)</f>
        <v>#N/A</v>
      </c>
      <c r="AG102" s="115" t="e">
        <f>VLOOKUP($A102,'S47'!$C:$BQ,29,0)</f>
        <v>#N/A</v>
      </c>
      <c r="AH102" s="115" t="e">
        <f>VLOOKUP($A102,'S47'!$C:$BQ,30,0)</f>
        <v>#N/A</v>
      </c>
      <c r="AI102" s="115" t="e">
        <f>VLOOKUP($A102,'S47'!$C:$BQ,52,0)</f>
        <v>#N/A</v>
      </c>
      <c r="AJ102" s="115" t="e">
        <f>VLOOKUP($A102,'S47'!$C:$BQ,59,0)</f>
        <v>#N/A</v>
      </c>
      <c r="AK102" s="115" t="e">
        <f>VLOOKUP($A102,'S47'!$C:$BQ,60,0)</f>
        <v>#N/A</v>
      </c>
      <c r="AL102" s="107" t="e">
        <f>VLOOKUP($A102,'S48'!$C:$BQ,32,0)</f>
        <v>#N/A</v>
      </c>
      <c r="AM102" s="107" t="e">
        <f>VLOOKUP($A102,'S48'!$C:$BQ,39,0)</f>
        <v>#N/A</v>
      </c>
      <c r="AN102" s="107" t="e">
        <f>VLOOKUP($A102,'S48'!$C:$BQ,40,0)</f>
        <v>#N/A</v>
      </c>
      <c r="AO102" s="107" t="e">
        <f>VLOOKUP($A102,'S48'!$C:$BQ,22,0)</f>
        <v>#N/A</v>
      </c>
      <c r="AP102" s="115" t="e">
        <f>VLOOKUP($A102,'S48'!$C:$BQ,29,0)</f>
        <v>#N/A</v>
      </c>
      <c r="AQ102" s="115" t="e">
        <f>VLOOKUP($A102,'S48'!$C:$BQ,30,0)</f>
        <v>#N/A</v>
      </c>
      <c r="AR102" s="115" t="e">
        <f>VLOOKUP($A102,'S48'!$C:$BQ,52,0)</f>
        <v>#N/A</v>
      </c>
      <c r="AS102" s="115" t="e">
        <f>VLOOKUP($A102,'S48'!$C:$BQ,59,0)</f>
        <v>#N/A</v>
      </c>
      <c r="AT102" s="115" t="e">
        <f>VLOOKUP($A102,'S48'!$C:$BQ,60,0)</f>
        <v>#N/A</v>
      </c>
      <c r="AU102" s="107" t="e">
        <f>VLOOKUP($A102,'S49'!$C:$BQ,32,0)</f>
        <v>#N/A</v>
      </c>
      <c r="AV102" s="107" t="e">
        <f>VLOOKUP($A102,'S49'!$C:$BQ,39,0)</f>
        <v>#N/A</v>
      </c>
      <c r="AW102" s="107" t="e">
        <f>VLOOKUP($A102,'S49'!$C:$BQ,40,0)</f>
        <v>#N/A</v>
      </c>
      <c r="AX102" s="107" t="e">
        <f>VLOOKUP($A102,'S49'!$C:$BQ,22,0)</f>
        <v>#N/A</v>
      </c>
      <c r="AY102" s="115" t="e">
        <f>VLOOKUP($A102,'S49'!$C:$BQ,29,0)</f>
        <v>#N/A</v>
      </c>
      <c r="AZ102" s="115" t="e">
        <f>VLOOKUP($A102,'S49'!$C:$BQ,30,0)</f>
        <v>#N/A</v>
      </c>
      <c r="BA102" s="115" t="e">
        <f>VLOOKUP($A102,'S49'!$C:$BQ,52,0)</f>
        <v>#N/A</v>
      </c>
      <c r="BB102" s="115" t="e">
        <f>VLOOKUP($A102,'S49'!$C:$BQ,59,0)</f>
        <v>#N/A</v>
      </c>
      <c r="BC102" s="115" t="e">
        <f>VLOOKUP($A102,'S49'!$C:$BQ,60,0)</f>
        <v>#N/A</v>
      </c>
      <c r="BD102" s="107" t="e">
        <f>VLOOKUP($A102,'S50'!$C:$BQ,32,0)</f>
        <v>#N/A</v>
      </c>
      <c r="BE102" s="107" t="e">
        <f>VLOOKUP($A102,'S50'!$C:$BQ,39,0)</f>
        <v>#N/A</v>
      </c>
      <c r="BF102" s="107" t="e">
        <f>VLOOKUP($A102,'S50'!$C:$BQ,40,0)</f>
        <v>#N/A</v>
      </c>
      <c r="BG102" s="107" t="e">
        <f>VLOOKUP($A102,'S50'!$C:$BQ,22,0)</f>
        <v>#N/A</v>
      </c>
      <c r="BH102" s="115" t="e">
        <f>VLOOKUP($A102,'S50'!$C:$BQ,29,0)</f>
        <v>#N/A</v>
      </c>
      <c r="BI102" s="115" t="e">
        <f>VLOOKUP($A102,'S50'!$C:$BQ,30,0)</f>
        <v>#N/A</v>
      </c>
      <c r="BJ102" s="115" t="e">
        <f>VLOOKUP($A102,'S50'!$C:$BQ,52,0)</f>
        <v>#N/A</v>
      </c>
      <c r="BK102" s="115" t="e">
        <f>VLOOKUP($A102,'S50'!$C:$BQ,59,0)</f>
        <v>#N/A</v>
      </c>
      <c r="BL102" s="115" t="e">
        <f>VLOOKUP($A102,'S50'!$C:$BQ,60,0)</f>
        <v>#N/A</v>
      </c>
    </row>
    <row r="103" spans="1:64" x14ac:dyDescent="0.2">
      <c r="A103" s="106" t="s">
        <v>165</v>
      </c>
      <c r="B103" s="107">
        <f>VLOOKUP($A103,'S0 remplacer avec S44'!$C:$BQ,32,0)</f>
        <v>105.7</v>
      </c>
      <c r="C103" s="107">
        <f>VLOOKUP($A103,'S0 remplacer avec S44'!$C:$BQ,39,0)</f>
        <v>54</v>
      </c>
      <c r="D103" s="107">
        <f>VLOOKUP($A103,'S0 remplacer avec S44'!$C:$BQ,40,0)</f>
        <v>85</v>
      </c>
      <c r="E103" s="107">
        <f>VLOOKUP($A103,'S0 remplacer avec S44'!$C:$BQ,22,0)</f>
        <v>1230.9014299999999</v>
      </c>
      <c r="F103" s="115">
        <f>VLOOKUP($A103,'S0 remplacer avec S44'!$C:$BQ,29,0)</f>
        <v>215</v>
      </c>
      <c r="G103" s="115">
        <f>VLOOKUP($A103,'S0 remplacer avec S44'!$C:$BQ,30,0)</f>
        <v>504</v>
      </c>
      <c r="H103" s="115">
        <f>VLOOKUP($A103,'S0 remplacer avec S44'!$C:$BQ,52,0)</f>
        <v>36.6</v>
      </c>
      <c r="I103" s="115">
        <f>VLOOKUP($A103,'S0 remplacer avec S44'!$C:$BQ,59,0)</f>
        <v>45</v>
      </c>
      <c r="J103" s="115">
        <f>VLOOKUP($A103,'S0 remplacer avec S44'!$C:$BQ,60,0)</f>
        <v>61</v>
      </c>
      <c r="K103" s="107" t="e">
        <f>VLOOKUP($A103,'S45'!$C:$BQ,32,0)</f>
        <v>#N/A</v>
      </c>
      <c r="L103" s="107" t="e">
        <f>VLOOKUP($A103,'S45'!$C:$BQ,39,0)</f>
        <v>#N/A</v>
      </c>
      <c r="M103" s="107" t="e">
        <f>VLOOKUP($A103,'S45'!$C:$BQ,40,0)</f>
        <v>#N/A</v>
      </c>
      <c r="N103" s="107" t="e">
        <f>VLOOKUP($A103,'S45'!$C:$BQ,22,0)</f>
        <v>#N/A</v>
      </c>
      <c r="O103" s="115" t="e">
        <f>VLOOKUP($A103,'S45'!$C:$BQ,29,0)</f>
        <v>#N/A</v>
      </c>
      <c r="P103" s="115" t="e">
        <f>VLOOKUP($A103,'S45'!$C:$BQ,30,0)</f>
        <v>#N/A</v>
      </c>
      <c r="Q103" s="115" t="e">
        <f>VLOOKUP($A103,'S45'!$C:$BQ,52,0)</f>
        <v>#N/A</v>
      </c>
      <c r="R103" s="115" t="e">
        <f>VLOOKUP($A103,'S45'!$C:$BQ,59,0)</f>
        <v>#N/A</v>
      </c>
      <c r="S103" s="115" t="e">
        <f>VLOOKUP($A103,'S45'!$C:$BQ,60,0)</f>
        <v>#N/A</v>
      </c>
      <c r="T103" s="107" t="e">
        <f>VLOOKUP($A103,'S46'!$C:$BQ,32,0)</f>
        <v>#N/A</v>
      </c>
      <c r="U103" s="107" t="e">
        <f>VLOOKUP($A103,'S46'!$C:$BQ,39,0)</f>
        <v>#N/A</v>
      </c>
      <c r="V103" s="107" t="e">
        <f>VLOOKUP($A103,'S46'!$C:$BQ,40,0)</f>
        <v>#N/A</v>
      </c>
      <c r="W103" s="107" t="e">
        <f>VLOOKUP($A103,'S46'!$C:$BQ,22,0)</f>
        <v>#N/A</v>
      </c>
      <c r="X103" s="115" t="e">
        <f>VLOOKUP($A103,'S46'!$C:$BQ,29,0)</f>
        <v>#N/A</v>
      </c>
      <c r="Y103" s="115" t="e">
        <f>VLOOKUP($A103,'S46'!$C:$BQ,30,0)</f>
        <v>#N/A</v>
      </c>
      <c r="Z103" s="115" t="e">
        <f>VLOOKUP($A103,'S46'!$C:$BQ,52,0)</f>
        <v>#N/A</v>
      </c>
      <c r="AA103" s="115" t="e">
        <f>VLOOKUP($A103,'S46'!$C:$BQ,59,0)</f>
        <v>#N/A</v>
      </c>
      <c r="AB103" s="115" t="e">
        <f>VLOOKUP($A103,'S46'!$C:$BQ,60,0)</f>
        <v>#N/A</v>
      </c>
      <c r="AC103" s="107" t="e">
        <f>VLOOKUP($A103,'S47'!$C:$BQ,32,0)</f>
        <v>#N/A</v>
      </c>
      <c r="AD103" s="107" t="e">
        <f>VLOOKUP($A103,'S47'!$C:$BQ,39,0)</f>
        <v>#N/A</v>
      </c>
      <c r="AE103" s="107" t="e">
        <f>VLOOKUP($A103,'S47'!$C:$BQ,40,0)</f>
        <v>#N/A</v>
      </c>
      <c r="AF103" s="107" t="e">
        <f>VLOOKUP($A103,'S47'!$C:$BQ,22,0)</f>
        <v>#N/A</v>
      </c>
      <c r="AG103" s="115" t="e">
        <f>VLOOKUP($A103,'S47'!$C:$BQ,29,0)</f>
        <v>#N/A</v>
      </c>
      <c r="AH103" s="115" t="e">
        <f>VLOOKUP($A103,'S47'!$C:$BQ,30,0)</f>
        <v>#N/A</v>
      </c>
      <c r="AI103" s="115" t="e">
        <f>VLOOKUP($A103,'S47'!$C:$BQ,52,0)</f>
        <v>#N/A</v>
      </c>
      <c r="AJ103" s="115" t="e">
        <f>VLOOKUP($A103,'S47'!$C:$BQ,59,0)</f>
        <v>#N/A</v>
      </c>
      <c r="AK103" s="115" t="e">
        <f>VLOOKUP($A103,'S47'!$C:$BQ,60,0)</f>
        <v>#N/A</v>
      </c>
      <c r="AL103" s="107" t="e">
        <f>VLOOKUP($A103,'S48'!$C:$BQ,32,0)</f>
        <v>#N/A</v>
      </c>
      <c r="AM103" s="107" t="e">
        <f>VLOOKUP($A103,'S48'!$C:$BQ,39,0)</f>
        <v>#N/A</v>
      </c>
      <c r="AN103" s="107" t="e">
        <f>VLOOKUP($A103,'S48'!$C:$BQ,40,0)</f>
        <v>#N/A</v>
      </c>
      <c r="AO103" s="107" t="e">
        <f>VLOOKUP($A103,'S48'!$C:$BQ,22,0)</f>
        <v>#N/A</v>
      </c>
      <c r="AP103" s="115" t="e">
        <f>VLOOKUP($A103,'S48'!$C:$BQ,29,0)</f>
        <v>#N/A</v>
      </c>
      <c r="AQ103" s="115" t="e">
        <f>VLOOKUP($A103,'S48'!$C:$BQ,30,0)</f>
        <v>#N/A</v>
      </c>
      <c r="AR103" s="115" t="e">
        <f>VLOOKUP($A103,'S48'!$C:$BQ,52,0)</f>
        <v>#N/A</v>
      </c>
      <c r="AS103" s="115" t="e">
        <f>VLOOKUP($A103,'S48'!$C:$BQ,59,0)</f>
        <v>#N/A</v>
      </c>
      <c r="AT103" s="115" t="e">
        <f>VLOOKUP($A103,'S48'!$C:$BQ,60,0)</f>
        <v>#N/A</v>
      </c>
      <c r="AU103" s="107" t="e">
        <f>VLOOKUP($A103,'S49'!$C:$BQ,32,0)</f>
        <v>#N/A</v>
      </c>
      <c r="AV103" s="107" t="e">
        <f>VLOOKUP($A103,'S49'!$C:$BQ,39,0)</f>
        <v>#N/A</v>
      </c>
      <c r="AW103" s="107" t="e">
        <f>VLOOKUP($A103,'S49'!$C:$BQ,40,0)</f>
        <v>#N/A</v>
      </c>
      <c r="AX103" s="107" t="e">
        <f>VLOOKUP($A103,'S49'!$C:$BQ,22,0)</f>
        <v>#N/A</v>
      </c>
      <c r="AY103" s="115" t="e">
        <f>VLOOKUP($A103,'S49'!$C:$BQ,29,0)</f>
        <v>#N/A</v>
      </c>
      <c r="AZ103" s="115" t="e">
        <f>VLOOKUP($A103,'S49'!$C:$BQ,30,0)</f>
        <v>#N/A</v>
      </c>
      <c r="BA103" s="115" t="e">
        <f>VLOOKUP($A103,'S49'!$C:$BQ,52,0)</f>
        <v>#N/A</v>
      </c>
      <c r="BB103" s="115" t="e">
        <f>VLOOKUP($A103,'S49'!$C:$BQ,59,0)</f>
        <v>#N/A</v>
      </c>
      <c r="BC103" s="115" t="e">
        <f>VLOOKUP($A103,'S49'!$C:$BQ,60,0)</f>
        <v>#N/A</v>
      </c>
      <c r="BD103" s="107" t="e">
        <f>VLOOKUP($A103,'S50'!$C:$BQ,32,0)</f>
        <v>#N/A</v>
      </c>
      <c r="BE103" s="107" t="e">
        <f>VLOOKUP($A103,'S50'!$C:$BQ,39,0)</f>
        <v>#N/A</v>
      </c>
      <c r="BF103" s="107" t="e">
        <f>VLOOKUP($A103,'S50'!$C:$BQ,40,0)</f>
        <v>#N/A</v>
      </c>
      <c r="BG103" s="107" t="e">
        <f>VLOOKUP($A103,'S50'!$C:$BQ,22,0)</f>
        <v>#N/A</v>
      </c>
      <c r="BH103" s="115" t="e">
        <f>VLOOKUP($A103,'S50'!$C:$BQ,29,0)</f>
        <v>#N/A</v>
      </c>
      <c r="BI103" s="115" t="e">
        <f>VLOOKUP($A103,'S50'!$C:$BQ,30,0)</f>
        <v>#N/A</v>
      </c>
      <c r="BJ103" s="115" t="e">
        <f>VLOOKUP($A103,'S50'!$C:$BQ,52,0)</f>
        <v>#N/A</v>
      </c>
      <c r="BK103" s="115" t="e">
        <f>VLOOKUP($A103,'S50'!$C:$BQ,59,0)</f>
        <v>#N/A</v>
      </c>
      <c r="BL103" s="115" t="e">
        <f>VLOOKUP($A103,'S50'!$C:$BQ,60,0)</f>
        <v>#N/A</v>
      </c>
    </row>
    <row r="104" spans="1:64" x14ac:dyDescent="0.2">
      <c r="A104" s="106" t="s">
        <v>166</v>
      </c>
      <c r="B104" s="107">
        <f>VLOOKUP($A104,'S0 remplacer avec S44'!$C:$BQ,32,0)</f>
        <v>203</v>
      </c>
      <c r="C104" s="107">
        <f>VLOOKUP($A104,'S0 remplacer avec S44'!$C:$BQ,39,0)</f>
        <v>146</v>
      </c>
      <c r="D104" s="107">
        <f>VLOOKUP($A104,'S0 remplacer avec S44'!$C:$BQ,40,0)</f>
        <v>216</v>
      </c>
      <c r="E104" s="107">
        <f>VLOOKUP($A104,'S0 remplacer avec S44'!$C:$BQ,22,0)</f>
        <v>2047.1364799999999</v>
      </c>
      <c r="F104" s="115">
        <f>VLOOKUP($A104,'S0 remplacer avec S44'!$C:$BQ,29,0)</f>
        <v>1127</v>
      </c>
      <c r="G104" s="115">
        <f>VLOOKUP($A104,'S0 remplacer avec S44'!$C:$BQ,30,0)</f>
        <v>1762</v>
      </c>
      <c r="H104" s="115">
        <f>VLOOKUP($A104,'S0 remplacer avec S44'!$C:$BQ,52,0)</f>
        <v>181.6</v>
      </c>
      <c r="I104" s="115">
        <f>VLOOKUP($A104,'S0 remplacer avec S44'!$C:$BQ,59,0)</f>
        <v>0</v>
      </c>
      <c r="J104" s="115">
        <f>VLOOKUP($A104,'S0 remplacer avec S44'!$C:$BQ,60,0)</f>
        <v>32</v>
      </c>
      <c r="K104" s="107" t="e">
        <f>VLOOKUP($A104,'S45'!$C:$BQ,32,0)</f>
        <v>#N/A</v>
      </c>
      <c r="L104" s="107" t="e">
        <f>VLOOKUP($A104,'S45'!$C:$BQ,39,0)</f>
        <v>#N/A</v>
      </c>
      <c r="M104" s="107" t="e">
        <f>VLOOKUP($A104,'S45'!$C:$BQ,40,0)</f>
        <v>#N/A</v>
      </c>
      <c r="N104" s="107" t="e">
        <f>VLOOKUP($A104,'S45'!$C:$BQ,22,0)</f>
        <v>#N/A</v>
      </c>
      <c r="O104" s="115" t="e">
        <f>VLOOKUP($A104,'S45'!$C:$BQ,29,0)</f>
        <v>#N/A</v>
      </c>
      <c r="P104" s="115" t="e">
        <f>VLOOKUP($A104,'S45'!$C:$BQ,30,0)</f>
        <v>#N/A</v>
      </c>
      <c r="Q104" s="115" t="e">
        <f>VLOOKUP($A104,'S45'!$C:$BQ,52,0)</f>
        <v>#N/A</v>
      </c>
      <c r="R104" s="115" t="e">
        <f>VLOOKUP($A104,'S45'!$C:$BQ,59,0)</f>
        <v>#N/A</v>
      </c>
      <c r="S104" s="115" t="e">
        <f>VLOOKUP($A104,'S45'!$C:$BQ,60,0)</f>
        <v>#N/A</v>
      </c>
      <c r="T104" s="107" t="e">
        <f>VLOOKUP($A104,'S46'!$C:$BQ,32,0)</f>
        <v>#N/A</v>
      </c>
      <c r="U104" s="107" t="e">
        <f>VLOOKUP($A104,'S46'!$C:$BQ,39,0)</f>
        <v>#N/A</v>
      </c>
      <c r="V104" s="107" t="e">
        <f>VLOOKUP($A104,'S46'!$C:$BQ,40,0)</f>
        <v>#N/A</v>
      </c>
      <c r="W104" s="107" t="e">
        <f>VLOOKUP($A104,'S46'!$C:$BQ,22,0)</f>
        <v>#N/A</v>
      </c>
      <c r="X104" s="115" t="e">
        <f>VLOOKUP($A104,'S46'!$C:$BQ,29,0)</f>
        <v>#N/A</v>
      </c>
      <c r="Y104" s="115" t="e">
        <f>VLOOKUP($A104,'S46'!$C:$BQ,30,0)</f>
        <v>#N/A</v>
      </c>
      <c r="Z104" s="115" t="e">
        <f>VLOOKUP($A104,'S46'!$C:$BQ,52,0)</f>
        <v>#N/A</v>
      </c>
      <c r="AA104" s="115" t="e">
        <f>VLOOKUP($A104,'S46'!$C:$BQ,59,0)</f>
        <v>#N/A</v>
      </c>
      <c r="AB104" s="115" t="e">
        <f>VLOOKUP($A104,'S46'!$C:$BQ,60,0)</f>
        <v>#N/A</v>
      </c>
      <c r="AC104" s="107" t="e">
        <f>VLOOKUP($A104,'S47'!$C:$BQ,32,0)</f>
        <v>#N/A</v>
      </c>
      <c r="AD104" s="107" t="e">
        <f>VLOOKUP($A104,'S47'!$C:$BQ,39,0)</f>
        <v>#N/A</v>
      </c>
      <c r="AE104" s="107" t="e">
        <f>VLOOKUP($A104,'S47'!$C:$BQ,40,0)</f>
        <v>#N/A</v>
      </c>
      <c r="AF104" s="107" t="e">
        <f>VLOOKUP($A104,'S47'!$C:$BQ,22,0)</f>
        <v>#N/A</v>
      </c>
      <c r="AG104" s="115" t="e">
        <f>VLOOKUP($A104,'S47'!$C:$BQ,29,0)</f>
        <v>#N/A</v>
      </c>
      <c r="AH104" s="115" t="e">
        <f>VLOOKUP($A104,'S47'!$C:$BQ,30,0)</f>
        <v>#N/A</v>
      </c>
      <c r="AI104" s="115" t="e">
        <f>VLOOKUP($A104,'S47'!$C:$BQ,52,0)</f>
        <v>#N/A</v>
      </c>
      <c r="AJ104" s="115" t="e">
        <f>VLOOKUP($A104,'S47'!$C:$BQ,59,0)</f>
        <v>#N/A</v>
      </c>
      <c r="AK104" s="115" t="e">
        <f>VLOOKUP($A104,'S47'!$C:$BQ,60,0)</f>
        <v>#N/A</v>
      </c>
      <c r="AL104" s="107" t="e">
        <f>VLOOKUP($A104,'S48'!$C:$BQ,32,0)</f>
        <v>#N/A</v>
      </c>
      <c r="AM104" s="107" t="e">
        <f>VLOOKUP($A104,'S48'!$C:$BQ,39,0)</f>
        <v>#N/A</v>
      </c>
      <c r="AN104" s="107" t="e">
        <f>VLOOKUP($A104,'S48'!$C:$BQ,40,0)</f>
        <v>#N/A</v>
      </c>
      <c r="AO104" s="107" t="e">
        <f>VLOOKUP($A104,'S48'!$C:$BQ,22,0)</f>
        <v>#N/A</v>
      </c>
      <c r="AP104" s="115" t="e">
        <f>VLOOKUP($A104,'S48'!$C:$BQ,29,0)</f>
        <v>#N/A</v>
      </c>
      <c r="AQ104" s="115" t="e">
        <f>VLOOKUP($A104,'S48'!$C:$BQ,30,0)</f>
        <v>#N/A</v>
      </c>
      <c r="AR104" s="115" t="e">
        <f>VLOOKUP($A104,'S48'!$C:$BQ,52,0)</f>
        <v>#N/A</v>
      </c>
      <c r="AS104" s="115" t="e">
        <f>VLOOKUP($A104,'S48'!$C:$BQ,59,0)</f>
        <v>#N/A</v>
      </c>
      <c r="AT104" s="115" t="e">
        <f>VLOOKUP($A104,'S48'!$C:$BQ,60,0)</f>
        <v>#N/A</v>
      </c>
      <c r="AU104" s="107" t="e">
        <f>VLOOKUP($A104,'S49'!$C:$BQ,32,0)</f>
        <v>#N/A</v>
      </c>
      <c r="AV104" s="107" t="e">
        <f>VLOOKUP($A104,'S49'!$C:$BQ,39,0)</f>
        <v>#N/A</v>
      </c>
      <c r="AW104" s="107" t="e">
        <f>VLOOKUP($A104,'S49'!$C:$BQ,40,0)</f>
        <v>#N/A</v>
      </c>
      <c r="AX104" s="107" t="e">
        <f>VLOOKUP($A104,'S49'!$C:$BQ,22,0)</f>
        <v>#N/A</v>
      </c>
      <c r="AY104" s="115" t="e">
        <f>VLOOKUP($A104,'S49'!$C:$BQ,29,0)</f>
        <v>#N/A</v>
      </c>
      <c r="AZ104" s="115" t="e">
        <f>VLOOKUP($A104,'S49'!$C:$BQ,30,0)</f>
        <v>#N/A</v>
      </c>
      <c r="BA104" s="115" t="e">
        <f>VLOOKUP($A104,'S49'!$C:$BQ,52,0)</f>
        <v>#N/A</v>
      </c>
      <c r="BB104" s="115" t="e">
        <f>VLOOKUP($A104,'S49'!$C:$BQ,59,0)</f>
        <v>#N/A</v>
      </c>
      <c r="BC104" s="115" t="e">
        <f>VLOOKUP($A104,'S49'!$C:$BQ,60,0)</f>
        <v>#N/A</v>
      </c>
      <c r="BD104" s="107" t="e">
        <f>VLOOKUP($A104,'S50'!$C:$BQ,32,0)</f>
        <v>#N/A</v>
      </c>
      <c r="BE104" s="107" t="e">
        <f>VLOOKUP($A104,'S50'!$C:$BQ,39,0)</f>
        <v>#N/A</v>
      </c>
      <c r="BF104" s="107" t="e">
        <f>VLOOKUP($A104,'S50'!$C:$BQ,40,0)</f>
        <v>#N/A</v>
      </c>
      <c r="BG104" s="107" t="e">
        <f>VLOOKUP($A104,'S50'!$C:$BQ,22,0)</f>
        <v>#N/A</v>
      </c>
      <c r="BH104" s="115" t="e">
        <f>VLOOKUP($A104,'S50'!$C:$BQ,29,0)</f>
        <v>#N/A</v>
      </c>
      <c r="BI104" s="115" t="e">
        <f>VLOOKUP($A104,'S50'!$C:$BQ,30,0)</f>
        <v>#N/A</v>
      </c>
      <c r="BJ104" s="115" t="e">
        <f>VLOOKUP($A104,'S50'!$C:$BQ,52,0)</f>
        <v>#N/A</v>
      </c>
      <c r="BK104" s="115" t="e">
        <f>VLOOKUP($A104,'S50'!$C:$BQ,59,0)</f>
        <v>#N/A</v>
      </c>
      <c r="BL104" s="115" t="e">
        <f>VLOOKUP($A104,'S50'!$C:$BQ,60,0)</f>
        <v>#N/A</v>
      </c>
    </row>
    <row r="105" spans="1:64" x14ac:dyDescent="0.2">
      <c r="A105" s="106" t="s">
        <v>167</v>
      </c>
      <c r="B105" s="107">
        <f>VLOOKUP($A105,'S0 remplacer avec S44'!$C:$BQ,32,0)</f>
        <v>205.3</v>
      </c>
      <c r="C105" s="107">
        <f>VLOOKUP($A105,'S0 remplacer avec S44'!$C:$BQ,39,0)</f>
        <v>94</v>
      </c>
      <c r="D105" s="107">
        <f>VLOOKUP($A105,'S0 remplacer avec S44'!$C:$BQ,40,0)</f>
        <v>154</v>
      </c>
      <c r="E105" s="107">
        <f>VLOOKUP($A105,'S0 remplacer avec S44'!$C:$BQ,22,0)</f>
        <v>1982.4209900000001</v>
      </c>
      <c r="F105" s="115">
        <f>VLOOKUP($A105,'S0 remplacer avec S44'!$C:$BQ,29,0)</f>
        <v>738</v>
      </c>
      <c r="G105" s="115">
        <f>VLOOKUP($A105,'S0 remplacer avec S44'!$C:$BQ,30,0)</f>
        <v>1282</v>
      </c>
      <c r="H105" s="115">
        <f>VLOOKUP($A105,'S0 remplacer avec S44'!$C:$BQ,52,0)</f>
        <v>174.8</v>
      </c>
      <c r="I105" s="115">
        <f>VLOOKUP($A105,'S0 remplacer avec S44'!$C:$BQ,59,0)</f>
        <v>0</v>
      </c>
      <c r="J105" s="115">
        <f>VLOOKUP($A105,'S0 remplacer avec S44'!$C:$BQ,60,0)</f>
        <v>8</v>
      </c>
      <c r="K105" s="107" t="e">
        <f>VLOOKUP($A105,'S45'!$C:$BQ,32,0)</f>
        <v>#N/A</v>
      </c>
      <c r="L105" s="107" t="e">
        <f>VLOOKUP($A105,'S45'!$C:$BQ,39,0)</f>
        <v>#N/A</v>
      </c>
      <c r="M105" s="107" t="e">
        <f>VLOOKUP($A105,'S45'!$C:$BQ,40,0)</f>
        <v>#N/A</v>
      </c>
      <c r="N105" s="107" t="e">
        <f>VLOOKUP($A105,'S45'!$C:$BQ,22,0)</f>
        <v>#N/A</v>
      </c>
      <c r="O105" s="115" t="e">
        <f>VLOOKUP($A105,'S45'!$C:$BQ,29,0)</f>
        <v>#N/A</v>
      </c>
      <c r="P105" s="115" t="e">
        <f>VLOOKUP($A105,'S45'!$C:$BQ,30,0)</f>
        <v>#N/A</v>
      </c>
      <c r="Q105" s="115" t="e">
        <f>VLOOKUP($A105,'S45'!$C:$BQ,52,0)</f>
        <v>#N/A</v>
      </c>
      <c r="R105" s="115" t="e">
        <f>VLOOKUP($A105,'S45'!$C:$BQ,59,0)</f>
        <v>#N/A</v>
      </c>
      <c r="S105" s="115" t="e">
        <f>VLOOKUP($A105,'S45'!$C:$BQ,60,0)</f>
        <v>#N/A</v>
      </c>
      <c r="T105" s="107" t="e">
        <f>VLOOKUP($A105,'S46'!$C:$BQ,32,0)</f>
        <v>#N/A</v>
      </c>
      <c r="U105" s="107" t="e">
        <f>VLOOKUP($A105,'S46'!$C:$BQ,39,0)</f>
        <v>#N/A</v>
      </c>
      <c r="V105" s="107" t="e">
        <f>VLOOKUP($A105,'S46'!$C:$BQ,40,0)</f>
        <v>#N/A</v>
      </c>
      <c r="W105" s="107" t="e">
        <f>VLOOKUP($A105,'S46'!$C:$BQ,22,0)</f>
        <v>#N/A</v>
      </c>
      <c r="X105" s="115" t="e">
        <f>VLOOKUP($A105,'S46'!$C:$BQ,29,0)</f>
        <v>#N/A</v>
      </c>
      <c r="Y105" s="115" t="e">
        <f>VLOOKUP($A105,'S46'!$C:$BQ,30,0)</f>
        <v>#N/A</v>
      </c>
      <c r="Z105" s="115" t="e">
        <f>VLOOKUP($A105,'S46'!$C:$BQ,52,0)</f>
        <v>#N/A</v>
      </c>
      <c r="AA105" s="115" t="e">
        <f>VLOOKUP($A105,'S46'!$C:$BQ,59,0)</f>
        <v>#N/A</v>
      </c>
      <c r="AB105" s="115" t="e">
        <f>VLOOKUP($A105,'S46'!$C:$BQ,60,0)</f>
        <v>#N/A</v>
      </c>
      <c r="AC105" s="107" t="e">
        <f>VLOOKUP($A105,'S47'!$C:$BQ,32,0)</f>
        <v>#N/A</v>
      </c>
      <c r="AD105" s="107" t="e">
        <f>VLOOKUP($A105,'S47'!$C:$BQ,39,0)</f>
        <v>#N/A</v>
      </c>
      <c r="AE105" s="107" t="e">
        <f>VLOOKUP($A105,'S47'!$C:$BQ,40,0)</f>
        <v>#N/A</v>
      </c>
      <c r="AF105" s="107" t="e">
        <f>VLOOKUP($A105,'S47'!$C:$BQ,22,0)</f>
        <v>#N/A</v>
      </c>
      <c r="AG105" s="115" t="e">
        <f>VLOOKUP($A105,'S47'!$C:$BQ,29,0)</f>
        <v>#N/A</v>
      </c>
      <c r="AH105" s="115" t="e">
        <f>VLOOKUP($A105,'S47'!$C:$BQ,30,0)</f>
        <v>#N/A</v>
      </c>
      <c r="AI105" s="115" t="e">
        <f>VLOOKUP($A105,'S47'!$C:$BQ,52,0)</f>
        <v>#N/A</v>
      </c>
      <c r="AJ105" s="115" t="e">
        <f>VLOOKUP($A105,'S47'!$C:$BQ,59,0)</f>
        <v>#N/A</v>
      </c>
      <c r="AK105" s="115" t="e">
        <f>VLOOKUP($A105,'S47'!$C:$BQ,60,0)</f>
        <v>#N/A</v>
      </c>
      <c r="AL105" s="107" t="e">
        <f>VLOOKUP($A105,'S48'!$C:$BQ,32,0)</f>
        <v>#N/A</v>
      </c>
      <c r="AM105" s="107" t="e">
        <f>VLOOKUP($A105,'S48'!$C:$BQ,39,0)</f>
        <v>#N/A</v>
      </c>
      <c r="AN105" s="107" t="e">
        <f>VLOOKUP($A105,'S48'!$C:$BQ,40,0)</f>
        <v>#N/A</v>
      </c>
      <c r="AO105" s="107" t="e">
        <f>VLOOKUP($A105,'S48'!$C:$BQ,22,0)</f>
        <v>#N/A</v>
      </c>
      <c r="AP105" s="115" t="e">
        <f>VLOOKUP($A105,'S48'!$C:$BQ,29,0)</f>
        <v>#N/A</v>
      </c>
      <c r="AQ105" s="115" t="e">
        <f>VLOOKUP($A105,'S48'!$C:$BQ,30,0)</f>
        <v>#N/A</v>
      </c>
      <c r="AR105" s="115" t="e">
        <f>VLOOKUP($A105,'S48'!$C:$BQ,52,0)</f>
        <v>#N/A</v>
      </c>
      <c r="AS105" s="115" t="e">
        <f>VLOOKUP($A105,'S48'!$C:$BQ,59,0)</f>
        <v>#N/A</v>
      </c>
      <c r="AT105" s="115" t="e">
        <f>VLOOKUP($A105,'S48'!$C:$BQ,60,0)</f>
        <v>#N/A</v>
      </c>
      <c r="AU105" s="107" t="e">
        <f>VLOOKUP($A105,'S49'!$C:$BQ,32,0)</f>
        <v>#N/A</v>
      </c>
      <c r="AV105" s="107" t="e">
        <f>VLOOKUP($A105,'S49'!$C:$BQ,39,0)</f>
        <v>#N/A</v>
      </c>
      <c r="AW105" s="107" t="e">
        <f>VLOOKUP($A105,'S49'!$C:$BQ,40,0)</f>
        <v>#N/A</v>
      </c>
      <c r="AX105" s="107" t="e">
        <f>VLOOKUP($A105,'S49'!$C:$BQ,22,0)</f>
        <v>#N/A</v>
      </c>
      <c r="AY105" s="115" t="e">
        <f>VLOOKUP($A105,'S49'!$C:$BQ,29,0)</f>
        <v>#N/A</v>
      </c>
      <c r="AZ105" s="115" t="e">
        <f>VLOOKUP($A105,'S49'!$C:$BQ,30,0)</f>
        <v>#N/A</v>
      </c>
      <c r="BA105" s="115" t="e">
        <f>VLOOKUP($A105,'S49'!$C:$BQ,52,0)</f>
        <v>#N/A</v>
      </c>
      <c r="BB105" s="115" t="e">
        <f>VLOOKUP($A105,'S49'!$C:$BQ,59,0)</f>
        <v>#N/A</v>
      </c>
      <c r="BC105" s="115" t="e">
        <f>VLOOKUP($A105,'S49'!$C:$BQ,60,0)</f>
        <v>#N/A</v>
      </c>
      <c r="BD105" s="107" t="e">
        <f>VLOOKUP($A105,'S50'!$C:$BQ,32,0)</f>
        <v>#N/A</v>
      </c>
      <c r="BE105" s="107" t="e">
        <f>VLOOKUP($A105,'S50'!$C:$BQ,39,0)</f>
        <v>#N/A</v>
      </c>
      <c r="BF105" s="107" t="e">
        <f>VLOOKUP($A105,'S50'!$C:$BQ,40,0)</f>
        <v>#N/A</v>
      </c>
      <c r="BG105" s="107" t="e">
        <f>VLOOKUP($A105,'S50'!$C:$BQ,22,0)</f>
        <v>#N/A</v>
      </c>
      <c r="BH105" s="115" t="e">
        <f>VLOOKUP($A105,'S50'!$C:$BQ,29,0)</f>
        <v>#N/A</v>
      </c>
      <c r="BI105" s="115" t="e">
        <f>VLOOKUP($A105,'S50'!$C:$BQ,30,0)</f>
        <v>#N/A</v>
      </c>
      <c r="BJ105" s="115" t="e">
        <f>VLOOKUP($A105,'S50'!$C:$BQ,52,0)</f>
        <v>#N/A</v>
      </c>
      <c r="BK105" s="115" t="e">
        <f>VLOOKUP($A105,'S50'!$C:$BQ,59,0)</f>
        <v>#N/A</v>
      </c>
      <c r="BL105" s="115" t="e">
        <f>VLOOKUP($A105,'S50'!$C:$BQ,60,0)</f>
        <v>#N/A</v>
      </c>
    </row>
    <row r="106" spans="1:64" x14ac:dyDescent="0.2">
      <c r="A106" s="106" t="s">
        <v>168</v>
      </c>
      <c r="B106" s="107">
        <f>VLOOKUP($A106,'S0 remplacer avec S44'!$C:$BQ,32,0)</f>
        <v>268.5</v>
      </c>
      <c r="C106" s="107">
        <f>VLOOKUP($A106,'S0 remplacer avec S44'!$C:$BQ,39,0)</f>
        <v>99</v>
      </c>
      <c r="D106" s="107">
        <f>VLOOKUP($A106,'S0 remplacer avec S44'!$C:$BQ,40,0)</f>
        <v>172</v>
      </c>
      <c r="E106" s="107">
        <f>VLOOKUP($A106,'S0 remplacer avec S44'!$C:$BQ,22,0)</f>
        <v>2746.7004400000001</v>
      </c>
      <c r="F106" s="115">
        <f>VLOOKUP($A106,'S0 remplacer avec S44'!$C:$BQ,29,0)</f>
        <v>592</v>
      </c>
      <c r="G106" s="115">
        <f>VLOOKUP($A106,'S0 remplacer avec S44'!$C:$BQ,30,0)</f>
        <v>1259</v>
      </c>
      <c r="H106" s="115">
        <f>VLOOKUP($A106,'S0 remplacer avec S44'!$C:$BQ,52,0)</f>
        <v>164.4</v>
      </c>
      <c r="I106" s="115">
        <f>VLOOKUP($A106,'S0 remplacer avec S44'!$C:$BQ,59,0)</f>
        <v>23</v>
      </c>
      <c r="J106" s="115">
        <f>VLOOKUP($A106,'S0 remplacer avec S44'!$C:$BQ,60,0)</f>
        <v>60</v>
      </c>
      <c r="K106" s="107" t="e">
        <f>VLOOKUP($A106,'S45'!$C:$BQ,32,0)</f>
        <v>#N/A</v>
      </c>
      <c r="L106" s="107" t="e">
        <f>VLOOKUP($A106,'S45'!$C:$BQ,39,0)</f>
        <v>#N/A</v>
      </c>
      <c r="M106" s="107" t="e">
        <f>VLOOKUP($A106,'S45'!$C:$BQ,40,0)</f>
        <v>#N/A</v>
      </c>
      <c r="N106" s="107" t="e">
        <f>VLOOKUP($A106,'S45'!$C:$BQ,22,0)</f>
        <v>#N/A</v>
      </c>
      <c r="O106" s="115" t="e">
        <f>VLOOKUP($A106,'S45'!$C:$BQ,29,0)</f>
        <v>#N/A</v>
      </c>
      <c r="P106" s="115" t="e">
        <f>VLOOKUP($A106,'S45'!$C:$BQ,30,0)</f>
        <v>#N/A</v>
      </c>
      <c r="Q106" s="115" t="e">
        <f>VLOOKUP($A106,'S45'!$C:$BQ,52,0)</f>
        <v>#N/A</v>
      </c>
      <c r="R106" s="115" t="e">
        <f>VLOOKUP($A106,'S45'!$C:$BQ,59,0)</f>
        <v>#N/A</v>
      </c>
      <c r="S106" s="115" t="e">
        <f>VLOOKUP($A106,'S45'!$C:$BQ,60,0)</f>
        <v>#N/A</v>
      </c>
      <c r="T106" s="107" t="e">
        <f>VLOOKUP($A106,'S46'!$C:$BQ,32,0)</f>
        <v>#N/A</v>
      </c>
      <c r="U106" s="107" t="e">
        <f>VLOOKUP($A106,'S46'!$C:$BQ,39,0)</f>
        <v>#N/A</v>
      </c>
      <c r="V106" s="107" t="e">
        <f>VLOOKUP($A106,'S46'!$C:$BQ,40,0)</f>
        <v>#N/A</v>
      </c>
      <c r="W106" s="107" t="e">
        <f>VLOOKUP($A106,'S46'!$C:$BQ,22,0)</f>
        <v>#N/A</v>
      </c>
      <c r="X106" s="115" t="e">
        <f>VLOOKUP($A106,'S46'!$C:$BQ,29,0)</f>
        <v>#N/A</v>
      </c>
      <c r="Y106" s="115" t="e">
        <f>VLOOKUP($A106,'S46'!$C:$BQ,30,0)</f>
        <v>#N/A</v>
      </c>
      <c r="Z106" s="115" t="e">
        <f>VLOOKUP($A106,'S46'!$C:$BQ,52,0)</f>
        <v>#N/A</v>
      </c>
      <c r="AA106" s="115" t="e">
        <f>VLOOKUP($A106,'S46'!$C:$BQ,59,0)</f>
        <v>#N/A</v>
      </c>
      <c r="AB106" s="115" t="e">
        <f>VLOOKUP($A106,'S46'!$C:$BQ,60,0)</f>
        <v>#N/A</v>
      </c>
      <c r="AC106" s="107" t="e">
        <f>VLOOKUP($A106,'S47'!$C:$BQ,32,0)</f>
        <v>#N/A</v>
      </c>
      <c r="AD106" s="107" t="e">
        <f>VLOOKUP($A106,'S47'!$C:$BQ,39,0)</f>
        <v>#N/A</v>
      </c>
      <c r="AE106" s="107" t="e">
        <f>VLOOKUP($A106,'S47'!$C:$BQ,40,0)</f>
        <v>#N/A</v>
      </c>
      <c r="AF106" s="107" t="e">
        <f>VLOOKUP($A106,'S47'!$C:$BQ,22,0)</f>
        <v>#N/A</v>
      </c>
      <c r="AG106" s="115" t="e">
        <f>VLOOKUP($A106,'S47'!$C:$BQ,29,0)</f>
        <v>#N/A</v>
      </c>
      <c r="AH106" s="115" t="e">
        <f>VLOOKUP($A106,'S47'!$C:$BQ,30,0)</f>
        <v>#N/A</v>
      </c>
      <c r="AI106" s="115" t="e">
        <f>VLOOKUP($A106,'S47'!$C:$BQ,52,0)</f>
        <v>#N/A</v>
      </c>
      <c r="AJ106" s="115" t="e">
        <f>VLOOKUP($A106,'S47'!$C:$BQ,59,0)</f>
        <v>#N/A</v>
      </c>
      <c r="AK106" s="115" t="e">
        <f>VLOOKUP($A106,'S47'!$C:$BQ,60,0)</f>
        <v>#N/A</v>
      </c>
      <c r="AL106" s="107" t="e">
        <f>VLOOKUP($A106,'S48'!$C:$BQ,32,0)</f>
        <v>#N/A</v>
      </c>
      <c r="AM106" s="107" t="e">
        <f>VLOOKUP($A106,'S48'!$C:$BQ,39,0)</f>
        <v>#N/A</v>
      </c>
      <c r="AN106" s="107" t="e">
        <f>VLOOKUP($A106,'S48'!$C:$BQ,40,0)</f>
        <v>#N/A</v>
      </c>
      <c r="AO106" s="107" t="e">
        <f>VLOOKUP($A106,'S48'!$C:$BQ,22,0)</f>
        <v>#N/A</v>
      </c>
      <c r="AP106" s="115" t="e">
        <f>VLOOKUP($A106,'S48'!$C:$BQ,29,0)</f>
        <v>#N/A</v>
      </c>
      <c r="AQ106" s="115" t="e">
        <f>VLOOKUP($A106,'S48'!$C:$BQ,30,0)</f>
        <v>#N/A</v>
      </c>
      <c r="AR106" s="115" t="e">
        <f>VLOOKUP($A106,'S48'!$C:$BQ,52,0)</f>
        <v>#N/A</v>
      </c>
      <c r="AS106" s="115" t="e">
        <f>VLOOKUP($A106,'S48'!$C:$BQ,59,0)</f>
        <v>#N/A</v>
      </c>
      <c r="AT106" s="115" t="e">
        <f>VLOOKUP($A106,'S48'!$C:$BQ,60,0)</f>
        <v>#N/A</v>
      </c>
      <c r="AU106" s="107" t="e">
        <f>VLOOKUP($A106,'S49'!$C:$BQ,32,0)</f>
        <v>#N/A</v>
      </c>
      <c r="AV106" s="107" t="e">
        <f>VLOOKUP($A106,'S49'!$C:$BQ,39,0)</f>
        <v>#N/A</v>
      </c>
      <c r="AW106" s="107" t="e">
        <f>VLOOKUP($A106,'S49'!$C:$BQ,40,0)</f>
        <v>#N/A</v>
      </c>
      <c r="AX106" s="107" t="e">
        <f>VLOOKUP($A106,'S49'!$C:$BQ,22,0)</f>
        <v>#N/A</v>
      </c>
      <c r="AY106" s="115" t="e">
        <f>VLOOKUP($A106,'S49'!$C:$BQ,29,0)</f>
        <v>#N/A</v>
      </c>
      <c r="AZ106" s="115" t="e">
        <f>VLOOKUP($A106,'S49'!$C:$BQ,30,0)</f>
        <v>#N/A</v>
      </c>
      <c r="BA106" s="115" t="e">
        <f>VLOOKUP($A106,'S49'!$C:$BQ,52,0)</f>
        <v>#N/A</v>
      </c>
      <c r="BB106" s="115" t="e">
        <f>VLOOKUP($A106,'S49'!$C:$BQ,59,0)</f>
        <v>#N/A</v>
      </c>
      <c r="BC106" s="115" t="e">
        <f>VLOOKUP($A106,'S49'!$C:$BQ,60,0)</f>
        <v>#N/A</v>
      </c>
      <c r="BD106" s="107" t="e">
        <f>VLOOKUP($A106,'S50'!$C:$BQ,32,0)</f>
        <v>#N/A</v>
      </c>
      <c r="BE106" s="107" t="e">
        <f>VLOOKUP($A106,'S50'!$C:$BQ,39,0)</f>
        <v>#N/A</v>
      </c>
      <c r="BF106" s="107" t="e">
        <f>VLOOKUP($A106,'S50'!$C:$BQ,40,0)</f>
        <v>#N/A</v>
      </c>
      <c r="BG106" s="107" t="e">
        <f>VLOOKUP($A106,'S50'!$C:$BQ,22,0)</f>
        <v>#N/A</v>
      </c>
      <c r="BH106" s="115" t="e">
        <f>VLOOKUP($A106,'S50'!$C:$BQ,29,0)</f>
        <v>#N/A</v>
      </c>
      <c r="BI106" s="115" t="e">
        <f>VLOOKUP($A106,'S50'!$C:$BQ,30,0)</f>
        <v>#N/A</v>
      </c>
      <c r="BJ106" s="115" t="e">
        <f>VLOOKUP($A106,'S50'!$C:$BQ,52,0)</f>
        <v>#N/A</v>
      </c>
      <c r="BK106" s="115" t="e">
        <f>VLOOKUP($A106,'S50'!$C:$BQ,59,0)</f>
        <v>#N/A</v>
      </c>
      <c r="BL106" s="115" t="e">
        <f>VLOOKUP($A106,'S50'!$C:$BQ,60,0)</f>
        <v>#N/A</v>
      </c>
    </row>
    <row r="107" spans="1:64" x14ac:dyDescent="0.2">
      <c r="A107" s="106" t="s">
        <v>169</v>
      </c>
      <c r="B107" s="107">
        <f>VLOOKUP($A107,'S0 remplacer avec S44'!$C:$BQ,32,0)</f>
        <v>123.35</v>
      </c>
      <c r="C107" s="107">
        <f>VLOOKUP($A107,'S0 remplacer avec S44'!$C:$BQ,39,0)</f>
        <v>66</v>
      </c>
      <c r="D107" s="107">
        <f>VLOOKUP($A107,'S0 remplacer avec S44'!$C:$BQ,40,0)</f>
        <v>104</v>
      </c>
      <c r="E107" s="107">
        <f>VLOOKUP($A107,'S0 remplacer avec S44'!$C:$BQ,22,0)</f>
        <v>1842.1607200000001</v>
      </c>
      <c r="F107" s="115">
        <f>VLOOKUP($A107,'S0 remplacer avec S44'!$C:$BQ,29,0)</f>
        <v>0</v>
      </c>
      <c r="G107" s="115">
        <f>VLOOKUP($A107,'S0 remplacer avec S44'!$C:$BQ,30,0)</f>
        <v>220</v>
      </c>
      <c r="H107" s="115">
        <f>VLOOKUP($A107,'S0 remplacer avec S44'!$C:$BQ,52,0)</f>
        <v>100.2</v>
      </c>
      <c r="I107" s="115">
        <f>VLOOKUP($A107,'S0 remplacer avec S44'!$C:$BQ,59,0)</f>
        <v>0</v>
      </c>
      <c r="J107" s="115">
        <f>VLOOKUP($A107,'S0 remplacer avec S44'!$C:$BQ,60,0)</f>
        <v>15</v>
      </c>
      <c r="K107" s="107" t="e">
        <f>VLOOKUP($A107,'S45'!$C:$BQ,32,0)</f>
        <v>#N/A</v>
      </c>
      <c r="L107" s="107" t="e">
        <f>VLOOKUP($A107,'S45'!$C:$BQ,39,0)</f>
        <v>#N/A</v>
      </c>
      <c r="M107" s="107" t="e">
        <f>VLOOKUP($A107,'S45'!$C:$BQ,40,0)</f>
        <v>#N/A</v>
      </c>
      <c r="N107" s="107" t="e">
        <f>VLOOKUP($A107,'S45'!$C:$BQ,22,0)</f>
        <v>#N/A</v>
      </c>
      <c r="O107" s="115" t="e">
        <f>VLOOKUP($A107,'S45'!$C:$BQ,29,0)</f>
        <v>#N/A</v>
      </c>
      <c r="P107" s="115" t="e">
        <f>VLOOKUP($A107,'S45'!$C:$BQ,30,0)</f>
        <v>#N/A</v>
      </c>
      <c r="Q107" s="115" t="e">
        <f>VLOOKUP($A107,'S45'!$C:$BQ,52,0)</f>
        <v>#N/A</v>
      </c>
      <c r="R107" s="115" t="e">
        <f>VLOOKUP($A107,'S45'!$C:$BQ,59,0)</f>
        <v>#N/A</v>
      </c>
      <c r="S107" s="115" t="e">
        <f>VLOOKUP($A107,'S45'!$C:$BQ,60,0)</f>
        <v>#N/A</v>
      </c>
      <c r="T107" s="107" t="e">
        <f>VLOOKUP($A107,'S46'!$C:$BQ,32,0)</f>
        <v>#N/A</v>
      </c>
      <c r="U107" s="107" t="e">
        <f>VLOOKUP($A107,'S46'!$C:$BQ,39,0)</f>
        <v>#N/A</v>
      </c>
      <c r="V107" s="107" t="e">
        <f>VLOOKUP($A107,'S46'!$C:$BQ,40,0)</f>
        <v>#N/A</v>
      </c>
      <c r="W107" s="107" t="e">
        <f>VLOOKUP($A107,'S46'!$C:$BQ,22,0)</f>
        <v>#N/A</v>
      </c>
      <c r="X107" s="115" t="e">
        <f>VLOOKUP($A107,'S46'!$C:$BQ,29,0)</f>
        <v>#N/A</v>
      </c>
      <c r="Y107" s="115" t="e">
        <f>VLOOKUP($A107,'S46'!$C:$BQ,30,0)</f>
        <v>#N/A</v>
      </c>
      <c r="Z107" s="115" t="e">
        <f>VLOOKUP($A107,'S46'!$C:$BQ,52,0)</f>
        <v>#N/A</v>
      </c>
      <c r="AA107" s="115" t="e">
        <f>VLOOKUP($A107,'S46'!$C:$BQ,59,0)</f>
        <v>#N/A</v>
      </c>
      <c r="AB107" s="115" t="e">
        <f>VLOOKUP($A107,'S46'!$C:$BQ,60,0)</f>
        <v>#N/A</v>
      </c>
      <c r="AC107" s="107" t="e">
        <f>VLOOKUP($A107,'S47'!$C:$BQ,32,0)</f>
        <v>#N/A</v>
      </c>
      <c r="AD107" s="107" t="e">
        <f>VLOOKUP($A107,'S47'!$C:$BQ,39,0)</f>
        <v>#N/A</v>
      </c>
      <c r="AE107" s="107" t="e">
        <f>VLOOKUP($A107,'S47'!$C:$BQ,40,0)</f>
        <v>#N/A</v>
      </c>
      <c r="AF107" s="107" t="e">
        <f>VLOOKUP($A107,'S47'!$C:$BQ,22,0)</f>
        <v>#N/A</v>
      </c>
      <c r="AG107" s="115" t="e">
        <f>VLOOKUP($A107,'S47'!$C:$BQ,29,0)</f>
        <v>#N/A</v>
      </c>
      <c r="AH107" s="115" t="e">
        <f>VLOOKUP($A107,'S47'!$C:$BQ,30,0)</f>
        <v>#N/A</v>
      </c>
      <c r="AI107" s="115" t="e">
        <f>VLOOKUP($A107,'S47'!$C:$BQ,52,0)</f>
        <v>#N/A</v>
      </c>
      <c r="AJ107" s="115" t="e">
        <f>VLOOKUP($A107,'S47'!$C:$BQ,59,0)</f>
        <v>#N/A</v>
      </c>
      <c r="AK107" s="115" t="e">
        <f>VLOOKUP($A107,'S47'!$C:$BQ,60,0)</f>
        <v>#N/A</v>
      </c>
      <c r="AL107" s="107" t="e">
        <f>VLOOKUP($A107,'S48'!$C:$BQ,32,0)</f>
        <v>#N/A</v>
      </c>
      <c r="AM107" s="107" t="e">
        <f>VLOOKUP($A107,'S48'!$C:$BQ,39,0)</f>
        <v>#N/A</v>
      </c>
      <c r="AN107" s="107" t="e">
        <f>VLOOKUP($A107,'S48'!$C:$BQ,40,0)</f>
        <v>#N/A</v>
      </c>
      <c r="AO107" s="107" t="e">
        <f>VLOOKUP($A107,'S48'!$C:$BQ,22,0)</f>
        <v>#N/A</v>
      </c>
      <c r="AP107" s="115" t="e">
        <f>VLOOKUP($A107,'S48'!$C:$BQ,29,0)</f>
        <v>#N/A</v>
      </c>
      <c r="AQ107" s="115" t="e">
        <f>VLOOKUP($A107,'S48'!$C:$BQ,30,0)</f>
        <v>#N/A</v>
      </c>
      <c r="AR107" s="115" t="e">
        <f>VLOOKUP($A107,'S48'!$C:$BQ,52,0)</f>
        <v>#N/A</v>
      </c>
      <c r="AS107" s="115" t="e">
        <f>VLOOKUP($A107,'S48'!$C:$BQ,59,0)</f>
        <v>#N/A</v>
      </c>
      <c r="AT107" s="115" t="e">
        <f>VLOOKUP($A107,'S48'!$C:$BQ,60,0)</f>
        <v>#N/A</v>
      </c>
      <c r="AU107" s="107" t="e">
        <f>VLOOKUP($A107,'S49'!$C:$BQ,32,0)</f>
        <v>#N/A</v>
      </c>
      <c r="AV107" s="107" t="e">
        <f>VLOOKUP($A107,'S49'!$C:$BQ,39,0)</f>
        <v>#N/A</v>
      </c>
      <c r="AW107" s="107" t="e">
        <f>VLOOKUP($A107,'S49'!$C:$BQ,40,0)</f>
        <v>#N/A</v>
      </c>
      <c r="AX107" s="107" t="e">
        <f>VLOOKUP($A107,'S49'!$C:$BQ,22,0)</f>
        <v>#N/A</v>
      </c>
      <c r="AY107" s="115" t="e">
        <f>VLOOKUP($A107,'S49'!$C:$BQ,29,0)</f>
        <v>#N/A</v>
      </c>
      <c r="AZ107" s="115" t="e">
        <f>VLOOKUP($A107,'S49'!$C:$BQ,30,0)</f>
        <v>#N/A</v>
      </c>
      <c r="BA107" s="115" t="e">
        <f>VLOOKUP($A107,'S49'!$C:$BQ,52,0)</f>
        <v>#N/A</v>
      </c>
      <c r="BB107" s="115" t="e">
        <f>VLOOKUP($A107,'S49'!$C:$BQ,59,0)</f>
        <v>#N/A</v>
      </c>
      <c r="BC107" s="115" t="e">
        <f>VLOOKUP($A107,'S49'!$C:$BQ,60,0)</f>
        <v>#N/A</v>
      </c>
      <c r="BD107" s="107" t="e">
        <f>VLOOKUP($A107,'S50'!$C:$BQ,32,0)</f>
        <v>#N/A</v>
      </c>
      <c r="BE107" s="107" t="e">
        <f>VLOOKUP($A107,'S50'!$C:$BQ,39,0)</f>
        <v>#N/A</v>
      </c>
      <c r="BF107" s="107" t="e">
        <f>VLOOKUP($A107,'S50'!$C:$BQ,40,0)</f>
        <v>#N/A</v>
      </c>
      <c r="BG107" s="107" t="e">
        <f>VLOOKUP($A107,'S50'!$C:$BQ,22,0)</f>
        <v>#N/A</v>
      </c>
      <c r="BH107" s="115" t="e">
        <f>VLOOKUP($A107,'S50'!$C:$BQ,29,0)</f>
        <v>#N/A</v>
      </c>
      <c r="BI107" s="115" t="e">
        <f>VLOOKUP($A107,'S50'!$C:$BQ,30,0)</f>
        <v>#N/A</v>
      </c>
      <c r="BJ107" s="115" t="e">
        <f>VLOOKUP($A107,'S50'!$C:$BQ,52,0)</f>
        <v>#N/A</v>
      </c>
      <c r="BK107" s="115" t="e">
        <f>VLOOKUP($A107,'S50'!$C:$BQ,59,0)</f>
        <v>#N/A</v>
      </c>
      <c r="BL107" s="115" t="e">
        <f>VLOOKUP($A107,'S50'!$C:$BQ,60,0)</f>
        <v>#N/A</v>
      </c>
    </row>
    <row r="108" spans="1:64" x14ac:dyDescent="0.2">
      <c r="A108" s="106" t="s">
        <v>170</v>
      </c>
      <c r="B108" s="107">
        <f>VLOOKUP($A108,'S0 remplacer avec S44'!$C:$BQ,32,0)</f>
        <v>162</v>
      </c>
      <c r="C108" s="107">
        <f>VLOOKUP($A108,'S0 remplacer avec S44'!$C:$BQ,39,0)</f>
        <v>60</v>
      </c>
      <c r="D108" s="107">
        <f>VLOOKUP($A108,'S0 remplacer avec S44'!$C:$BQ,40,0)</f>
        <v>104</v>
      </c>
      <c r="E108" s="107">
        <f>VLOOKUP($A108,'S0 remplacer avec S44'!$C:$BQ,22,0)</f>
        <v>1642.1595199999999</v>
      </c>
      <c r="F108" s="115">
        <f>VLOOKUP($A108,'S0 remplacer avec S44'!$C:$BQ,29,0)</f>
        <v>374</v>
      </c>
      <c r="G108" s="115">
        <f>VLOOKUP($A108,'S0 remplacer avec S44'!$C:$BQ,30,0)</f>
        <v>777</v>
      </c>
      <c r="H108" s="115">
        <f>VLOOKUP($A108,'S0 remplacer avec S44'!$C:$BQ,52,0)</f>
        <v>120</v>
      </c>
      <c r="I108" s="115">
        <f>VLOOKUP($A108,'S0 remplacer avec S44'!$C:$BQ,59,0)</f>
        <v>0</v>
      </c>
      <c r="J108" s="115">
        <f>VLOOKUP($A108,'S0 remplacer avec S44'!$C:$BQ,60,0)</f>
        <v>16</v>
      </c>
      <c r="K108" s="107" t="e">
        <f>VLOOKUP($A108,'S45'!$C:$BQ,32,0)</f>
        <v>#N/A</v>
      </c>
      <c r="L108" s="107" t="e">
        <f>VLOOKUP($A108,'S45'!$C:$BQ,39,0)</f>
        <v>#N/A</v>
      </c>
      <c r="M108" s="107" t="e">
        <f>VLOOKUP($A108,'S45'!$C:$BQ,40,0)</f>
        <v>#N/A</v>
      </c>
      <c r="N108" s="107" t="e">
        <f>VLOOKUP($A108,'S45'!$C:$BQ,22,0)</f>
        <v>#N/A</v>
      </c>
      <c r="O108" s="115" t="e">
        <f>VLOOKUP($A108,'S45'!$C:$BQ,29,0)</f>
        <v>#N/A</v>
      </c>
      <c r="P108" s="115" t="e">
        <f>VLOOKUP($A108,'S45'!$C:$BQ,30,0)</f>
        <v>#N/A</v>
      </c>
      <c r="Q108" s="115" t="e">
        <f>VLOOKUP($A108,'S45'!$C:$BQ,52,0)</f>
        <v>#N/A</v>
      </c>
      <c r="R108" s="115" t="e">
        <f>VLOOKUP($A108,'S45'!$C:$BQ,59,0)</f>
        <v>#N/A</v>
      </c>
      <c r="S108" s="115" t="e">
        <f>VLOOKUP($A108,'S45'!$C:$BQ,60,0)</f>
        <v>#N/A</v>
      </c>
      <c r="T108" s="107" t="e">
        <f>VLOOKUP($A108,'S46'!$C:$BQ,32,0)</f>
        <v>#N/A</v>
      </c>
      <c r="U108" s="107" t="e">
        <f>VLOOKUP($A108,'S46'!$C:$BQ,39,0)</f>
        <v>#N/A</v>
      </c>
      <c r="V108" s="107" t="e">
        <f>VLOOKUP($A108,'S46'!$C:$BQ,40,0)</f>
        <v>#N/A</v>
      </c>
      <c r="W108" s="107" t="e">
        <f>VLOOKUP($A108,'S46'!$C:$BQ,22,0)</f>
        <v>#N/A</v>
      </c>
      <c r="X108" s="115" t="e">
        <f>VLOOKUP($A108,'S46'!$C:$BQ,29,0)</f>
        <v>#N/A</v>
      </c>
      <c r="Y108" s="115" t="e">
        <f>VLOOKUP($A108,'S46'!$C:$BQ,30,0)</f>
        <v>#N/A</v>
      </c>
      <c r="Z108" s="115" t="e">
        <f>VLOOKUP($A108,'S46'!$C:$BQ,52,0)</f>
        <v>#N/A</v>
      </c>
      <c r="AA108" s="115" t="e">
        <f>VLOOKUP($A108,'S46'!$C:$BQ,59,0)</f>
        <v>#N/A</v>
      </c>
      <c r="AB108" s="115" t="e">
        <f>VLOOKUP($A108,'S46'!$C:$BQ,60,0)</f>
        <v>#N/A</v>
      </c>
      <c r="AC108" s="107" t="e">
        <f>VLOOKUP($A108,'S47'!$C:$BQ,32,0)</f>
        <v>#N/A</v>
      </c>
      <c r="AD108" s="107" t="e">
        <f>VLOOKUP($A108,'S47'!$C:$BQ,39,0)</f>
        <v>#N/A</v>
      </c>
      <c r="AE108" s="107" t="e">
        <f>VLOOKUP($A108,'S47'!$C:$BQ,40,0)</f>
        <v>#N/A</v>
      </c>
      <c r="AF108" s="107" t="e">
        <f>VLOOKUP($A108,'S47'!$C:$BQ,22,0)</f>
        <v>#N/A</v>
      </c>
      <c r="AG108" s="115" t="e">
        <f>VLOOKUP($A108,'S47'!$C:$BQ,29,0)</f>
        <v>#N/A</v>
      </c>
      <c r="AH108" s="115" t="e">
        <f>VLOOKUP($A108,'S47'!$C:$BQ,30,0)</f>
        <v>#N/A</v>
      </c>
      <c r="AI108" s="115" t="e">
        <f>VLOOKUP($A108,'S47'!$C:$BQ,52,0)</f>
        <v>#N/A</v>
      </c>
      <c r="AJ108" s="115" t="e">
        <f>VLOOKUP($A108,'S47'!$C:$BQ,59,0)</f>
        <v>#N/A</v>
      </c>
      <c r="AK108" s="115" t="e">
        <f>VLOOKUP($A108,'S47'!$C:$BQ,60,0)</f>
        <v>#N/A</v>
      </c>
      <c r="AL108" s="107" t="e">
        <f>VLOOKUP($A108,'S48'!$C:$BQ,32,0)</f>
        <v>#N/A</v>
      </c>
      <c r="AM108" s="107" t="e">
        <f>VLOOKUP($A108,'S48'!$C:$BQ,39,0)</f>
        <v>#N/A</v>
      </c>
      <c r="AN108" s="107" t="e">
        <f>VLOOKUP($A108,'S48'!$C:$BQ,40,0)</f>
        <v>#N/A</v>
      </c>
      <c r="AO108" s="107" t="e">
        <f>VLOOKUP($A108,'S48'!$C:$BQ,22,0)</f>
        <v>#N/A</v>
      </c>
      <c r="AP108" s="115" t="e">
        <f>VLOOKUP($A108,'S48'!$C:$BQ,29,0)</f>
        <v>#N/A</v>
      </c>
      <c r="AQ108" s="115" t="e">
        <f>VLOOKUP($A108,'S48'!$C:$BQ,30,0)</f>
        <v>#N/A</v>
      </c>
      <c r="AR108" s="115" t="e">
        <f>VLOOKUP($A108,'S48'!$C:$BQ,52,0)</f>
        <v>#N/A</v>
      </c>
      <c r="AS108" s="115" t="e">
        <f>VLOOKUP($A108,'S48'!$C:$BQ,59,0)</f>
        <v>#N/A</v>
      </c>
      <c r="AT108" s="115" t="e">
        <f>VLOOKUP($A108,'S48'!$C:$BQ,60,0)</f>
        <v>#N/A</v>
      </c>
      <c r="AU108" s="107" t="e">
        <f>VLOOKUP($A108,'S49'!$C:$BQ,32,0)</f>
        <v>#N/A</v>
      </c>
      <c r="AV108" s="107" t="e">
        <f>VLOOKUP($A108,'S49'!$C:$BQ,39,0)</f>
        <v>#N/A</v>
      </c>
      <c r="AW108" s="107" t="e">
        <f>VLOOKUP($A108,'S49'!$C:$BQ,40,0)</f>
        <v>#N/A</v>
      </c>
      <c r="AX108" s="107" t="e">
        <f>VLOOKUP($A108,'S49'!$C:$BQ,22,0)</f>
        <v>#N/A</v>
      </c>
      <c r="AY108" s="115" t="e">
        <f>VLOOKUP($A108,'S49'!$C:$BQ,29,0)</f>
        <v>#N/A</v>
      </c>
      <c r="AZ108" s="115" t="e">
        <f>VLOOKUP($A108,'S49'!$C:$BQ,30,0)</f>
        <v>#N/A</v>
      </c>
      <c r="BA108" s="115" t="e">
        <f>VLOOKUP($A108,'S49'!$C:$BQ,52,0)</f>
        <v>#N/A</v>
      </c>
      <c r="BB108" s="115" t="e">
        <f>VLOOKUP($A108,'S49'!$C:$BQ,59,0)</f>
        <v>#N/A</v>
      </c>
      <c r="BC108" s="115" t="e">
        <f>VLOOKUP($A108,'S49'!$C:$BQ,60,0)</f>
        <v>#N/A</v>
      </c>
      <c r="BD108" s="107" t="e">
        <f>VLOOKUP($A108,'S50'!$C:$BQ,32,0)</f>
        <v>#N/A</v>
      </c>
      <c r="BE108" s="107" t="e">
        <f>VLOOKUP($A108,'S50'!$C:$BQ,39,0)</f>
        <v>#N/A</v>
      </c>
      <c r="BF108" s="107" t="e">
        <f>VLOOKUP($A108,'S50'!$C:$BQ,40,0)</f>
        <v>#N/A</v>
      </c>
      <c r="BG108" s="107" t="e">
        <f>VLOOKUP($A108,'S50'!$C:$BQ,22,0)</f>
        <v>#N/A</v>
      </c>
      <c r="BH108" s="115" t="e">
        <f>VLOOKUP($A108,'S50'!$C:$BQ,29,0)</f>
        <v>#N/A</v>
      </c>
      <c r="BI108" s="115" t="e">
        <f>VLOOKUP($A108,'S50'!$C:$BQ,30,0)</f>
        <v>#N/A</v>
      </c>
      <c r="BJ108" s="115" t="e">
        <f>VLOOKUP($A108,'S50'!$C:$BQ,52,0)</f>
        <v>#N/A</v>
      </c>
      <c r="BK108" s="115" t="e">
        <f>VLOOKUP($A108,'S50'!$C:$BQ,59,0)</f>
        <v>#N/A</v>
      </c>
      <c r="BL108" s="115" t="e">
        <f>VLOOKUP($A108,'S50'!$C:$BQ,60,0)</f>
        <v>#N/A</v>
      </c>
    </row>
    <row r="109" spans="1:64" x14ac:dyDescent="0.2">
      <c r="A109" s="106" t="s">
        <v>171</v>
      </c>
      <c r="B109" s="107">
        <f>VLOOKUP($A109,'S0 remplacer avec S44'!$C:$BQ,32,0)</f>
        <v>84.5</v>
      </c>
      <c r="C109" s="107">
        <f>VLOOKUP($A109,'S0 remplacer avec S44'!$C:$BQ,39,0)</f>
        <v>126</v>
      </c>
      <c r="D109" s="107">
        <f>VLOOKUP($A109,'S0 remplacer avec S44'!$C:$BQ,40,0)</f>
        <v>168</v>
      </c>
      <c r="E109" s="107">
        <f>VLOOKUP($A109,'S0 remplacer avec S44'!$C:$BQ,22,0)</f>
        <v>1629.476015</v>
      </c>
      <c r="F109" s="115">
        <f>VLOOKUP($A109,'S0 remplacer avec S44'!$C:$BQ,29,0)</f>
        <v>279</v>
      </c>
      <c r="G109" s="115">
        <f>VLOOKUP($A109,'S0 remplacer avec S44'!$C:$BQ,30,0)</f>
        <v>661</v>
      </c>
      <c r="H109" s="115">
        <f>VLOOKUP($A109,'S0 remplacer avec S44'!$C:$BQ,52,0)</f>
        <v>98.8</v>
      </c>
      <c r="I109" s="115">
        <f>VLOOKUP($A109,'S0 remplacer avec S44'!$C:$BQ,59,0)</f>
        <v>8</v>
      </c>
      <c r="J109" s="115">
        <f>VLOOKUP($A109,'S0 remplacer avec S44'!$C:$BQ,60,0)</f>
        <v>30</v>
      </c>
      <c r="K109" s="107" t="e">
        <f>VLOOKUP($A109,'S45'!$C:$BQ,32,0)</f>
        <v>#N/A</v>
      </c>
      <c r="L109" s="107" t="e">
        <f>VLOOKUP($A109,'S45'!$C:$BQ,39,0)</f>
        <v>#N/A</v>
      </c>
      <c r="M109" s="107" t="e">
        <f>VLOOKUP($A109,'S45'!$C:$BQ,40,0)</f>
        <v>#N/A</v>
      </c>
      <c r="N109" s="107" t="e">
        <f>VLOOKUP($A109,'S45'!$C:$BQ,22,0)</f>
        <v>#N/A</v>
      </c>
      <c r="O109" s="115" t="e">
        <f>VLOOKUP($A109,'S45'!$C:$BQ,29,0)</f>
        <v>#N/A</v>
      </c>
      <c r="P109" s="115" t="e">
        <f>VLOOKUP($A109,'S45'!$C:$BQ,30,0)</f>
        <v>#N/A</v>
      </c>
      <c r="Q109" s="115" t="e">
        <f>VLOOKUP($A109,'S45'!$C:$BQ,52,0)</f>
        <v>#N/A</v>
      </c>
      <c r="R109" s="115" t="e">
        <f>VLOOKUP($A109,'S45'!$C:$BQ,59,0)</f>
        <v>#N/A</v>
      </c>
      <c r="S109" s="115" t="e">
        <f>VLOOKUP($A109,'S45'!$C:$BQ,60,0)</f>
        <v>#N/A</v>
      </c>
      <c r="T109" s="107" t="e">
        <f>VLOOKUP($A109,'S46'!$C:$BQ,32,0)</f>
        <v>#N/A</v>
      </c>
      <c r="U109" s="107" t="e">
        <f>VLOOKUP($A109,'S46'!$C:$BQ,39,0)</f>
        <v>#N/A</v>
      </c>
      <c r="V109" s="107" t="e">
        <f>VLOOKUP($A109,'S46'!$C:$BQ,40,0)</f>
        <v>#N/A</v>
      </c>
      <c r="W109" s="107" t="e">
        <f>VLOOKUP($A109,'S46'!$C:$BQ,22,0)</f>
        <v>#N/A</v>
      </c>
      <c r="X109" s="115" t="e">
        <f>VLOOKUP($A109,'S46'!$C:$BQ,29,0)</f>
        <v>#N/A</v>
      </c>
      <c r="Y109" s="115" t="e">
        <f>VLOOKUP($A109,'S46'!$C:$BQ,30,0)</f>
        <v>#N/A</v>
      </c>
      <c r="Z109" s="115" t="e">
        <f>VLOOKUP($A109,'S46'!$C:$BQ,52,0)</f>
        <v>#N/A</v>
      </c>
      <c r="AA109" s="115" t="e">
        <f>VLOOKUP($A109,'S46'!$C:$BQ,59,0)</f>
        <v>#N/A</v>
      </c>
      <c r="AB109" s="115" t="e">
        <f>VLOOKUP($A109,'S46'!$C:$BQ,60,0)</f>
        <v>#N/A</v>
      </c>
      <c r="AC109" s="107" t="e">
        <f>VLOOKUP($A109,'S47'!$C:$BQ,32,0)</f>
        <v>#N/A</v>
      </c>
      <c r="AD109" s="107" t="e">
        <f>VLOOKUP($A109,'S47'!$C:$BQ,39,0)</f>
        <v>#N/A</v>
      </c>
      <c r="AE109" s="107" t="e">
        <f>VLOOKUP($A109,'S47'!$C:$BQ,40,0)</f>
        <v>#N/A</v>
      </c>
      <c r="AF109" s="107" t="e">
        <f>VLOOKUP($A109,'S47'!$C:$BQ,22,0)</f>
        <v>#N/A</v>
      </c>
      <c r="AG109" s="115" t="e">
        <f>VLOOKUP($A109,'S47'!$C:$BQ,29,0)</f>
        <v>#N/A</v>
      </c>
      <c r="AH109" s="115" t="e">
        <f>VLOOKUP($A109,'S47'!$C:$BQ,30,0)</f>
        <v>#N/A</v>
      </c>
      <c r="AI109" s="115" t="e">
        <f>VLOOKUP($A109,'S47'!$C:$BQ,52,0)</f>
        <v>#N/A</v>
      </c>
      <c r="AJ109" s="115" t="e">
        <f>VLOOKUP($A109,'S47'!$C:$BQ,59,0)</f>
        <v>#N/A</v>
      </c>
      <c r="AK109" s="115" t="e">
        <f>VLOOKUP($A109,'S47'!$C:$BQ,60,0)</f>
        <v>#N/A</v>
      </c>
      <c r="AL109" s="107" t="e">
        <f>VLOOKUP($A109,'S48'!$C:$BQ,32,0)</f>
        <v>#N/A</v>
      </c>
      <c r="AM109" s="107" t="e">
        <f>VLOOKUP($A109,'S48'!$C:$BQ,39,0)</f>
        <v>#N/A</v>
      </c>
      <c r="AN109" s="107" t="e">
        <f>VLOOKUP($A109,'S48'!$C:$BQ,40,0)</f>
        <v>#N/A</v>
      </c>
      <c r="AO109" s="107" t="e">
        <f>VLOOKUP($A109,'S48'!$C:$BQ,22,0)</f>
        <v>#N/A</v>
      </c>
      <c r="AP109" s="115" t="e">
        <f>VLOOKUP($A109,'S48'!$C:$BQ,29,0)</f>
        <v>#N/A</v>
      </c>
      <c r="AQ109" s="115" t="e">
        <f>VLOOKUP($A109,'S48'!$C:$BQ,30,0)</f>
        <v>#N/A</v>
      </c>
      <c r="AR109" s="115" t="e">
        <f>VLOOKUP($A109,'S48'!$C:$BQ,52,0)</f>
        <v>#N/A</v>
      </c>
      <c r="AS109" s="115" t="e">
        <f>VLOOKUP($A109,'S48'!$C:$BQ,59,0)</f>
        <v>#N/A</v>
      </c>
      <c r="AT109" s="115" t="e">
        <f>VLOOKUP($A109,'S48'!$C:$BQ,60,0)</f>
        <v>#N/A</v>
      </c>
      <c r="AU109" s="107" t="e">
        <f>VLOOKUP($A109,'S49'!$C:$BQ,32,0)</f>
        <v>#N/A</v>
      </c>
      <c r="AV109" s="107" t="e">
        <f>VLOOKUP($A109,'S49'!$C:$BQ,39,0)</f>
        <v>#N/A</v>
      </c>
      <c r="AW109" s="107" t="e">
        <f>VLOOKUP($A109,'S49'!$C:$BQ,40,0)</f>
        <v>#N/A</v>
      </c>
      <c r="AX109" s="107" t="e">
        <f>VLOOKUP($A109,'S49'!$C:$BQ,22,0)</f>
        <v>#N/A</v>
      </c>
      <c r="AY109" s="115" t="e">
        <f>VLOOKUP($A109,'S49'!$C:$BQ,29,0)</f>
        <v>#N/A</v>
      </c>
      <c r="AZ109" s="115" t="e">
        <f>VLOOKUP($A109,'S49'!$C:$BQ,30,0)</f>
        <v>#N/A</v>
      </c>
      <c r="BA109" s="115" t="e">
        <f>VLOOKUP($A109,'S49'!$C:$BQ,52,0)</f>
        <v>#N/A</v>
      </c>
      <c r="BB109" s="115" t="e">
        <f>VLOOKUP($A109,'S49'!$C:$BQ,59,0)</f>
        <v>#N/A</v>
      </c>
      <c r="BC109" s="115" t="e">
        <f>VLOOKUP($A109,'S49'!$C:$BQ,60,0)</f>
        <v>#N/A</v>
      </c>
      <c r="BD109" s="107" t="e">
        <f>VLOOKUP($A109,'S50'!$C:$BQ,32,0)</f>
        <v>#N/A</v>
      </c>
      <c r="BE109" s="107" t="e">
        <f>VLOOKUP($A109,'S50'!$C:$BQ,39,0)</f>
        <v>#N/A</v>
      </c>
      <c r="BF109" s="107" t="e">
        <f>VLOOKUP($A109,'S50'!$C:$BQ,40,0)</f>
        <v>#N/A</v>
      </c>
      <c r="BG109" s="107" t="e">
        <f>VLOOKUP($A109,'S50'!$C:$BQ,22,0)</f>
        <v>#N/A</v>
      </c>
      <c r="BH109" s="115" t="e">
        <f>VLOOKUP($A109,'S50'!$C:$BQ,29,0)</f>
        <v>#N/A</v>
      </c>
      <c r="BI109" s="115" t="e">
        <f>VLOOKUP($A109,'S50'!$C:$BQ,30,0)</f>
        <v>#N/A</v>
      </c>
      <c r="BJ109" s="115" t="e">
        <f>VLOOKUP($A109,'S50'!$C:$BQ,52,0)</f>
        <v>#N/A</v>
      </c>
      <c r="BK109" s="115" t="e">
        <f>VLOOKUP($A109,'S50'!$C:$BQ,59,0)</f>
        <v>#N/A</v>
      </c>
      <c r="BL109" s="115" t="e">
        <f>VLOOKUP($A109,'S50'!$C:$BQ,60,0)</f>
        <v>#N/A</v>
      </c>
    </row>
    <row r="110" spans="1:64" x14ac:dyDescent="0.2">
      <c r="A110" s="106" t="s">
        <v>172</v>
      </c>
      <c r="B110" s="107">
        <f>VLOOKUP($A110,'S0 remplacer avec S44'!$C:$BQ,32,0)</f>
        <v>334.55</v>
      </c>
      <c r="C110" s="107">
        <f>VLOOKUP($A110,'S0 remplacer avec S44'!$C:$BQ,39,0)</f>
        <v>148</v>
      </c>
      <c r="D110" s="107">
        <f>VLOOKUP($A110,'S0 remplacer avec S44'!$C:$BQ,40,0)</f>
        <v>244</v>
      </c>
      <c r="E110" s="107">
        <f>VLOOKUP($A110,'S0 remplacer avec S44'!$C:$BQ,22,0)</f>
        <v>3948.5381200000002</v>
      </c>
      <c r="F110" s="115">
        <f>VLOOKUP($A110,'S0 remplacer avec S44'!$C:$BQ,29,0)</f>
        <v>432</v>
      </c>
      <c r="G110" s="115">
        <f>VLOOKUP($A110,'S0 remplacer avec S44'!$C:$BQ,30,0)</f>
        <v>1308</v>
      </c>
      <c r="H110" s="115">
        <f>VLOOKUP($A110,'S0 remplacer avec S44'!$C:$BQ,52,0)</f>
        <v>204.4</v>
      </c>
      <c r="I110" s="115">
        <f>VLOOKUP($A110,'S0 remplacer avec S44'!$C:$BQ,59,0)</f>
        <v>41</v>
      </c>
      <c r="J110" s="115">
        <f>VLOOKUP($A110,'S0 remplacer avec S44'!$C:$BQ,60,0)</f>
        <v>90</v>
      </c>
      <c r="K110" s="107" t="e">
        <f>VLOOKUP($A110,'S45'!$C:$BQ,32,0)</f>
        <v>#N/A</v>
      </c>
      <c r="L110" s="107" t="e">
        <f>VLOOKUP($A110,'S45'!$C:$BQ,39,0)</f>
        <v>#N/A</v>
      </c>
      <c r="M110" s="107" t="e">
        <f>VLOOKUP($A110,'S45'!$C:$BQ,40,0)</f>
        <v>#N/A</v>
      </c>
      <c r="N110" s="107" t="e">
        <f>VLOOKUP($A110,'S45'!$C:$BQ,22,0)</f>
        <v>#N/A</v>
      </c>
      <c r="O110" s="115" t="e">
        <f>VLOOKUP($A110,'S45'!$C:$BQ,29,0)</f>
        <v>#N/A</v>
      </c>
      <c r="P110" s="115" t="e">
        <f>VLOOKUP($A110,'S45'!$C:$BQ,30,0)</f>
        <v>#N/A</v>
      </c>
      <c r="Q110" s="115" t="e">
        <f>VLOOKUP($A110,'S45'!$C:$BQ,52,0)</f>
        <v>#N/A</v>
      </c>
      <c r="R110" s="115" t="e">
        <f>VLOOKUP($A110,'S45'!$C:$BQ,59,0)</f>
        <v>#N/A</v>
      </c>
      <c r="S110" s="115" t="e">
        <f>VLOOKUP($A110,'S45'!$C:$BQ,60,0)</f>
        <v>#N/A</v>
      </c>
      <c r="T110" s="107" t="e">
        <f>VLOOKUP($A110,'S46'!$C:$BQ,32,0)</f>
        <v>#N/A</v>
      </c>
      <c r="U110" s="107" t="e">
        <f>VLOOKUP($A110,'S46'!$C:$BQ,39,0)</f>
        <v>#N/A</v>
      </c>
      <c r="V110" s="107" t="e">
        <f>VLOOKUP($A110,'S46'!$C:$BQ,40,0)</f>
        <v>#N/A</v>
      </c>
      <c r="W110" s="107" t="e">
        <f>VLOOKUP($A110,'S46'!$C:$BQ,22,0)</f>
        <v>#N/A</v>
      </c>
      <c r="X110" s="115" t="e">
        <f>VLOOKUP($A110,'S46'!$C:$BQ,29,0)</f>
        <v>#N/A</v>
      </c>
      <c r="Y110" s="115" t="e">
        <f>VLOOKUP($A110,'S46'!$C:$BQ,30,0)</f>
        <v>#N/A</v>
      </c>
      <c r="Z110" s="115" t="e">
        <f>VLOOKUP($A110,'S46'!$C:$BQ,52,0)</f>
        <v>#N/A</v>
      </c>
      <c r="AA110" s="115" t="e">
        <f>VLOOKUP($A110,'S46'!$C:$BQ,59,0)</f>
        <v>#N/A</v>
      </c>
      <c r="AB110" s="115" t="e">
        <f>VLOOKUP($A110,'S46'!$C:$BQ,60,0)</f>
        <v>#N/A</v>
      </c>
      <c r="AC110" s="107" t="e">
        <f>VLOOKUP($A110,'S47'!$C:$BQ,32,0)</f>
        <v>#N/A</v>
      </c>
      <c r="AD110" s="107" t="e">
        <f>VLOOKUP($A110,'S47'!$C:$BQ,39,0)</f>
        <v>#N/A</v>
      </c>
      <c r="AE110" s="107" t="e">
        <f>VLOOKUP($A110,'S47'!$C:$BQ,40,0)</f>
        <v>#N/A</v>
      </c>
      <c r="AF110" s="107" t="e">
        <f>VLOOKUP($A110,'S47'!$C:$BQ,22,0)</f>
        <v>#N/A</v>
      </c>
      <c r="AG110" s="115" t="e">
        <f>VLOOKUP($A110,'S47'!$C:$BQ,29,0)</f>
        <v>#N/A</v>
      </c>
      <c r="AH110" s="115" t="e">
        <f>VLOOKUP($A110,'S47'!$C:$BQ,30,0)</f>
        <v>#N/A</v>
      </c>
      <c r="AI110" s="115" t="e">
        <f>VLOOKUP($A110,'S47'!$C:$BQ,52,0)</f>
        <v>#N/A</v>
      </c>
      <c r="AJ110" s="115" t="e">
        <f>VLOOKUP($A110,'S47'!$C:$BQ,59,0)</f>
        <v>#N/A</v>
      </c>
      <c r="AK110" s="115" t="e">
        <f>VLOOKUP($A110,'S47'!$C:$BQ,60,0)</f>
        <v>#N/A</v>
      </c>
      <c r="AL110" s="107" t="e">
        <f>VLOOKUP($A110,'S48'!$C:$BQ,32,0)</f>
        <v>#N/A</v>
      </c>
      <c r="AM110" s="107" t="e">
        <f>VLOOKUP($A110,'S48'!$C:$BQ,39,0)</f>
        <v>#N/A</v>
      </c>
      <c r="AN110" s="107" t="e">
        <f>VLOOKUP($A110,'S48'!$C:$BQ,40,0)</f>
        <v>#N/A</v>
      </c>
      <c r="AO110" s="107" t="e">
        <f>VLOOKUP($A110,'S48'!$C:$BQ,22,0)</f>
        <v>#N/A</v>
      </c>
      <c r="AP110" s="115" t="e">
        <f>VLOOKUP($A110,'S48'!$C:$BQ,29,0)</f>
        <v>#N/A</v>
      </c>
      <c r="AQ110" s="115" t="e">
        <f>VLOOKUP($A110,'S48'!$C:$BQ,30,0)</f>
        <v>#N/A</v>
      </c>
      <c r="AR110" s="115" t="e">
        <f>VLOOKUP($A110,'S48'!$C:$BQ,52,0)</f>
        <v>#N/A</v>
      </c>
      <c r="AS110" s="115" t="e">
        <f>VLOOKUP($A110,'S48'!$C:$BQ,59,0)</f>
        <v>#N/A</v>
      </c>
      <c r="AT110" s="115" t="e">
        <f>VLOOKUP($A110,'S48'!$C:$BQ,60,0)</f>
        <v>#N/A</v>
      </c>
      <c r="AU110" s="107" t="e">
        <f>VLOOKUP($A110,'S49'!$C:$BQ,32,0)</f>
        <v>#N/A</v>
      </c>
      <c r="AV110" s="107" t="e">
        <f>VLOOKUP($A110,'S49'!$C:$BQ,39,0)</f>
        <v>#N/A</v>
      </c>
      <c r="AW110" s="107" t="e">
        <f>VLOOKUP($A110,'S49'!$C:$BQ,40,0)</f>
        <v>#N/A</v>
      </c>
      <c r="AX110" s="107" t="e">
        <f>VLOOKUP($A110,'S49'!$C:$BQ,22,0)</f>
        <v>#N/A</v>
      </c>
      <c r="AY110" s="115" t="e">
        <f>VLOOKUP($A110,'S49'!$C:$BQ,29,0)</f>
        <v>#N/A</v>
      </c>
      <c r="AZ110" s="115" t="e">
        <f>VLOOKUP($A110,'S49'!$C:$BQ,30,0)</f>
        <v>#N/A</v>
      </c>
      <c r="BA110" s="115" t="e">
        <f>VLOOKUP($A110,'S49'!$C:$BQ,52,0)</f>
        <v>#N/A</v>
      </c>
      <c r="BB110" s="115" t="e">
        <f>VLOOKUP($A110,'S49'!$C:$BQ,59,0)</f>
        <v>#N/A</v>
      </c>
      <c r="BC110" s="115" t="e">
        <f>VLOOKUP($A110,'S49'!$C:$BQ,60,0)</f>
        <v>#N/A</v>
      </c>
      <c r="BD110" s="107" t="e">
        <f>VLOOKUP($A110,'S50'!$C:$BQ,32,0)</f>
        <v>#N/A</v>
      </c>
      <c r="BE110" s="107" t="e">
        <f>VLOOKUP($A110,'S50'!$C:$BQ,39,0)</f>
        <v>#N/A</v>
      </c>
      <c r="BF110" s="107" t="e">
        <f>VLOOKUP($A110,'S50'!$C:$BQ,40,0)</f>
        <v>#N/A</v>
      </c>
      <c r="BG110" s="107" t="e">
        <f>VLOOKUP($A110,'S50'!$C:$BQ,22,0)</f>
        <v>#N/A</v>
      </c>
      <c r="BH110" s="115" t="e">
        <f>VLOOKUP($A110,'S50'!$C:$BQ,29,0)</f>
        <v>#N/A</v>
      </c>
      <c r="BI110" s="115" t="e">
        <f>VLOOKUP($A110,'S50'!$C:$BQ,30,0)</f>
        <v>#N/A</v>
      </c>
      <c r="BJ110" s="115" t="e">
        <f>VLOOKUP($A110,'S50'!$C:$BQ,52,0)</f>
        <v>#N/A</v>
      </c>
      <c r="BK110" s="115" t="e">
        <f>VLOOKUP($A110,'S50'!$C:$BQ,59,0)</f>
        <v>#N/A</v>
      </c>
      <c r="BL110" s="115" t="e">
        <f>VLOOKUP($A110,'S50'!$C:$BQ,60,0)</f>
        <v>#N/A</v>
      </c>
    </row>
    <row r="111" spans="1:64" x14ac:dyDescent="0.2">
      <c r="A111" s="106" t="s">
        <v>173</v>
      </c>
      <c r="B111" s="107">
        <f>VLOOKUP($A111,'S0 remplacer avec S44'!$C:$BQ,32,0)</f>
        <v>225.1</v>
      </c>
      <c r="C111" s="107">
        <f>VLOOKUP($A111,'S0 remplacer avec S44'!$C:$BQ,39,0)</f>
        <v>156</v>
      </c>
      <c r="D111" s="107">
        <f>VLOOKUP($A111,'S0 remplacer avec S44'!$C:$BQ,40,0)</f>
        <v>232</v>
      </c>
      <c r="E111" s="107">
        <f>VLOOKUP($A111,'S0 remplacer avec S44'!$C:$BQ,22,0)</f>
        <v>3867.3527250000002</v>
      </c>
      <c r="F111" s="115">
        <f>VLOOKUP($A111,'S0 remplacer avec S44'!$C:$BQ,29,0)</f>
        <v>0</v>
      </c>
      <c r="G111" s="115">
        <f>VLOOKUP($A111,'S0 remplacer avec S44'!$C:$BQ,30,0)</f>
        <v>290</v>
      </c>
      <c r="H111" s="115">
        <f>VLOOKUP($A111,'S0 remplacer avec S44'!$C:$BQ,52,0)</f>
        <v>190.2</v>
      </c>
      <c r="I111" s="115">
        <f>VLOOKUP($A111,'S0 remplacer avec S44'!$C:$BQ,59,0)</f>
        <v>4</v>
      </c>
      <c r="J111" s="115">
        <f>VLOOKUP($A111,'S0 remplacer avec S44'!$C:$BQ,60,0)</f>
        <v>42</v>
      </c>
      <c r="K111" s="107" t="e">
        <f>VLOOKUP($A111,'S45'!$C:$BQ,32,0)</f>
        <v>#N/A</v>
      </c>
      <c r="L111" s="107" t="e">
        <f>VLOOKUP($A111,'S45'!$C:$BQ,39,0)</f>
        <v>#N/A</v>
      </c>
      <c r="M111" s="107" t="e">
        <f>VLOOKUP($A111,'S45'!$C:$BQ,40,0)</f>
        <v>#N/A</v>
      </c>
      <c r="N111" s="107" t="e">
        <f>VLOOKUP($A111,'S45'!$C:$BQ,22,0)</f>
        <v>#N/A</v>
      </c>
      <c r="O111" s="115" t="e">
        <f>VLOOKUP($A111,'S45'!$C:$BQ,29,0)</f>
        <v>#N/A</v>
      </c>
      <c r="P111" s="115" t="e">
        <f>VLOOKUP($A111,'S45'!$C:$BQ,30,0)</f>
        <v>#N/A</v>
      </c>
      <c r="Q111" s="115" t="e">
        <f>VLOOKUP($A111,'S45'!$C:$BQ,52,0)</f>
        <v>#N/A</v>
      </c>
      <c r="R111" s="115" t="e">
        <f>VLOOKUP($A111,'S45'!$C:$BQ,59,0)</f>
        <v>#N/A</v>
      </c>
      <c r="S111" s="115" t="e">
        <f>VLOOKUP($A111,'S45'!$C:$BQ,60,0)</f>
        <v>#N/A</v>
      </c>
      <c r="T111" s="107" t="e">
        <f>VLOOKUP($A111,'S46'!$C:$BQ,32,0)</f>
        <v>#N/A</v>
      </c>
      <c r="U111" s="107" t="e">
        <f>VLOOKUP($A111,'S46'!$C:$BQ,39,0)</f>
        <v>#N/A</v>
      </c>
      <c r="V111" s="107" t="e">
        <f>VLOOKUP($A111,'S46'!$C:$BQ,40,0)</f>
        <v>#N/A</v>
      </c>
      <c r="W111" s="107" t="e">
        <f>VLOOKUP($A111,'S46'!$C:$BQ,22,0)</f>
        <v>#N/A</v>
      </c>
      <c r="X111" s="115" t="e">
        <f>VLOOKUP($A111,'S46'!$C:$BQ,29,0)</f>
        <v>#N/A</v>
      </c>
      <c r="Y111" s="115" t="e">
        <f>VLOOKUP($A111,'S46'!$C:$BQ,30,0)</f>
        <v>#N/A</v>
      </c>
      <c r="Z111" s="115" t="e">
        <f>VLOOKUP($A111,'S46'!$C:$BQ,52,0)</f>
        <v>#N/A</v>
      </c>
      <c r="AA111" s="115" t="e">
        <f>VLOOKUP($A111,'S46'!$C:$BQ,59,0)</f>
        <v>#N/A</v>
      </c>
      <c r="AB111" s="115" t="e">
        <f>VLOOKUP($A111,'S46'!$C:$BQ,60,0)</f>
        <v>#N/A</v>
      </c>
      <c r="AC111" s="107" t="e">
        <f>VLOOKUP($A111,'S47'!$C:$BQ,32,0)</f>
        <v>#N/A</v>
      </c>
      <c r="AD111" s="107" t="e">
        <f>VLOOKUP($A111,'S47'!$C:$BQ,39,0)</f>
        <v>#N/A</v>
      </c>
      <c r="AE111" s="107" t="e">
        <f>VLOOKUP($A111,'S47'!$C:$BQ,40,0)</f>
        <v>#N/A</v>
      </c>
      <c r="AF111" s="107" t="e">
        <f>VLOOKUP($A111,'S47'!$C:$BQ,22,0)</f>
        <v>#N/A</v>
      </c>
      <c r="AG111" s="115" t="e">
        <f>VLOOKUP($A111,'S47'!$C:$BQ,29,0)</f>
        <v>#N/A</v>
      </c>
      <c r="AH111" s="115" t="e">
        <f>VLOOKUP($A111,'S47'!$C:$BQ,30,0)</f>
        <v>#N/A</v>
      </c>
      <c r="AI111" s="115" t="e">
        <f>VLOOKUP($A111,'S47'!$C:$BQ,52,0)</f>
        <v>#N/A</v>
      </c>
      <c r="AJ111" s="115" t="e">
        <f>VLOOKUP($A111,'S47'!$C:$BQ,59,0)</f>
        <v>#N/A</v>
      </c>
      <c r="AK111" s="115" t="e">
        <f>VLOOKUP($A111,'S47'!$C:$BQ,60,0)</f>
        <v>#N/A</v>
      </c>
      <c r="AL111" s="107" t="e">
        <f>VLOOKUP($A111,'S48'!$C:$BQ,32,0)</f>
        <v>#N/A</v>
      </c>
      <c r="AM111" s="107" t="e">
        <f>VLOOKUP($A111,'S48'!$C:$BQ,39,0)</f>
        <v>#N/A</v>
      </c>
      <c r="AN111" s="107" t="e">
        <f>VLOOKUP($A111,'S48'!$C:$BQ,40,0)</f>
        <v>#N/A</v>
      </c>
      <c r="AO111" s="107" t="e">
        <f>VLOOKUP($A111,'S48'!$C:$BQ,22,0)</f>
        <v>#N/A</v>
      </c>
      <c r="AP111" s="115" t="e">
        <f>VLOOKUP($A111,'S48'!$C:$BQ,29,0)</f>
        <v>#N/A</v>
      </c>
      <c r="AQ111" s="115" t="e">
        <f>VLOOKUP($A111,'S48'!$C:$BQ,30,0)</f>
        <v>#N/A</v>
      </c>
      <c r="AR111" s="115" t="e">
        <f>VLOOKUP($A111,'S48'!$C:$BQ,52,0)</f>
        <v>#N/A</v>
      </c>
      <c r="AS111" s="115" t="e">
        <f>VLOOKUP($A111,'S48'!$C:$BQ,59,0)</f>
        <v>#N/A</v>
      </c>
      <c r="AT111" s="115" t="e">
        <f>VLOOKUP($A111,'S48'!$C:$BQ,60,0)</f>
        <v>#N/A</v>
      </c>
      <c r="AU111" s="107" t="e">
        <f>VLOOKUP($A111,'S49'!$C:$BQ,32,0)</f>
        <v>#N/A</v>
      </c>
      <c r="AV111" s="107" t="e">
        <f>VLOOKUP($A111,'S49'!$C:$BQ,39,0)</f>
        <v>#N/A</v>
      </c>
      <c r="AW111" s="107" t="e">
        <f>VLOOKUP($A111,'S49'!$C:$BQ,40,0)</f>
        <v>#N/A</v>
      </c>
      <c r="AX111" s="107" t="e">
        <f>VLOOKUP($A111,'S49'!$C:$BQ,22,0)</f>
        <v>#N/A</v>
      </c>
      <c r="AY111" s="115" t="e">
        <f>VLOOKUP($A111,'S49'!$C:$BQ,29,0)</f>
        <v>#N/A</v>
      </c>
      <c r="AZ111" s="115" t="e">
        <f>VLOOKUP($A111,'S49'!$C:$BQ,30,0)</f>
        <v>#N/A</v>
      </c>
      <c r="BA111" s="115" t="e">
        <f>VLOOKUP($A111,'S49'!$C:$BQ,52,0)</f>
        <v>#N/A</v>
      </c>
      <c r="BB111" s="115" t="e">
        <f>VLOOKUP($A111,'S49'!$C:$BQ,59,0)</f>
        <v>#N/A</v>
      </c>
      <c r="BC111" s="115" t="e">
        <f>VLOOKUP($A111,'S49'!$C:$BQ,60,0)</f>
        <v>#N/A</v>
      </c>
      <c r="BD111" s="107" t="e">
        <f>VLOOKUP($A111,'S50'!$C:$BQ,32,0)</f>
        <v>#N/A</v>
      </c>
      <c r="BE111" s="107" t="e">
        <f>VLOOKUP($A111,'S50'!$C:$BQ,39,0)</f>
        <v>#N/A</v>
      </c>
      <c r="BF111" s="107" t="e">
        <f>VLOOKUP($A111,'S50'!$C:$BQ,40,0)</f>
        <v>#N/A</v>
      </c>
      <c r="BG111" s="107" t="e">
        <f>VLOOKUP($A111,'S50'!$C:$BQ,22,0)</f>
        <v>#N/A</v>
      </c>
      <c r="BH111" s="115" t="e">
        <f>VLOOKUP($A111,'S50'!$C:$BQ,29,0)</f>
        <v>#N/A</v>
      </c>
      <c r="BI111" s="115" t="e">
        <f>VLOOKUP($A111,'S50'!$C:$BQ,30,0)</f>
        <v>#N/A</v>
      </c>
      <c r="BJ111" s="115" t="e">
        <f>VLOOKUP($A111,'S50'!$C:$BQ,52,0)</f>
        <v>#N/A</v>
      </c>
      <c r="BK111" s="115" t="e">
        <f>VLOOKUP($A111,'S50'!$C:$BQ,59,0)</f>
        <v>#N/A</v>
      </c>
      <c r="BL111" s="115" t="e">
        <f>VLOOKUP($A111,'S50'!$C:$BQ,60,0)</f>
        <v>#N/A</v>
      </c>
    </row>
    <row r="112" spans="1:64" x14ac:dyDescent="0.2">
      <c r="A112" s="106" t="s">
        <v>174</v>
      </c>
      <c r="B112" s="107">
        <f>VLOOKUP($A112,'S0 remplacer avec S44'!$C:$BQ,32,0)</f>
        <v>246.3</v>
      </c>
      <c r="C112" s="107">
        <f>VLOOKUP($A112,'S0 remplacer avec S44'!$C:$BQ,39,0)</f>
        <v>7</v>
      </c>
      <c r="D112" s="107">
        <f>VLOOKUP($A112,'S0 remplacer avec S44'!$C:$BQ,40,0)</f>
        <v>57</v>
      </c>
      <c r="E112" s="107">
        <f>VLOOKUP($A112,'S0 remplacer avec S44'!$C:$BQ,22,0)</f>
        <v>3311.2177849999998</v>
      </c>
      <c r="F112" s="115">
        <f>VLOOKUP($A112,'S0 remplacer avec S44'!$C:$BQ,29,0)</f>
        <v>0</v>
      </c>
      <c r="G112" s="115">
        <f>VLOOKUP($A112,'S0 remplacer avec S44'!$C:$BQ,30,0)</f>
        <v>0</v>
      </c>
      <c r="H112" s="115">
        <f>VLOOKUP($A112,'S0 remplacer avec S44'!$C:$BQ,52,0)</f>
        <v>126.4</v>
      </c>
      <c r="I112" s="115">
        <f>VLOOKUP($A112,'S0 remplacer avec S44'!$C:$BQ,59,0)</f>
        <v>2</v>
      </c>
      <c r="J112" s="115">
        <f>VLOOKUP($A112,'S0 remplacer avec S44'!$C:$BQ,60,0)</f>
        <v>28</v>
      </c>
      <c r="K112" s="107" t="e">
        <f>VLOOKUP($A112,'S45'!$C:$BQ,32,0)</f>
        <v>#N/A</v>
      </c>
      <c r="L112" s="107" t="e">
        <f>VLOOKUP($A112,'S45'!$C:$BQ,39,0)</f>
        <v>#N/A</v>
      </c>
      <c r="M112" s="107" t="e">
        <f>VLOOKUP($A112,'S45'!$C:$BQ,40,0)</f>
        <v>#N/A</v>
      </c>
      <c r="N112" s="107" t="e">
        <f>VLOOKUP($A112,'S45'!$C:$BQ,22,0)</f>
        <v>#N/A</v>
      </c>
      <c r="O112" s="115" t="e">
        <f>VLOOKUP($A112,'S45'!$C:$BQ,29,0)</f>
        <v>#N/A</v>
      </c>
      <c r="P112" s="115" t="e">
        <f>VLOOKUP($A112,'S45'!$C:$BQ,30,0)</f>
        <v>#N/A</v>
      </c>
      <c r="Q112" s="115" t="e">
        <f>VLOOKUP($A112,'S45'!$C:$BQ,52,0)</f>
        <v>#N/A</v>
      </c>
      <c r="R112" s="115" t="e">
        <f>VLOOKUP($A112,'S45'!$C:$BQ,59,0)</f>
        <v>#N/A</v>
      </c>
      <c r="S112" s="115" t="e">
        <f>VLOOKUP($A112,'S45'!$C:$BQ,60,0)</f>
        <v>#N/A</v>
      </c>
      <c r="T112" s="107" t="e">
        <f>VLOOKUP($A112,'S46'!$C:$BQ,32,0)</f>
        <v>#N/A</v>
      </c>
      <c r="U112" s="107" t="e">
        <f>VLOOKUP($A112,'S46'!$C:$BQ,39,0)</f>
        <v>#N/A</v>
      </c>
      <c r="V112" s="107" t="e">
        <f>VLOOKUP($A112,'S46'!$C:$BQ,40,0)</f>
        <v>#N/A</v>
      </c>
      <c r="W112" s="107" t="e">
        <f>VLOOKUP($A112,'S46'!$C:$BQ,22,0)</f>
        <v>#N/A</v>
      </c>
      <c r="X112" s="115" t="e">
        <f>VLOOKUP($A112,'S46'!$C:$BQ,29,0)</f>
        <v>#N/A</v>
      </c>
      <c r="Y112" s="115" t="e">
        <f>VLOOKUP($A112,'S46'!$C:$BQ,30,0)</f>
        <v>#N/A</v>
      </c>
      <c r="Z112" s="115" t="e">
        <f>VLOOKUP($A112,'S46'!$C:$BQ,52,0)</f>
        <v>#N/A</v>
      </c>
      <c r="AA112" s="115" t="e">
        <f>VLOOKUP($A112,'S46'!$C:$BQ,59,0)</f>
        <v>#N/A</v>
      </c>
      <c r="AB112" s="115" t="e">
        <f>VLOOKUP($A112,'S46'!$C:$BQ,60,0)</f>
        <v>#N/A</v>
      </c>
      <c r="AC112" s="107" t="e">
        <f>VLOOKUP($A112,'S47'!$C:$BQ,32,0)</f>
        <v>#N/A</v>
      </c>
      <c r="AD112" s="107" t="e">
        <f>VLOOKUP($A112,'S47'!$C:$BQ,39,0)</f>
        <v>#N/A</v>
      </c>
      <c r="AE112" s="107" t="e">
        <f>VLOOKUP($A112,'S47'!$C:$BQ,40,0)</f>
        <v>#N/A</v>
      </c>
      <c r="AF112" s="107" t="e">
        <f>VLOOKUP($A112,'S47'!$C:$BQ,22,0)</f>
        <v>#N/A</v>
      </c>
      <c r="AG112" s="115" t="e">
        <f>VLOOKUP($A112,'S47'!$C:$BQ,29,0)</f>
        <v>#N/A</v>
      </c>
      <c r="AH112" s="115" t="e">
        <f>VLOOKUP($A112,'S47'!$C:$BQ,30,0)</f>
        <v>#N/A</v>
      </c>
      <c r="AI112" s="115" t="e">
        <f>VLOOKUP($A112,'S47'!$C:$BQ,52,0)</f>
        <v>#N/A</v>
      </c>
      <c r="AJ112" s="115" t="e">
        <f>VLOOKUP($A112,'S47'!$C:$BQ,59,0)</f>
        <v>#N/A</v>
      </c>
      <c r="AK112" s="115" t="e">
        <f>VLOOKUP($A112,'S47'!$C:$BQ,60,0)</f>
        <v>#N/A</v>
      </c>
      <c r="AL112" s="107" t="e">
        <f>VLOOKUP($A112,'S48'!$C:$BQ,32,0)</f>
        <v>#N/A</v>
      </c>
      <c r="AM112" s="107" t="e">
        <f>VLOOKUP($A112,'S48'!$C:$BQ,39,0)</f>
        <v>#N/A</v>
      </c>
      <c r="AN112" s="107" t="e">
        <f>VLOOKUP($A112,'S48'!$C:$BQ,40,0)</f>
        <v>#N/A</v>
      </c>
      <c r="AO112" s="107" t="e">
        <f>VLOOKUP($A112,'S48'!$C:$BQ,22,0)</f>
        <v>#N/A</v>
      </c>
      <c r="AP112" s="115" t="e">
        <f>VLOOKUP($A112,'S48'!$C:$BQ,29,0)</f>
        <v>#N/A</v>
      </c>
      <c r="AQ112" s="115" t="e">
        <f>VLOOKUP($A112,'S48'!$C:$BQ,30,0)</f>
        <v>#N/A</v>
      </c>
      <c r="AR112" s="115" t="e">
        <f>VLOOKUP($A112,'S48'!$C:$BQ,52,0)</f>
        <v>#N/A</v>
      </c>
      <c r="AS112" s="115" t="e">
        <f>VLOOKUP($A112,'S48'!$C:$BQ,59,0)</f>
        <v>#N/A</v>
      </c>
      <c r="AT112" s="115" t="e">
        <f>VLOOKUP($A112,'S48'!$C:$BQ,60,0)</f>
        <v>#N/A</v>
      </c>
      <c r="AU112" s="107" t="e">
        <f>VLOOKUP($A112,'S49'!$C:$BQ,32,0)</f>
        <v>#N/A</v>
      </c>
      <c r="AV112" s="107" t="e">
        <f>VLOOKUP($A112,'S49'!$C:$BQ,39,0)</f>
        <v>#N/A</v>
      </c>
      <c r="AW112" s="107" t="e">
        <f>VLOOKUP($A112,'S49'!$C:$BQ,40,0)</f>
        <v>#N/A</v>
      </c>
      <c r="AX112" s="107" t="e">
        <f>VLOOKUP($A112,'S49'!$C:$BQ,22,0)</f>
        <v>#N/A</v>
      </c>
      <c r="AY112" s="115" t="e">
        <f>VLOOKUP($A112,'S49'!$C:$BQ,29,0)</f>
        <v>#N/A</v>
      </c>
      <c r="AZ112" s="115" t="e">
        <f>VLOOKUP($A112,'S49'!$C:$BQ,30,0)</f>
        <v>#N/A</v>
      </c>
      <c r="BA112" s="115" t="e">
        <f>VLOOKUP($A112,'S49'!$C:$BQ,52,0)</f>
        <v>#N/A</v>
      </c>
      <c r="BB112" s="115" t="e">
        <f>VLOOKUP($A112,'S49'!$C:$BQ,59,0)</f>
        <v>#N/A</v>
      </c>
      <c r="BC112" s="115" t="e">
        <f>VLOOKUP($A112,'S49'!$C:$BQ,60,0)</f>
        <v>#N/A</v>
      </c>
      <c r="BD112" s="107" t="e">
        <f>VLOOKUP($A112,'S50'!$C:$BQ,32,0)</f>
        <v>#N/A</v>
      </c>
      <c r="BE112" s="107" t="e">
        <f>VLOOKUP($A112,'S50'!$C:$BQ,39,0)</f>
        <v>#N/A</v>
      </c>
      <c r="BF112" s="107" t="e">
        <f>VLOOKUP($A112,'S50'!$C:$BQ,40,0)</f>
        <v>#N/A</v>
      </c>
      <c r="BG112" s="107" t="e">
        <f>VLOOKUP($A112,'S50'!$C:$BQ,22,0)</f>
        <v>#N/A</v>
      </c>
      <c r="BH112" s="115" t="e">
        <f>VLOOKUP($A112,'S50'!$C:$BQ,29,0)</f>
        <v>#N/A</v>
      </c>
      <c r="BI112" s="115" t="e">
        <f>VLOOKUP($A112,'S50'!$C:$BQ,30,0)</f>
        <v>#N/A</v>
      </c>
      <c r="BJ112" s="115" t="e">
        <f>VLOOKUP($A112,'S50'!$C:$BQ,52,0)</f>
        <v>#N/A</v>
      </c>
      <c r="BK112" s="115" t="e">
        <f>VLOOKUP($A112,'S50'!$C:$BQ,59,0)</f>
        <v>#N/A</v>
      </c>
      <c r="BL112" s="115" t="e">
        <f>VLOOKUP($A112,'S50'!$C:$BQ,60,0)</f>
        <v>#N/A</v>
      </c>
    </row>
    <row r="113" spans="1:64" x14ac:dyDescent="0.2">
      <c r="A113" s="106" t="s">
        <v>175</v>
      </c>
      <c r="B113" s="107">
        <f>VLOOKUP($A113,'S0 remplacer avec S44'!$C:$BQ,32,0)</f>
        <v>126.5</v>
      </c>
      <c r="C113" s="107">
        <f>VLOOKUP($A113,'S0 remplacer avec S44'!$C:$BQ,39,0)</f>
        <v>22</v>
      </c>
      <c r="D113" s="107">
        <f>VLOOKUP($A113,'S0 remplacer avec S44'!$C:$BQ,40,0)</f>
        <v>52</v>
      </c>
      <c r="E113" s="107">
        <f>VLOOKUP($A113,'S0 remplacer avec S44'!$C:$BQ,22,0)</f>
        <v>1397.622245</v>
      </c>
      <c r="F113" s="115">
        <f>VLOOKUP($A113,'S0 remplacer avec S44'!$C:$BQ,29,0)</f>
        <v>0</v>
      </c>
      <c r="G113" s="115">
        <f>VLOOKUP($A113,'S0 remplacer avec S44'!$C:$BQ,30,0)</f>
        <v>223</v>
      </c>
      <c r="H113" s="115">
        <f>VLOOKUP($A113,'S0 remplacer avec S44'!$C:$BQ,52,0)</f>
        <v>61.2</v>
      </c>
      <c r="I113" s="115">
        <f>VLOOKUP($A113,'S0 remplacer avec S44'!$C:$BQ,59,0)</f>
        <v>15</v>
      </c>
      <c r="J113" s="115">
        <f>VLOOKUP($A113,'S0 remplacer avec S44'!$C:$BQ,60,0)</f>
        <v>30</v>
      </c>
      <c r="K113" s="107" t="e">
        <f>VLOOKUP($A113,'S45'!$C:$BQ,32,0)</f>
        <v>#N/A</v>
      </c>
      <c r="L113" s="107" t="e">
        <f>VLOOKUP($A113,'S45'!$C:$BQ,39,0)</f>
        <v>#N/A</v>
      </c>
      <c r="M113" s="107" t="e">
        <f>VLOOKUP($A113,'S45'!$C:$BQ,40,0)</f>
        <v>#N/A</v>
      </c>
      <c r="N113" s="107" t="e">
        <f>VLOOKUP($A113,'S45'!$C:$BQ,22,0)</f>
        <v>#N/A</v>
      </c>
      <c r="O113" s="115" t="e">
        <f>VLOOKUP($A113,'S45'!$C:$BQ,29,0)</f>
        <v>#N/A</v>
      </c>
      <c r="P113" s="115" t="e">
        <f>VLOOKUP($A113,'S45'!$C:$BQ,30,0)</f>
        <v>#N/A</v>
      </c>
      <c r="Q113" s="115" t="e">
        <f>VLOOKUP($A113,'S45'!$C:$BQ,52,0)</f>
        <v>#N/A</v>
      </c>
      <c r="R113" s="115" t="e">
        <f>VLOOKUP($A113,'S45'!$C:$BQ,59,0)</f>
        <v>#N/A</v>
      </c>
      <c r="S113" s="115" t="e">
        <f>VLOOKUP($A113,'S45'!$C:$BQ,60,0)</f>
        <v>#N/A</v>
      </c>
      <c r="T113" s="107" t="e">
        <f>VLOOKUP($A113,'S46'!$C:$BQ,32,0)</f>
        <v>#N/A</v>
      </c>
      <c r="U113" s="107" t="e">
        <f>VLOOKUP($A113,'S46'!$C:$BQ,39,0)</f>
        <v>#N/A</v>
      </c>
      <c r="V113" s="107" t="e">
        <f>VLOOKUP($A113,'S46'!$C:$BQ,40,0)</f>
        <v>#N/A</v>
      </c>
      <c r="W113" s="107" t="e">
        <f>VLOOKUP($A113,'S46'!$C:$BQ,22,0)</f>
        <v>#N/A</v>
      </c>
      <c r="X113" s="115" t="e">
        <f>VLOOKUP($A113,'S46'!$C:$BQ,29,0)</f>
        <v>#N/A</v>
      </c>
      <c r="Y113" s="115" t="e">
        <f>VLOOKUP($A113,'S46'!$C:$BQ,30,0)</f>
        <v>#N/A</v>
      </c>
      <c r="Z113" s="115" t="e">
        <f>VLOOKUP($A113,'S46'!$C:$BQ,52,0)</f>
        <v>#N/A</v>
      </c>
      <c r="AA113" s="115" t="e">
        <f>VLOOKUP($A113,'S46'!$C:$BQ,59,0)</f>
        <v>#N/A</v>
      </c>
      <c r="AB113" s="115" t="e">
        <f>VLOOKUP($A113,'S46'!$C:$BQ,60,0)</f>
        <v>#N/A</v>
      </c>
      <c r="AC113" s="107" t="e">
        <f>VLOOKUP($A113,'S47'!$C:$BQ,32,0)</f>
        <v>#N/A</v>
      </c>
      <c r="AD113" s="107" t="e">
        <f>VLOOKUP($A113,'S47'!$C:$BQ,39,0)</f>
        <v>#N/A</v>
      </c>
      <c r="AE113" s="107" t="e">
        <f>VLOOKUP($A113,'S47'!$C:$BQ,40,0)</f>
        <v>#N/A</v>
      </c>
      <c r="AF113" s="107" t="e">
        <f>VLOOKUP($A113,'S47'!$C:$BQ,22,0)</f>
        <v>#N/A</v>
      </c>
      <c r="AG113" s="115" t="e">
        <f>VLOOKUP($A113,'S47'!$C:$BQ,29,0)</f>
        <v>#N/A</v>
      </c>
      <c r="AH113" s="115" t="e">
        <f>VLOOKUP($A113,'S47'!$C:$BQ,30,0)</f>
        <v>#N/A</v>
      </c>
      <c r="AI113" s="115" t="e">
        <f>VLOOKUP($A113,'S47'!$C:$BQ,52,0)</f>
        <v>#N/A</v>
      </c>
      <c r="AJ113" s="115" t="e">
        <f>VLOOKUP($A113,'S47'!$C:$BQ,59,0)</f>
        <v>#N/A</v>
      </c>
      <c r="AK113" s="115" t="e">
        <f>VLOOKUP($A113,'S47'!$C:$BQ,60,0)</f>
        <v>#N/A</v>
      </c>
      <c r="AL113" s="107" t="e">
        <f>VLOOKUP($A113,'S48'!$C:$BQ,32,0)</f>
        <v>#N/A</v>
      </c>
      <c r="AM113" s="107" t="e">
        <f>VLOOKUP($A113,'S48'!$C:$BQ,39,0)</f>
        <v>#N/A</v>
      </c>
      <c r="AN113" s="107" t="e">
        <f>VLOOKUP($A113,'S48'!$C:$BQ,40,0)</f>
        <v>#N/A</v>
      </c>
      <c r="AO113" s="107" t="e">
        <f>VLOOKUP($A113,'S48'!$C:$BQ,22,0)</f>
        <v>#N/A</v>
      </c>
      <c r="AP113" s="115" t="e">
        <f>VLOOKUP($A113,'S48'!$C:$BQ,29,0)</f>
        <v>#N/A</v>
      </c>
      <c r="AQ113" s="115" t="e">
        <f>VLOOKUP($A113,'S48'!$C:$BQ,30,0)</f>
        <v>#N/A</v>
      </c>
      <c r="AR113" s="115" t="e">
        <f>VLOOKUP($A113,'S48'!$C:$BQ,52,0)</f>
        <v>#N/A</v>
      </c>
      <c r="AS113" s="115" t="e">
        <f>VLOOKUP($A113,'S48'!$C:$BQ,59,0)</f>
        <v>#N/A</v>
      </c>
      <c r="AT113" s="115" t="e">
        <f>VLOOKUP($A113,'S48'!$C:$BQ,60,0)</f>
        <v>#N/A</v>
      </c>
      <c r="AU113" s="107" t="e">
        <f>VLOOKUP($A113,'S49'!$C:$BQ,32,0)</f>
        <v>#N/A</v>
      </c>
      <c r="AV113" s="107" t="e">
        <f>VLOOKUP($A113,'S49'!$C:$BQ,39,0)</f>
        <v>#N/A</v>
      </c>
      <c r="AW113" s="107" t="e">
        <f>VLOOKUP($A113,'S49'!$C:$BQ,40,0)</f>
        <v>#N/A</v>
      </c>
      <c r="AX113" s="107" t="e">
        <f>VLOOKUP($A113,'S49'!$C:$BQ,22,0)</f>
        <v>#N/A</v>
      </c>
      <c r="AY113" s="115" t="e">
        <f>VLOOKUP($A113,'S49'!$C:$BQ,29,0)</f>
        <v>#N/A</v>
      </c>
      <c r="AZ113" s="115" t="e">
        <f>VLOOKUP($A113,'S49'!$C:$BQ,30,0)</f>
        <v>#N/A</v>
      </c>
      <c r="BA113" s="115" t="e">
        <f>VLOOKUP($A113,'S49'!$C:$BQ,52,0)</f>
        <v>#N/A</v>
      </c>
      <c r="BB113" s="115" t="e">
        <f>VLOOKUP($A113,'S49'!$C:$BQ,59,0)</f>
        <v>#N/A</v>
      </c>
      <c r="BC113" s="115" t="e">
        <f>VLOOKUP($A113,'S49'!$C:$BQ,60,0)</f>
        <v>#N/A</v>
      </c>
      <c r="BD113" s="107" t="e">
        <f>VLOOKUP($A113,'S50'!$C:$BQ,32,0)</f>
        <v>#N/A</v>
      </c>
      <c r="BE113" s="107" t="e">
        <f>VLOOKUP($A113,'S50'!$C:$BQ,39,0)</f>
        <v>#N/A</v>
      </c>
      <c r="BF113" s="107" t="e">
        <f>VLOOKUP($A113,'S50'!$C:$BQ,40,0)</f>
        <v>#N/A</v>
      </c>
      <c r="BG113" s="107" t="e">
        <f>VLOOKUP($A113,'S50'!$C:$BQ,22,0)</f>
        <v>#N/A</v>
      </c>
      <c r="BH113" s="115" t="e">
        <f>VLOOKUP($A113,'S50'!$C:$BQ,29,0)</f>
        <v>#N/A</v>
      </c>
      <c r="BI113" s="115" t="e">
        <f>VLOOKUP($A113,'S50'!$C:$BQ,30,0)</f>
        <v>#N/A</v>
      </c>
      <c r="BJ113" s="115" t="e">
        <f>VLOOKUP($A113,'S50'!$C:$BQ,52,0)</f>
        <v>#N/A</v>
      </c>
      <c r="BK113" s="115" t="e">
        <f>VLOOKUP($A113,'S50'!$C:$BQ,59,0)</f>
        <v>#N/A</v>
      </c>
      <c r="BL113" s="115" t="e">
        <f>VLOOKUP($A113,'S50'!$C:$BQ,60,0)</f>
        <v>#N/A</v>
      </c>
    </row>
    <row r="114" spans="1:64" x14ac:dyDescent="0.2">
      <c r="A114" s="106" t="s">
        <v>178</v>
      </c>
      <c r="B114" s="107">
        <f>VLOOKUP($A114,'S0 remplacer avec S44'!$C:$BQ,32,0)</f>
        <v>324.85000000000002</v>
      </c>
      <c r="C114" s="107">
        <f>VLOOKUP($A114,'S0 remplacer avec S44'!$C:$BQ,39,0)</f>
        <v>13</v>
      </c>
      <c r="D114" s="107">
        <f>VLOOKUP($A114,'S0 remplacer avec S44'!$C:$BQ,40,0)</f>
        <v>81</v>
      </c>
      <c r="E114" s="107">
        <f>VLOOKUP($A114,'S0 remplacer avec S44'!$C:$BQ,22,0)</f>
        <v>2762.0153599999999</v>
      </c>
      <c r="F114" s="115">
        <f>VLOOKUP($A114,'S0 remplacer avec S44'!$C:$BQ,29,0)</f>
        <v>310</v>
      </c>
      <c r="G114" s="115">
        <f>VLOOKUP($A114,'S0 remplacer avec S44'!$C:$BQ,30,0)</f>
        <v>925</v>
      </c>
      <c r="H114" s="115">
        <f>VLOOKUP($A114,'S0 remplacer avec S44'!$C:$BQ,52,0)</f>
        <v>210.4</v>
      </c>
      <c r="I114" s="115">
        <f>VLOOKUP($A114,'S0 remplacer avec S44'!$C:$BQ,59,0)</f>
        <v>0</v>
      </c>
      <c r="J114" s="115">
        <f>VLOOKUP($A114,'S0 remplacer avec S44'!$C:$BQ,60,0)</f>
        <v>0</v>
      </c>
      <c r="K114" s="107" t="e">
        <f>VLOOKUP($A114,'S45'!$C:$BQ,32,0)</f>
        <v>#N/A</v>
      </c>
      <c r="L114" s="107" t="e">
        <f>VLOOKUP($A114,'S45'!$C:$BQ,39,0)</f>
        <v>#N/A</v>
      </c>
      <c r="M114" s="107" t="e">
        <f>VLOOKUP($A114,'S45'!$C:$BQ,40,0)</f>
        <v>#N/A</v>
      </c>
      <c r="N114" s="107" t="e">
        <f>VLOOKUP($A114,'S45'!$C:$BQ,22,0)</f>
        <v>#N/A</v>
      </c>
      <c r="O114" s="115" t="e">
        <f>VLOOKUP($A114,'S45'!$C:$BQ,29,0)</f>
        <v>#N/A</v>
      </c>
      <c r="P114" s="115" t="e">
        <f>VLOOKUP($A114,'S45'!$C:$BQ,30,0)</f>
        <v>#N/A</v>
      </c>
      <c r="Q114" s="115" t="e">
        <f>VLOOKUP($A114,'S45'!$C:$BQ,52,0)</f>
        <v>#N/A</v>
      </c>
      <c r="R114" s="115" t="e">
        <f>VLOOKUP($A114,'S45'!$C:$BQ,59,0)</f>
        <v>#N/A</v>
      </c>
      <c r="S114" s="115" t="e">
        <f>VLOOKUP($A114,'S45'!$C:$BQ,60,0)</f>
        <v>#N/A</v>
      </c>
      <c r="T114" s="107" t="e">
        <f>VLOOKUP($A114,'S46'!$C:$BQ,32,0)</f>
        <v>#N/A</v>
      </c>
      <c r="U114" s="107" t="e">
        <f>VLOOKUP($A114,'S46'!$C:$BQ,39,0)</f>
        <v>#N/A</v>
      </c>
      <c r="V114" s="107" t="e">
        <f>VLOOKUP($A114,'S46'!$C:$BQ,40,0)</f>
        <v>#N/A</v>
      </c>
      <c r="W114" s="107" t="e">
        <f>VLOOKUP($A114,'S46'!$C:$BQ,22,0)</f>
        <v>#N/A</v>
      </c>
      <c r="X114" s="115" t="e">
        <f>VLOOKUP($A114,'S46'!$C:$BQ,29,0)</f>
        <v>#N/A</v>
      </c>
      <c r="Y114" s="115" t="e">
        <f>VLOOKUP($A114,'S46'!$C:$BQ,30,0)</f>
        <v>#N/A</v>
      </c>
      <c r="Z114" s="115" t="e">
        <f>VLOOKUP($A114,'S46'!$C:$BQ,52,0)</f>
        <v>#N/A</v>
      </c>
      <c r="AA114" s="115" t="e">
        <f>VLOOKUP($A114,'S46'!$C:$BQ,59,0)</f>
        <v>#N/A</v>
      </c>
      <c r="AB114" s="115" t="e">
        <f>VLOOKUP($A114,'S46'!$C:$BQ,60,0)</f>
        <v>#N/A</v>
      </c>
      <c r="AC114" s="107" t="e">
        <f>VLOOKUP($A114,'S47'!$C:$BQ,32,0)</f>
        <v>#N/A</v>
      </c>
      <c r="AD114" s="107" t="e">
        <f>VLOOKUP($A114,'S47'!$C:$BQ,39,0)</f>
        <v>#N/A</v>
      </c>
      <c r="AE114" s="107" t="e">
        <f>VLOOKUP($A114,'S47'!$C:$BQ,40,0)</f>
        <v>#N/A</v>
      </c>
      <c r="AF114" s="107" t="e">
        <f>VLOOKUP($A114,'S47'!$C:$BQ,22,0)</f>
        <v>#N/A</v>
      </c>
      <c r="AG114" s="115" t="e">
        <f>VLOOKUP($A114,'S47'!$C:$BQ,29,0)</f>
        <v>#N/A</v>
      </c>
      <c r="AH114" s="115" t="e">
        <f>VLOOKUP($A114,'S47'!$C:$BQ,30,0)</f>
        <v>#N/A</v>
      </c>
      <c r="AI114" s="115" t="e">
        <f>VLOOKUP($A114,'S47'!$C:$BQ,52,0)</f>
        <v>#N/A</v>
      </c>
      <c r="AJ114" s="115" t="e">
        <f>VLOOKUP($A114,'S47'!$C:$BQ,59,0)</f>
        <v>#N/A</v>
      </c>
      <c r="AK114" s="115" t="e">
        <f>VLOOKUP($A114,'S47'!$C:$BQ,60,0)</f>
        <v>#N/A</v>
      </c>
      <c r="AL114" s="107" t="e">
        <f>VLOOKUP($A114,'S48'!$C:$BQ,32,0)</f>
        <v>#N/A</v>
      </c>
      <c r="AM114" s="107" t="e">
        <f>VLOOKUP($A114,'S48'!$C:$BQ,39,0)</f>
        <v>#N/A</v>
      </c>
      <c r="AN114" s="107" t="e">
        <f>VLOOKUP($A114,'S48'!$C:$BQ,40,0)</f>
        <v>#N/A</v>
      </c>
      <c r="AO114" s="107" t="e">
        <f>VLOOKUP($A114,'S48'!$C:$BQ,22,0)</f>
        <v>#N/A</v>
      </c>
      <c r="AP114" s="115" t="e">
        <f>VLOOKUP($A114,'S48'!$C:$BQ,29,0)</f>
        <v>#N/A</v>
      </c>
      <c r="AQ114" s="115" t="e">
        <f>VLOOKUP($A114,'S48'!$C:$BQ,30,0)</f>
        <v>#N/A</v>
      </c>
      <c r="AR114" s="115" t="e">
        <f>VLOOKUP($A114,'S48'!$C:$BQ,52,0)</f>
        <v>#N/A</v>
      </c>
      <c r="AS114" s="115" t="e">
        <f>VLOOKUP($A114,'S48'!$C:$BQ,59,0)</f>
        <v>#N/A</v>
      </c>
      <c r="AT114" s="115" t="e">
        <f>VLOOKUP($A114,'S48'!$C:$BQ,60,0)</f>
        <v>#N/A</v>
      </c>
      <c r="AU114" s="107" t="e">
        <f>VLOOKUP($A114,'S49'!$C:$BQ,32,0)</f>
        <v>#N/A</v>
      </c>
      <c r="AV114" s="107" t="e">
        <f>VLOOKUP($A114,'S49'!$C:$BQ,39,0)</f>
        <v>#N/A</v>
      </c>
      <c r="AW114" s="107" t="e">
        <f>VLOOKUP($A114,'S49'!$C:$BQ,40,0)</f>
        <v>#N/A</v>
      </c>
      <c r="AX114" s="107" t="e">
        <f>VLOOKUP($A114,'S49'!$C:$BQ,22,0)</f>
        <v>#N/A</v>
      </c>
      <c r="AY114" s="115" t="e">
        <f>VLOOKUP($A114,'S49'!$C:$BQ,29,0)</f>
        <v>#N/A</v>
      </c>
      <c r="AZ114" s="115" t="e">
        <f>VLOOKUP($A114,'S49'!$C:$BQ,30,0)</f>
        <v>#N/A</v>
      </c>
      <c r="BA114" s="115" t="e">
        <f>VLOOKUP($A114,'S49'!$C:$BQ,52,0)</f>
        <v>#N/A</v>
      </c>
      <c r="BB114" s="115" t="e">
        <f>VLOOKUP($A114,'S49'!$C:$BQ,59,0)</f>
        <v>#N/A</v>
      </c>
      <c r="BC114" s="115" t="e">
        <f>VLOOKUP($A114,'S49'!$C:$BQ,60,0)</f>
        <v>#N/A</v>
      </c>
      <c r="BD114" s="107" t="e">
        <f>VLOOKUP($A114,'S50'!$C:$BQ,32,0)</f>
        <v>#N/A</v>
      </c>
      <c r="BE114" s="107" t="e">
        <f>VLOOKUP($A114,'S50'!$C:$BQ,39,0)</f>
        <v>#N/A</v>
      </c>
      <c r="BF114" s="107" t="e">
        <f>VLOOKUP($A114,'S50'!$C:$BQ,40,0)</f>
        <v>#N/A</v>
      </c>
      <c r="BG114" s="107" t="e">
        <f>VLOOKUP($A114,'S50'!$C:$BQ,22,0)</f>
        <v>#N/A</v>
      </c>
      <c r="BH114" s="115" t="e">
        <f>VLOOKUP($A114,'S50'!$C:$BQ,29,0)</f>
        <v>#N/A</v>
      </c>
      <c r="BI114" s="115" t="e">
        <f>VLOOKUP($A114,'S50'!$C:$BQ,30,0)</f>
        <v>#N/A</v>
      </c>
      <c r="BJ114" s="115" t="e">
        <f>VLOOKUP($A114,'S50'!$C:$BQ,52,0)</f>
        <v>#N/A</v>
      </c>
      <c r="BK114" s="115" t="e">
        <f>VLOOKUP($A114,'S50'!$C:$BQ,59,0)</f>
        <v>#N/A</v>
      </c>
      <c r="BL114" s="115" t="e">
        <f>VLOOKUP($A114,'S50'!$C:$BQ,60,0)</f>
        <v>#N/A</v>
      </c>
    </row>
    <row r="115" spans="1:64" x14ac:dyDescent="0.2">
      <c r="A115" s="106" t="s">
        <v>179</v>
      </c>
      <c r="B115" s="107">
        <f>VLOOKUP($A115,'S0 remplacer avec S44'!$C:$BQ,32,0)</f>
        <v>754.5</v>
      </c>
      <c r="C115" s="107">
        <f>VLOOKUP($A115,'S0 remplacer avec S44'!$C:$BQ,39,0)</f>
        <v>0</v>
      </c>
      <c r="D115" s="107">
        <f>VLOOKUP($A115,'S0 remplacer avec S44'!$C:$BQ,40,0)</f>
        <v>0</v>
      </c>
      <c r="E115" s="107">
        <f>VLOOKUP($A115,'S0 remplacer avec S44'!$C:$BQ,22,0)</f>
        <v>6556.3376449999996</v>
      </c>
      <c r="F115" s="115">
        <f>VLOOKUP($A115,'S0 remplacer avec S44'!$C:$BQ,29,0)</f>
        <v>0</v>
      </c>
      <c r="G115" s="115">
        <f>VLOOKUP($A115,'S0 remplacer avec S44'!$C:$BQ,30,0)</f>
        <v>124</v>
      </c>
      <c r="H115" s="115">
        <f>VLOOKUP($A115,'S0 remplacer avec S44'!$C:$BQ,52,0)</f>
        <v>471.2</v>
      </c>
      <c r="I115" s="115">
        <f>VLOOKUP($A115,'S0 remplacer avec S44'!$C:$BQ,59,0)</f>
        <v>0</v>
      </c>
      <c r="J115" s="115">
        <f>VLOOKUP($A115,'S0 remplacer avec S44'!$C:$BQ,60,0)</f>
        <v>0</v>
      </c>
      <c r="K115" s="107" t="e">
        <f>VLOOKUP($A115,'S45'!$C:$BQ,32,0)</f>
        <v>#N/A</v>
      </c>
      <c r="L115" s="107" t="e">
        <f>VLOOKUP($A115,'S45'!$C:$BQ,39,0)</f>
        <v>#N/A</v>
      </c>
      <c r="M115" s="107" t="e">
        <f>VLOOKUP($A115,'S45'!$C:$BQ,40,0)</f>
        <v>#N/A</v>
      </c>
      <c r="N115" s="107" t="e">
        <f>VLOOKUP($A115,'S45'!$C:$BQ,22,0)</f>
        <v>#N/A</v>
      </c>
      <c r="O115" s="115" t="e">
        <f>VLOOKUP($A115,'S45'!$C:$BQ,29,0)</f>
        <v>#N/A</v>
      </c>
      <c r="P115" s="115" t="e">
        <f>VLOOKUP($A115,'S45'!$C:$BQ,30,0)</f>
        <v>#N/A</v>
      </c>
      <c r="Q115" s="115" t="e">
        <f>VLOOKUP($A115,'S45'!$C:$BQ,52,0)</f>
        <v>#N/A</v>
      </c>
      <c r="R115" s="115" t="e">
        <f>VLOOKUP($A115,'S45'!$C:$BQ,59,0)</f>
        <v>#N/A</v>
      </c>
      <c r="S115" s="115" t="e">
        <f>VLOOKUP($A115,'S45'!$C:$BQ,60,0)</f>
        <v>#N/A</v>
      </c>
      <c r="T115" s="107" t="e">
        <f>VLOOKUP($A115,'S46'!$C:$BQ,32,0)</f>
        <v>#N/A</v>
      </c>
      <c r="U115" s="107" t="e">
        <f>VLOOKUP($A115,'S46'!$C:$BQ,39,0)</f>
        <v>#N/A</v>
      </c>
      <c r="V115" s="107" t="e">
        <f>VLOOKUP($A115,'S46'!$C:$BQ,40,0)</f>
        <v>#N/A</v>
      </c>
      <c r="W115" s="107" t="e">
        <f>VLOOKUP($A115,'S46'!$C:$BQ,22,0)</f>
        <v>#N/A</v>
      </c>
      <c r="X115" s="115" t="e">
        <f>VLOOKUP($A115,'S46'!$C:$BQ,29,0)</f>
        <v>#N/A</v>
      </c>
      <c r="Y115" s="115" t="e">
        <f>VLOOKUP($A115,'S46'!$C:$BQ,30,0)</f>
        <v>#N/A</v>
      </c>
      <c r="Z115" s="115" t="e">
        <f>VLOOKUP($A115,'S46'!$C:$BQ,52,0)</f>
        <v>#N/A</v>
      </c>
      <c r="AA115" s="115" t="e">
        <f>VLOOKUP($A115,'S46'!$C:$BQ,59,0)</f>
        <v>#N/A</v>
      </c>
      <c r="AB115" s="115" t="e">
        <f>VLOOKUP($A115,'S46'!$C:$BQ,60,0)</f>
        <v>#N/A</v>
      </c>
      <c r="AC115" s="107" t="e">
        <f>VLOOKUP($A115,'S47'!$C:$BQ,32,0)</f>
        <v>#N/A</v>
      </c>
      <c r="AD115" s="107" t="e">
        <f>VLOOKUP($A115,'S47'!$C:$BQ,39,0)</f>
        <v>#N/A</v>
      </c>
      <c r="AE115" s="107" t="e">
        <f>VLOOKUP($A115,'S47'!$C:$BQ,40,0)</f>
        <v>#N/A</v>
      </c>
      <c r="AF115" s="107" t="e">
        <f>VLOOKUP($A115,'S47'!$C:$BQ,22,0)</f>
        <v>#N/A</v>
      </c>
      <c r="AG115" s="115" t="e">
        <f>VLOOKUP($A115,'S47'!$C:$BQ,29,0)</f>
        <v>#N/A</v>
      </c>
      <c r="AH115" s="115" t="e">
        <f>VLOOKUP($A115,'S47'!$C:$BQ,30,0)</f>
        <v>#N/A</v>
      </c>
      <c r="AI115" s="115" t="e">
        <f>VLOOKUP($A115,'S47'!$C:$BQ,52,0)</f>
        <v>#N/A</v>
      </c>
      <c r="AJ115" s="115" t="e">
        <f>VLOOKUP($A115,'S47'!$C:$BQ,59,0)</f>
        <v>#N/A</v>
      </c>
      <c r="AK115" s="115" t="e">
        <f>VLOOKUP($A115,'S47'!$C:$BQ,60,0)</f>
        <v>#N/A</v>
      </c>
      <c r="AL115" s="107" t="e">
        <f>VLOOKUP($A115,'S48'!$C:$BQ,32,0)</f>
        <v>#N/A</v>
      </c>
      <c r="AM115" s="107" t="e">
        <f>VLOOKUP($A115,'S48'!$C:$BQ,39,0)</f>
        <v>#N/A</v>
      </c>
      <c r="AN115" s="107" t="e">
        <f>VLOOKUP($A115,'S48'!$C:$BQ,40,0)</f>
        <v>#N/A</v>
      </c>
      <c r="AO115" s="107" t="e">
        <f>VLOOKUP($A115,'S48'!$C:$BQ,22,0)</f>
        <v>#N/A</v>
      </c>
      <c r="AP115" s="115" t="e">
        <f>VLOOKUP($A115,'S48'!$C:$BQ,29,0)</f>
        <v>#N/A</v>
      </c>
      <c r="AQ115" s="115" t="e">
        <f>VLOOKUP($A115,'S48'!$C:$BQ,30,0)</f>
        <v>#N/A</v>
      </c>
      <c r="AR115" s="115" t="e">
        <f>VLOOKUP($A115,'S48'!$C:$BQ,52,0)</f>
        <v>#N/A</v>
      </c>
      <c r="AS115" s="115" t="e">
        <f>VLOOKUP($A115,'S48'!$C:$BQ,59,0)</f>
        <v>#N/A</v>
      </c>
      <c r="AT115" s="115" t="e">
        <f>VLOOKUP($A115,'S48'!$C:$BQ,60,0)</f>
        <v>#N/A</v>
      </c>
      <c r="AU115" s="107" t="e">
        <f>VLOOKUP($A115,'S49'!$C:$BQ,32,0)</f>
        <v>#N/A</v>
      </c>
      <c r="AV115" s="107" t="e">
        <f>VLOOKUP($A115,'S49'!$C:$BQ,39,0)</f>
        <v>#N/A</v>
      </c>
      <c r="AW115" s="107" t="e">
        <f>VLOOKUP($A115,'S49'!$C:$BQ,40,0)</f>
        <v>#N/A</v>
      </c>
      <c r="AX115" s="107" t="e">
        <f>VLOOKUP($A115,'S49'!$C:$BQ,22,0)</f>
        <v>#N/A</v>
      </c>
      <c r="AY115" s="115" t="e">
        <f>VLOOKUP($A115,'S49'!$C:$BQ,29,0)</f>
        <v>#N/A</v>
      </c>
      <c r="AZ115" s="115" t="e">
        <f>VLOOKUP($A115,'S49'!$C:$BQ,30,0)</f>
        <v>#N/A</v>
      </c>
      <c r="BA115" s="115" t="e">
        <f>VLOOKUP($A115,'S49'!$C:$BQ,52,0)</f>
        <v>#N/A</v>
      </c>
      <c r="BB115" s="115" t="e">
        <f>VLOOKUP($A115,'S49'!$C:$BQ,59,0)</f>
        <v>#N/A</v>
      </c>
      <c r="BC115" s="115" t="e">
        <f>VLOOKUP($A115,'S49'!$C:$BQ,60,0)</f>
        <v>#N/A</v>
      </c>
      <c r="BD115" s="107" t="e">
        <f>VLOOKUP($A115,'S50'!$C:$BQ,32,0)</f>
        <v>#N/A</v>
      </c>
      <c r="BE115" s="107" t="e">
        <f>VLOOKUP($A115,'S50'!$C:$BQ,39,0)</f>
        <v>#N/A</v>
      </c>
      <c r="BF115" s="107" t="e">
        <f>VLOOKUP($A115,'S50'!$C:$BQ,40,0)</f>
        <v>#N/A</v>
      </c>
      <c r="BG115" s="107" t="e">
        <f>VLOOKUP($A115,'S50'!$C:$BQ,22,0)</f>
        <v>#N/A</v>
      </c>
      <c r="BH115" s="115" t="e">
        <f>VLOOKUP($A115,'S50'!$C:$BQ,29,0)</f>
        <v>#N/A</v>
      </c>
      <c r="BI115" s="115" t="e">
        <f>VLOOKUP($A115,'S50'!$C:$BQ,30,0)</f>
        <v>#N/A</v>
      </c>
      <c r="BJ115" s="115" t="e">
        <f>VLOOKUP($A115,'S50'!$C:$BQ,52,0)</f>
        <v>#N/A</v>
      </c>
      <c r="BK115" s="115" t="e">
        <f>VLOOKUP($A115,'S50'!$C:$BQ,59,0)</f>
        <v>#N/A</v>
      </c>
      <c r="BL115" s="115" t="e">
        <f>VLOOKUP($A115,'S50'!$C:$BQ,60,0)</f>
        <v>#N/A</v>
      </c>
    </row>
    <row r="116" spans="1:64" x14ac:dyDescent="0.2">
      <c r="A116" s="106" t="s">
        <v>180</v>
      </c>
      <c r="B116" s="107">
        <f>VLOOKUP($A116,'S0 remplacer avec S44'!$C:$BQ,32,0)</f>
        <v>216.55</v>
      </c>
      <c r="C116" s="107">
        <f>VLOOKUP($A116,'S0 remplacer avec S44'!$C:$BQ,39,0)</f>
        <v>0</v>
      </c>
      <c r="D116" s="107">
        <f>VLOOKUP($A116,'S0 remplacer avec S44'!$C:$BQ,40,0)</f>
        <v>0</v>
      </c>
      <c r="E116" s="107">
        <f>VLOOKUP($A116,'S0 remplacer avec S44'!$C:$BQ,22,0)</f>
        <v>1901.1324199999999</v>
      </c>
      <c r="F116" s="115">
        <f>VLOOKUP($A116,'S0 remplacer avec S44'!$C:$BQ,29,0)</f>
        <v>0</v>
      </c>
      <c r="G116" s="115">
        <f>VLOOKUP($A116,'S0 remplacer avec S44'!$C:$BQ,30,0)</f>
        <v>0</v>
      </c>
      <c r="H116" s="115">
        <f>VLOOKUP($A116,'S0 remplacer avec S44'!$C:$BQ,52,0)</f>
        <v>146</v>
      </c>
      <c r="I116" s="115">
        <f>VLOOKUP($A116,'S0 remplacer avec S44'!$C:$BQ,59,0)</f>
        <v>0</v>
      </c>
      <c r="J116" s="115">
        <f>VLOOKUP($A116,'S0 remplacer avec S44'!$C:$BQ,60,0)</f>
        <v>0</v>
      </c>
      <c r="K116" s="107" t="e">
        <f>VLOOKUP($A116,'S45'!$C:$BQ,32,0)</f>
        <v>#N/A</v>
      </c>
      <c r="L116" s="107" t="e">
        <f>VLOOKUP($A116,'S45'!$C:$BQ,39,0)</f>
        <v>#N/A</v>
      </c>
      <c r="M116" s="107" t="e">
        <f>VLOOKUP($A116,'S45'!$C:$BQ,40,0)</f>
        <v>#N/A</v>
      </c>
      <c r="N116" s="107" t="e">
        <f>VLOOKUP($A116,'S45'!$C:$BQ,22,0)</f>
        <v>#N/A</v>
      </c>
      <c r="O116" s="115" t="e">
        <f>VLOOKUP($A116,'S45'!$C:$BQ,29,0)</f>
        <v>#N/A</v>
      </c>
      <c r="P116" s="115" t="e">
        <f>VLOOKUP($A116,'S45'!$C:$BQ,30,0)</f>
        <v>#N/A</v>
      </c>
      <c r="Q116" s="115" t="e">
        <f>VLOOKUP($A116,'S45'!$C:$BQ,52,0)</f>
        <v>#N/A</v>
      </c>
      <c r="R116" s="115" t="e">
        <f>VLOOKUP($A116,'S45'!$C:$BQ,59,0)</f>
        <v>#N/A</v>
      </c>
      <c r="S116" s="115" t="e">
        <f>VLOOKUP($A116,'S45'!$C:$BQ,60,0)</f>
        <v>#N/A</v>
      </c>
      <c r="T116" s="107" t="e">
        <f>VLOOKUP($A116,'S46'!$C:$BQ,32,0)</f>
        <v>#N/A</v>
      </c>
      <c r="U116" s="107" t="e">
        <f>VLOOKUP($A116,'S46'!$C:$BQ,39,0)</f>
        <v>#N/A</v>
      </c>
      <c r="V116" s="107" t="e">
        <f>VLOOKUP($A116,'S46'!$C:$BQ,40,0)</f>
        <v>#N/A</v>
      </c>
      <c r="W116" s="107" t="e">
        <f>VLOOKUP($A116,'S46'!$C:$BQ,22,0)</f>
        <v>#N/A</v>
      </c>
      <c r="X116" s="115" t="e">
        <f>VLOOKUP($A116,'S46'!$C:$BQ,29,0)</f>
        <v>#N/A</v>
      </c>
      <c r="Y116" s="115" t="e">
        <f>VLOOKUP($A116,'S46'!$C:$BQ,30,0)</f>
        <v>#N/A</v>
      </c>
      <c r="Z116" s="115" t="e">
        <f>VLOOKUP($A116,'S46'!$C:$BQ,52,0)</f>
        <v>#N/A</v>
      </c>
      <c r="AA116" s="115" t="e">
        <f>VLOOKUP($A116,'S46'!$C:$BQ,59,0)</f>
        <v>#N/A</v>
      </c>
      <c r="AB116" s="115" t="e">
        <f>VLOOKUP($A116,'S46'!$C:$BQ,60,0)</f>
        <v>#N/A</v>
      </c>
      <c r="AC116" s="107" t="e">
        <f>VLOOKUP($A116,'S47'!$C:$BQ,32,0)</f>
        <v>#N/A</v>
      </c>
      <c r="AD116" s="107" t="e">
        <f>VLOOKUP($A116,'S47'!$C:$BQ,39,0)</f>
        <v>#N/A</v>
      </c>
      <c r="AE116" s="107" t="e">
        <f>VLOOKUP($A116,'S47'!$C:$BQ,40,0)</f>
        <v>#N/A</v>
      </c>
      <c r="AF116" s="107" t="e">
        <f>VLOOKUP($A116,'S47'!$C:$BQ,22,0)</f>
        <v>#N/A</v>
      </c>
      <c r="AG116" s="115" t="e">
        <f>VLOOKUP($A116,'S47'!$C:$BQ,29,0)</f>
        <v>#N/A</v>
      </c>
      <c r="AH116" s="115" t="e">
        <f>VLOOKUP($A116,'S47'!$C:$BQ,30,0)</f>
        <v>#N/A</v>
      </c>
      <c r="AI116" s="115" t="e">
        <f>VLOOKUP($A116,'S47'!$C:$BQ,52,0)</f>
        <v>#N/A</v>
      </c>
      <c r="AJ116" s="115" t="e">
        <f>VLOOKUP($A116,'S47'!$C:$BQ,59,0)</f>
        <v>#N/A</v>
      </c>
      <c r="AK116" s="115" t="e">
        <f>VLOOKUP($A116,'S47'!$C:$BQ,60,0)</f>
        <v>#N/A</v>
      </c>
      <c r="AL116" s="107" t="e">
        <f>VLOOKUP($A116,'S48'!$C:$BQ,32,0)</f>
        <v>#N/A</v>
      </c>
      <c r="AM116" s="107" t="e">
        <f>VLOOKUP($A116,'S48'!$C:$BQ,39,0)</f>
        <v>#N/A</v>
      </c>
      <c r="AN116" s="107" t="e">
        <f>VLOOKUP($A116,'S48'!$C:$BQ,40,0)</f>
        <v>#N/A</v>
      </c>
      <c r="AO116" s="107" t="e">
        <f>VLOOKUP($A116,'S48'!$C:$BQ,22,0)</f>
        <v>#N/A</v>
      </c>
      <c r="AP116" s="115" t="e">
        <f>VLOOKUP($A116,'S48'!$C:$BQ,29,0)</f>
        <v>#N/A</v>
      </c>
      <c r="AQ116" s="115" t="e">
        <f>VLOOKUP($A116,'S48'!$C:$BQ,30,0)</f>
        <v>#N/A</v>
      </c>
      <c r="AR116" s="115" t="e">
        <f>VLOOKUP($A116,'S48'!$C:$BQ,52,0)</f>
        <v>#N/A</v>
      </c>
      <c r="AS116" s="115" t="e">
        <f>VLOOKUP($A116,'S48'!$C:$BQ,59,0)</f>
        <v>#N/A</v>
      </c>
      <c r="AT116" s="115" t="e">
        <f>VLOOKUP($A116,'S48'!$C:$BQ,60,0)</f>
        <v>#N/A</v>
      </c>
      <c r="AU116" s="107" t="e">
        <f>VLOOKUP($A116,'S49'!$C:$BQ,32,0)</f>
        <v>#N/A</v>
      </c>
      <c r="AV116" s="107" t="e">
        <f>VLOOKUP($A116,'S49'!$C:$BQ,39,0)</f>
        <v>#N/A</v>
      </c>
      <c r="AW116" s="107" t="e">
        <f>VLOOKUP($A116,'S49'!$C:$BQ,40,0)</f>
        <v>#N/A</v>
      </c>
      <c r="AX116" s="107" t="e">
        <f>VLOOKUP($A116,'S49'!$C:$BQ,22,0)</f>
        <v>#N/A</v>
      </c>
      <c r="AY116" s="115" t="e">
        <f>VLOOKUP($A116,'S49'!$C:$BQ,29,0)</f>
        <v>#N/A</v>
      </c>
      <c r="AZ116" s="115" t="e">
        <f>VLOOKUP($A116,'S49'!$C:$BQ,30,0)</f>
        <v>#N/A</v>
      </c>
      <c r="BA116" s="115" t="e">
        <f>VLOOKUP($A116,'S49'!$C:$BQ,52,0)</f>
        <v>#N/A</v>
      </c>
      <c r="BB116" s="115" t="e">
        <f>VLOOKUP($A116,'S49'!$C:$BQ,59,0)</f>
        <v>#N/A</v>
      </c>
      <c r="BC116" s="115" t="e">
        <f>VLOOKUP($A116,'S49'!$C:$BQ,60,0)</f>
        <v>#N/A</v>
      </c>
      <c r="BD116" s="107" t="e">
        <f>VLOOKUP($A116,'S50'!$C:$BQ,32,0)</f>
        <v>#N/A</v>
      </c>
      <c r="BE116" s="107" t="e">
        <f>VLOOKUP($A116,'S50'!$C:$BQ,39,0)</f>
        <v>#N/A</v>
      </c>
      <c r="BF116" s="107" t="e">
        <f>VLOOKUP($A116,'S50'!$C:$BQ,40,0)</f>
        <v>#N/A</v>
      </c>
      <c r="BG116" s="107" t="e">
        <f>VLOOKUP($A116,'S50'!$C:$BQ,22,0)</f>
        <v>#N/A</v>
      </c>
      <c r="BH116" s="115" t="e">
        <f>VLOOKUP($A116,'S50'!$C:$BQ,29,0)</f>
        <v>#N/A</v>
      </c>
      <c r="BI116" s="115" t="e">
        <f>VLOOKUP($A116,'S50'!$C:$BQ,30,0)</f>
        <v>#N/A</v>
      </c>
      <c r="BJ116" s="115" t="e">
        <f>VLOOKUP($A116,'S50'!$C:$BQ,52,0)</f>
        <v>#N/A</v>
      </c>
      <c r="BK116" s="115" t="e">
        <f>VLOOKUP($A116,'S50'!$C:$BQ,59,0)</f>
        <v>#N/A</v>
      </c>
      <c r="BL116" s="115" t="e">
        <f>VLOOKUP($A116,'S50'!$C:$BQ,60,0)</f>
        <v>#N/A</v>
      </c>
    </row>
    <row r="117" spans="1:64" x14ac:dyDescent="0.2">
      <c r="A117" s="106" t="s">
        <v>181</v>
      </c>
      <c r="B117" s="107">
        <f>VLOOKUP($A117,'S0 remplacer avec S44'!$C:$BQ,32,0)</f>
        <v>173.2</v>
      </c>
      <c r="C117" s="107">
        <f>VLOOKUP($A117,'S0 remplacer avec S44'!$C:$BQ,39,0)</f>
        <v>25</v>
      </c>
      <c r="D117" s="107">
        <f>VLOOKUP($A117,'S0 remplacer avec S44'!$C:$BQ,40,0)</f>
        <v>65</v>
      </c>
      <c r="E117" s="107">
        <f>VLOOKUP($A117,'S0 remplacer avec S44'!$C:$BQ,22,0)</f>
        <v>1545.049845</v>
      </c>
      <c r="F117" s="115">
        <f>VLOOKUP($A117,'S0 remplacer avec S44'!$C:$BQ,29,0)</f>
        <v>254</v>
      </c>
      <c r="G117" s="115">
        <f>VLOOKUP($A117,'S0 remplacer avec S44'!$C:$BQ,30,0)</f>
        <v>613</v>
      </c>
      <c r="H117" s="115">
        <f>VLOOKUP($A117,'S0 remplacer avec S44'!$C:$BQ,52,0)</f>
        <v>97.2</v>
      </c>
      <c r="I117" s="115">
        <f>VLOOKUP($A117,'S0 remplacer avec S44'!$C:$BQ,59,0)</f>
        <v>4</v>
      </c>
      <c r="J117" s="115">
        <f>VLOOKUP($A117,'S0 remplacer avec S44'!$C:$BQ,60,0)</f>
        <v>24</v>
      </c>
      <c r="K117" s="107" t="e">
        <f>VLOOKUP($A117,'S45'!$C:$BQ,32,0)</f>
        <v>#N/A</v>
      </c>
      <c r="L117" s="107" t="e">
        <f>VLOOKUP($A117,'S45'!$C:$BQ,39,0)</f>
        <v>#N/A</v>
      </c>
      <c r="M117" s="107" t="e">
        <f>VLOOKUP($A117,'S45'!$C:$BQ,40,0)</f>
        <v>#N/A</v>
      </c>
      <c r="N117" s="107" t="e">
        <f>VLOOKUP($A117,'S45'!$C:$BQ,22,0)</f>
        <v>#N/A</v>
      </c>
      <c r="O117" s="115" t="e">
        <f>VLOOKUP($A117,'S45'!$C:$BQ,29,0)</f>
        <v>#N/A</v>
      </c>
      <c r="P117" s="115" t="e">
        <f>VLOOKUP($A117,'S45'!$C:$BQ,30,0)</f>
        <v>#N/A</v>
      </c>
      <c r="Q117" s="115" t="e">
        <f>VLOOKUP($A117,'S45'!$C:$BQ,52,0)</f>
        <v>#N/A</v>
      </c>
      <c r="R117" s="115" t="e">
        <f>VLOOKUP($A117,'S45'!$C:$BQ,59,0)</f>
        <v>#N/A</v>
      </c>
      <c r="S117" s="115" t="e">
        <f>VLOOKUP($A117,'S45'!$C:$BQ,60,0)</f>
        <v>#N/A</v>
      </c>
      <c r="T117" s="107" t="e">
        <f>VLOOKUP($A117,'S46'!$C:$BQ,32,0)</f>
        <v>#N/A</v>
      </c>
      <c r="U117" s="107" t="e">
        <f>VLOOKUP($A117,'S46'!$C:$BQ,39,0)</f>
        <v>#N/A</v>
      </c>
      <c r="V117" s="107" t="e">
        <f>VLOOKUP($A117,'S46'!$C:$BQ,40,0)</f>
        <v>#N/A</v>
      </c>
      <c r="W117" s="107" t="e">
        <f>VLOOKUP($A117,'S46'!$C:$BQ,22,0)</f>
        <v>#N/A</v>
      </c>
      <c r="X117" s="115" t="e">
        <f>VLOOKUP($A117,'S46'!$C:$BQ,29,0)</f>
        <v>#N/A</v>
      </c>
      <c r="Y117" s="115" t="e">
        <f>VLOOKUP($A117,'S46'!$C:$BQ,30,0)</f>
        <v>#N/A</v>
      </c>
      <c r="Z117" s="115" t="e">
        <f>VLOOKUP($A117,'S46'!$C:$BQ,52,0)</f>
        <v>#N/A</v>
      </c>
      <c r="AA117" s="115" t="e">
        <f>VLOOKUP($A117,'S46'!$C:$BQ,59,0)</f>
        <v>#N/A</v>
      </c>
      <c r="AB117" s="115" t="e">
        <f>VLOOKUP($A117,'S46'!$C:$BQ,60,0)</f>
        <v>#N/A</v>
      </c>
      <c r="AC117" s="107" t="e">
        <f>VLOOKUP($A117,'S47'!$C:$BQ,32,0)</f>
        <v>#N/A</v>
      </c>
      <c r="AD117" s="107" t="e">
        <f>VLOOKUP($A117,'S47'!$C:$BQ,39,0)</f>
        <v>#N/A</v>
      </c>
      <c r="AE117" s="107" t="e">
        <f>VLOOKUP($A117,'S47'!$C:$BQ,40,0)</f>
        <v>#N/A</v>
      </c>
      <c r="AF117" s="107" t="e">
        <f>VLOOKUP($A117,'S47'!$C:$BQ,22,0)</f>
        <v>#N/A</v>
      </c>
      <c r="AG117" s="115" t="e">
        <f>VLOOKUP($A117,'S47'!$C:$BQ,29,0)</f>
        <v>#N/A</v>
      </c>
      <c r="AH117" s="115" t="e">
        <f>VLOOKUP($A117,'S47'!$C:$BQ,30,0)</f>
        <v>#N/A</v>
      </c>
      <c r="AI117" s="115" t="e">
        <f>VLOOKUP($A117,'S47'!$C:$BQ,52,0)</f>
        <v>#N/A</v>
      </c>
      <c r="AJ117" s="115" t="e">
        <f>VLOOKUP($A117,'S47'!$C:$BQ,59,0)</f>
        <v>#N/A</v>
      </c>
      <c r="AK117" s="115" t="e">
        <f>VLOOKUP($A117,'S47'!$C:$BQ,60,0)</f>
        <v>#N/A</v>
      </c>
      <c r="AL117" s="107" t="e">
        <f>VLOOKUP($A117,'S48'!$C:$BQ,32,0)</f>
        <v>#N/A</v>
      </c>
      <c r="AM117" s="107" t="e">
        <f>VLOOKUP($A117,'S48'!$C:$BQ,39,0)</f>
        <v>#N/A</v>
      </c>
      <c r="AN117" s="107" t="e">
        <f>VLOOKUP($A117,'S48'!$C:$BQ,40,0)</f>
        <v>#N/A</v>
      </c>
      <c r="AO117" s="107" t="e">
        <f>VLOOKUP($A117,'S48'!$C:$BQ,22,0)</f>
        <v>#N/A</v>
      </c>
      <c r="AP117" s="115" t="e">
        <f>VLOOKUP($A117,'S48'!$C:$BQ,29,0)</f>
        <v>#N/A</v>
      </c>
      <c r="AQ117" s="115" t="e">
        <f>VLOOKUP($A117,'S48'!$C:$BQ,30,0)</f>
        <v>#N/A</v>
      </c>
      <c r="AR117" s="115" t="e">
        <f>VLOOKUP($A117,'S48'!$C:$BQ,52,0)</f>
        <v>#N/A</v>
      </c>
      <c r="AS117" s="115" t="e">
        <f>VLOOKUP($A117,'S48'!$C:$BQ,59,0)</f>
        <v>#N/A</v>
      </c>
      <c r="AT117" s="115" t="e">
        <f>VLOOKUP($A117,'S48'!$C:$BQ,60,0)</f>
        <v>#N/A</v>
      </c>
      <c r="AU117" s="107" t="e">
        <f>VLOOKUP($A117,'S49'!$C:$BQ,32,0)</f>
        <v>#N/A</v>
      </c>
      <c r="AV117" s="107" t="e">
        <f>VLOOKUP($A117,'S49'!$C:$BQ,39,0)</f>
        <v>#N/A</v>
      </c>
      <c r="AW117" s="107" t="e">
        <f>VLOOKUP($A117,'S49'!$C:$BQ,40,0)</f>
        <v>#N/A</v>
      </c>
      <c r="AX117" s="107" t="e">
        <f>VLOOKUP($A117,'S49'!$C:$BQ,22,0)</f>
        <v>#N/A</v>
      </c>
      <c r="AY117" s="115" t="e">
        <f>VLOOKUP($A117,'S49'!$C:$BQ,29,0)</f>
        <v>#N/A</v>
      </c>
      <c r="AZ117" s="115" t="e">
        <f>VLOOKUP($A117,'S49'!$C:$BQ,30,0)</f>
        <v>#N/A</v>
      </c>
      <c r="BA117" s="115" t="e">
        <f>VLOOKUP($A117,'S49'!$C:$BQ,52,0)</f>
        <v>#N/A</v>
      </c>
      <c r="BB117" s="115" t="e">
        <f>VLOOKUP($A117,'S49'!$C:$BQ,59,0)</f>
        <v>#N/A</v>
      </c>
      <c r="BC117" s="115" t="e">
        <f>VLOOKUP($A117,'S49'!$C:$BQ,60,0)</f>
        <v>#N/A</v>
      </c>
      <c r="BD117" s="107" t="e">
        <f>VLOOKUP($A117,'S50'!$C:$BQ,32,0)</f>
        <v>#N/A</v>
      </c>
      <c r="BE117" s="107" t="e">
        <f>VLOOKUP($A117,'S50'!$C:$BQ,39,0)</f>
        <v>#N/A</v>
      </c>
      <c r="BF117" s="107" t="e">
        <f>VLOOKUP($A117,'S50'!$C:$BQ,40,0)</f>
        <v>#N/A</v>
      </c>
      <c r="BG117" s="107" t="e">
        <f>VLOOKUP($A117,'S50'!$C:$BQ,22,0)</f>
        <v>#N/A</v>
      </c>
      <c r="BH117" s="115" t="e">
        <f>VLOOKUP($A117,'S50'!$C:$BQ,29,0)</f>
        <v>#N/A</v>
      </c>
      <c r="BI117" s="115" t="e">
        <f>VLOOKUP($A117,'S50'!$C:$BQ,30,0)</f>
        <v>#N/A</v>
      </c>
      <c r="BJ117" s="115" t="e">
        <f>VLOOKUP($A117,'S50'!$C:$BQ,52,0)</f>
        <v>#N/A</v>
      </c>
      <c r="BK117" s="115" t="e">
        <f>VLOOKUP($A117,'S50'!$C:$BQ,59,0)</f>
        <v>#N/A</v>
      </c>
      <c r="BL117" s="115" t="e">
        <f>VLOOKUP($A117,'S50'!$C:$BQ,60,0)</f>
        <v>#N/A</v>
      </c>
    </row>
    <row r="118" spans="1:64" x14ac:dyDescent="0.2">
      <c r="A118" s="106" t="s">
        <v>182</v>
      </c>
      <c r="B118" s="107">
        <f>VLOOKUP($A118,'S0 remplacer avec S44'!$C:$BQ,32,0)</f>
        <v>260.39999999999998</v>
      </c>
      <c r="C118" s="107">
        <f>VLOOKUP($A118,'S0 remplacer avec S44'!$C:$BQ,39,0)</f>
        <v>0</v>
      </c>
      <c r="D118" s="107">
        <f>VLOOKUP($A118,'S0 remplacer avec S44'!$C:$BQ,40,0)</f>
        <v>0</v>
      </c>
      <c r="E118" s="107">
        <f>VLOOKUP($A118,'S0 remplacer avec S44'!$C:$BQ,22,0)</f>
        <v>2262.20127</v>
      </c>
      <c r="F118" s="115">
        <f>VLOOKUP($A118,'S0 remplacer avec S44'!$C:$BQ,29,0)</f>
        <v>0</v>
      </c>
      <c r="G118" s="115">
        <f>VLOOKUP($A118,'S0 remplacer avec S44'!$C:$BQ,30,0)</f>
        <v>0</v>
      </c>
      <c r="H118" s="115">
        <f>VLOOKUP($A118,'S0 remplacer avec S44'!$C:$BQ,52,0)</f>
        <v>188</v>
      </c>
      <c r="I118" s="115">
        <f>VLOOKUP($A118,'S0 remplacer avec S44'!$C:$BQ,59,0)</f>
        <v>0</v>
      </c>
      <c r="J118" s="115">
        <f>VLOOKUP($A118,'S0 remplacer avec S44'!$C:$BQ,60,0)</f>
        <v>0</v>
      </c>
      <c r="K118" s="107" t="e">
        <f>VLOOKUP($A118,'S45'!$C:$BQ,32,0)</f>
        <v>#N/A</v>
      </c>
      <c r="L118" s="107" t="e">
        <f>VLOOKUP($A118,'S45'!$C:$BQ,39,0)</f>
        <v>#N/A</v>
      </c>
      <c r="M118" s="107" t="e">
        <f>VLOOKUP($A118,'S45'!$C:$BQ,40,0)</f>
        <v>#N/A</v>
      </c>
      <c r="N118" s="107" t="e">
        <f>VLOOKUP($A118,'S45'!$C:$BQ,22,0)</f>
        <v>#N/A</v>
      </c>
      <c r="O118" s="115" t="e">
        <f>VLOOKUP($A118,'S45'!$C:$BQ,29,0)</f>
        <v>#N/A</v>
      </c>
      <c r="P118" s="115" t="e">
        <f>VLOOKUP($A118,'S45'!$C:$BQ,30,0)</f>
        <v>#N/A</v>
      </c>
      <c r="Q118" s="115" t="e">
        <f>VLOOKUP($A118,'S45'!$C:$BQ,52,0)</f>
        <v>#N/A</v>
      </c>
      <c r="R118" s="115" t="e">
        <f>VLOOKUP($A118,'S45'!$C:$BQ,59,0)</f>
        <v>#N/A</v>
      </c>
      <c r="S118" s="115" t="e">
        <f>VLOOKUP($A118,'S45'!$C:$BQ,60,0)</f>
        <v>#N/A</v>
      </c>
      <c r="T118" s="107" t="e">
        <f>VLOOKUP($A118,'S46'!$C:$BQ,32,0)</f>
        <v>#N/A</v>
      </c>
      <c r="U118" s="107" t="e">
        <f>VLOOKUP($A118,'S46'!$C:$BQ,39,0)</f>
        <v>#N/A</v>
      </c>
      <c r="V118" s="107" t="e">
        <f>VLOOKUP($A118,'S46'!$C:$BQ,40,0)</f>
        <v>#N/A</v>
      </c>
      <c r="W118" s="107" t="e">
        <f>VLOOKUP($A118,'S46'!$C:$BQ,22,0)</f>
        <v>#N/A</v>
      </c>
      <c r="X118" s="115" t="e">
        <f>VLOOKUP($A118,'S46'!$C:$BQ,29,0)</f>
        <v>#N/A</v>
      </c>
      <c r="Y118" s="115" t="e">
        <f>VLOOKUP($A118,'S46'!$C:$BQ,30,0)</f>
        <v>#N/A</v>
      </c>
      <c r="Z118" s="115" t="e">
        <f>VLOOKUP($A118,'S46'!$C:$BQ,52,0)</f>
        <v>#N/A</v>
      </c>
      <c r="AA118" s="115" t="e">
        <f>VLOOKUP($A118,'S46'!$C:$BQ,59,0)</f>
        <v>#N/A</v>
      </c>
      <c r="AB118" s="115" t="e">
        <f>VLOOKUP($A118,'S46'!$C:$BQ,60,0)</f>
        <v>#N/A</v>
      </c>
      <c r="AC118" s="107" t="e">
        <f>VLOOKUP($A118,'S47'!$C:$BQ,32,0)</f>
        <v>#N/A</v>
      </c>
      <c r="AD118" s="107" t="e">
        <f>VLOOKUP($A118,'S47'!$C:$BQ,39,0)</f>
        <v>#N/A</v>
      </c>
      <c r="AE118" s="107" t="e">
        <f>VLOOKUP($A118,'S47'!$C:$BQ,40,0)</f>
        <v>#N/A</v>
      </c>
      <c r="AF118" s="107" t="e">
        <f>VLOOKUP($A118,'S47'!$C:$BQ,22,0)</f>
        <v>#N/A</v>
      </c>
      <c r="AG118" s="115" t="e">
        <f>VLOOKUP($A118,'S47'!$C:$BQ,29,0)</f>
        <v>#N/A</v>
      </c>
      <c r="AH118" s="115" t="e">
        <f>VLOOKUP($A118,'S47'!$C:$BQ,30,0)</f>
        <v>#N/A</v>
      </c>
      <c r="AI118" s="115" t="e">
        <f>VLOOKUP($A118,'S47'!$C:$BQ,52,0)</f>
        <v>#N/A</v>
      </c>
      <c r="AJ118" s="115" t="e">
        <f>VLOOKUP($A118,'S47'!$C:$BQ,59,0)</f>
        <v>#N/A</v>
      </c>
      <c r="AK118" s="115" t="e">
        <f>VLOOKUP($A118,'S47'!$C:$BQ,60,0)</f>
        <v>#N/A</v>
      </c>
      <c r="AL118" s="107" t="e">
        <f>VLOOKUP($A118,'S48'!$C:$BQ,32,0)</f>
        <v>#N/A</v>
      </c>
      <c r="AM118" s="107" t="e">
        <f>VLOOKUP($A118,'S48'!$C:$BQ,39,0)</f>
        <v>#N/A</v>
      </c>
      <c r="AN118" s="107" t="e">
        <f>VLOOKUP($A118,'S48'!$C:$BQ,40,0)</f>
        <v>#N/A</v>
      </c>
      <c r="AO118" s="107" t="e">
        <f>VLOOKUP($A118,'S48'!$C:$BQ,22,0)</f>
        <v>#N/A</v>
      </c>
      <c r="AP118" s="115" t="e">
        <f>VLOOKUP($A118,'S48'!$C:$BQ,29,0)</f>
        <v>#N/A</v>
      </c>
      <c r="AQ118" s="115" t="e">
        <f>VLOOKUP($A118,'S48'!$C:$BQ,30,0)</f>
        <v>#N/A</v>
      </c>
      <c r="AR118" s="115" t="e">
        <f>VLOOKUP($A118,'S48'!$C:$BQ,52,0)</f>
        <v>#N/A</v>
      </c>
      <c r="AS118" s="115" t="e">
        <f>VLOOKUP($A118,'S48'!$C:$BQ,59,0)</f>
        <v>#N/A</v>
      </c>
      <c r="AT118" s="115" t="e">
        <f>VLOOKUP($A118,'S48'!$C:$BQ,60,0)</f>
        <v>#N/A</v>
      </c>
      <c r="AU118" s="107" t="e">
        <f>VLOOKUP($A118,'S49'!$C:$BQ,32,0)</f>
        <v>#N/A</v>
      </c>
      <c r="AV118" s="107" t="e">
        <f>VLOOKUP($A118,'S49'!$C:$BQ,39,0)</f>
        <v>#N/A</v>
      </c>
      <c r="AW118" s="107" t="e">
        <f>VLOOKUP($A118,'S49'!$C:$BQ,40,0)</f>
        <v>#N/A</v>
      </c>
      <c r="AX118" s="107" t="e">
        <f>VLOOKUP($A118,'S49'!$C:$BQ,22,0)</f>
        <v>#N/A</v>
      </c>
      <c r="AY118" s="115" t="e">
        <f>VLOOKUP($A118,'S49'!$C:$BQ,29,0)</f>
        <v>#N/A</v>
      </c>
      <c r="AZ118" s="115" t="e">
        <f>VLOOKUP($A118,'S49'!$C:$BQ,30,0)</f>
        <v>#N/A</v>
      </c>
      <c r="BA118" s="115" t="e">
        <f>VLOOKUP($A118,'S49'!$C:$BQ,52,0)</f>
        <v>#N/A</v>
      </c>
      <c r="BB118" s="115" t="e">
        <f>VLOOKUP($A118,'S49'!$C:$BQ,59,0)</f>
        <v>#N/A</v>
      </c>
      <c r="BC118" s="115" t="e">
        <f>VLOOKUP($A118,'S49'!$C:$BQ,60,0)</f>
        <v>#N/A</v>
      </c>
      <c r="BD118" s="107" t="e">
        <f>VLOOKUP($A118,'S50'!$C:$BQ,32,0)</f>
        <v>#N/A</v>
      </c>
      <c r="BE118" s="107" t="e">
        <f>VLOOKUP($A118,'S50'!$C:$BQ,39,0)</f>
        <v>#N/A</v>
      </c>
      <c r="BF118" s="107" t="e">
        <f>VLOOKUP($A118,'S50'!$C:$BQ,40,0)</f>
        <v>#N/A</v>
      </c>
      <c r="BG118" s="107" t="e">
        <f>VLOOKUP($A118,'S50'!$C:$BQ,22,0)</f>
        <v>#N/A</v>
      </c>
      <c r="BH118" s="115" t="e">
        <f>VLOOKUP($A118,'S50'!$C:$BQ,29,0)</f>
        <v>#N/A</v>
      </c>
      <c r="BI118" s="115" t="e">
        <f>VLOOKUP($A118,'S50'!$C:$BQ,30,0)</f>
        <v>#N/A</v>
      </c>
      <c r="BJ118" s="115" t="e">
        <f>VLOOKUP($A118,'S50'!$C:$BQ,52,0)</f>
        <v>#N/A</v>
      </c>
      <c r="BK118" s="115" t="e">
        <f>VLOOKUP($A118,'S50'!$C:$BQ,59,0)</f>
        <v>#N/A</v>
      </c>
      <c r="BL118" s="115" t="e">
        <f>VLOOKUP($A118,'S50'!$C:$BQ,60,0)</f>
        <v>#N/A</v>
      </c>
    </row>
    <row r="119" spans="1:64" x14ac:dyDescent="0.2">
      <c r="A119" s="106" t="s">
        <v>183</v>
      </c>
      <c r="B119" s="107">
        <f>VLOOKUP($A119,'S0 remplacer avec S44'!$C:$BQ,32,0)</f>
        <v>174.05</v>
      </c>
      <c r="C119" s="107">
        <f>VLOOKUP($A119,'S0 remplacer avec S44'!$C:$BQ,39,0)</f>
        <v>32</v>
      </c>
      <c r="D119" s="107">
        <f>VLOOKUP($A119,'S0 remplacer avec S44'!$C:$BQ,40,0)</f>
        <v>73</v>
      </c>
      <c r="E119" s="107">
        <f>VLOOKUP($A119,'S0 remplacer avec S44'!$C:$BQ,22,0)</f>
        <v>1683.9279300000001</v>
      </c>
      <c r="F119" s="115">
        <f>VLOOKUP($A119,'S0 remplacer avec S44'!$C:$BQ,29,0)</f>
        <v>184</v>
      </c>
      <c r="G119" s="115">
        <f>VLOOKUP($A119,'S0 remplacer avec S44'!$C:$BQ,30,0)</f>
        <v>558</v>
      </c>
      <c r="H119" s="115">
        <f>VLOOKUP($A119,'S0 remplacer avec S44'!$C:$BQ,52,0)</f>
        <v>123</v>
      </c>
      <c r="I119" s="115">
        <f>VLOOKUP($A119,'S0 remplacer avec S44'!$C:$BQ,59,0)</f>
        <v>0</v>
      </c>
      <c r="J119" s="115">
        <f>VLOOKUP($A119,'S0 remplacer avec S44'!$C:$BQ,60,0)</f>
        <v>3</v>
      </c>
      <c r="K119" s="107" t="e">
        <f>VLOOKUP($A119,'S45'!$C:$BQ,32,0)</f>
        <v>#N/A</v>
      </c>
      <c r="L119" s="107" t="e">
        <f>VLOOKUP($A119,'S45'!$C:$BQ,39,0)</f>
        <v>#N/A</v>
      </c>
      <c r="M119" s="107" t="e">
        <f>VLOOKUP($A119,'S45'!$C:$BQ,40,0)</f>
        <v>#N/A</v>
      </c>
      <c r="N119" s="107" t="e">
        <f>VLOOKUP($A119,'S45'!$C:$BQ,22,0)</f>
        <v>#N/A</v>
      </c>
      <c r="O119" s="115" t="e">
        <f>VLOOKUP($A119,'S45'!$C:$BQ,29,0)</f>
        <v>#N/A</v>
      </c>
      <c r="P119" s="115" t="e">
        <f>VLOOKUP($A119,'S45'!$C:$BQ,30,0)</f>
        <v>#N/A</v>
      </c>
      <c r="Q119" s="115" t="e">
        <f>VLOOKUP($A119,'S45'!$C:$BQ,52,0)</f>
        <v>#N/A</v>
      </c>
      <c r="R119" s="115" t="e">
        <f>VLOOKUP($A119,'S45'!$C:$BQ,59,0)</f>
        <v>#N/A</v>
      </c>
      <c r="S119" s="115" t="e">
        <f>VLOOKUP($A119,'S45'!$C:$BQ,60,0)</f>
        <v>#N/A</v>
      </c>
      <c r="T119" s="107" t="e">
        <f>VLOOKUP($A119,'S46'!$C:$BQ,32,0)</f>
        <v>#N/A</v>
      </c>
      <c r="U119" s="107" t="e">
        <f>VLOOKUP($A119,'S46'!$C:$BQ,39,0)</f>
        <v>#N/A</v>
      </c>
      <c r="V119" s="107" t="e">
        <f>VLOOKUP($A119,'S46'!$C:$BQ,40,0)</f>
        <v>#N/A</v>
      </c>
      <c r="W119" s="107" t="e">
        <f>VLOOKUP($A119,'S46'!$C:$BQ,22,0)</f>
        <v>#N/A</v>
      </c>
      <c r="X119" s="115" t="e">
        <f>VLOOKUP($A119,'S46'!$C:$BQ,29,0)</f>
        <v>#N/A</v>
      </c>
      <c r="Y119" s="115" t="e">
        <f>VLOOKUP($A119,'S46'!$C:$BQ,30,0)</f>
        <v>#N/A</v>
      </c>
      <c r="Z119" s="115" t="e">
        <f>VLOOKUP($A119,'S46'!$C:$BQ,52,0)</f>
        <v>#N/A</v>
      </c>
      <c r="AA119" s="115" t="e">
        <f>VLOOKUP($A119,'S46'!$C:$BQ,59,0)</f>
        <v>#N/A</v>
      </c>
      <c r="AB119" s="115" t="e">
        <f>VLOOKUP($A119,'S46'!$C:$BQ,60,0)</f>
        <v>#N/A</v>
      </c>
      <c r="AC119" s="107" t="e">
        <f>VLOOKUP($A119,'S47'!$C:$BQ,32,0)</f>
        <v>#N/A</v>
      </c>
      <c r="AD119" s="107" t="e">
        <f>VLOOKUP($A119,'S47'!$C:$BQ,39,0)</f>
        <v>#N/A</v>
      </c>
      <c r="AE119" s="107" t="e">
        <f>VLOOKUP($A119,'S47'!$C:$BQ,40,0)</f>
        <v>#N/A</v>
      </c>
      <c r="AF119" s="107" t="e">
        <f>VLOOKUP($A119,'S47'!$C:$BQ,22,0)</f>
        <v>#N/A</v>
      </c>
      <c r="AG119" s="115" t="e">
        <f>VLOOKUP($A119,'S47'!$C:$BQ,29,0)</f>
        <v>#N/A</v>
      </c>
      <c r="AH119" s="115" t="e">
        <f>VLOOKUP($A119,'S47'!$C:$BQ,30,0)</f>
        <v>#N/A</v>
      </c>
      <c r="AI119" s="115" t="e">
        <f>VLOOKUP($A119,'S47'!$C:$BQ,52,0)</f>
        <v>#N/A</v>
      </c>
      <c r="AJ119" s="115" t="e">
        <f>VLOOKUP($A119,'S47'!$C:$BQ,59,0)</f>
        <v>#N/A</v>
      </c>
      <c r="AK119" s="115" t="e">
        <f>VLOOKUP($A119,'S47'!$C:$BQ,60,0)</f>
        <v>#N/A</v>
      </c>
      <c r="AL119" s="107" t="e">
        <f>VLOOKUP($A119,'S48'!$C:$BQ,32,0)</f>
        <v>#N/A</v>
      </c>
      <c r="AM119" s="107" t="e">
        <f>VLOOKUP($A119,'S48'!$C:$BQ,39,0)</f>
        <v>#N/A</v>
      </c>
      <c r="AN119" s="107" t="e">
        <f>VLOOKUP($A119,'S48'!$C:$BQ,40,0)</f>
        <v>#N/A</v>
      </c>
      <c r="AO119" s="107" t="e">
        <f>VLOOKUP($A119,'S48'!$C:$BQ,22,0)</f>
        <v>#N/A</v>
      </c>
      <c r="AP119" s="115" t="e">
        <f>VLOOKUP($A119,'S48'!$C:$BQ,29,0)</f>
        <v>#N/A</v>
      </c>
      <c r="AQ119" s="115" t="e">
        <f>VLOOKUP($A119,'S48'!$C:$BQ,30,0)</f>
        <v>#N/A</v>
      </c>
      <c r="AR119" s="115" t="e">
        <f>VLOOKUP($A119,'S48'!$C:$BQ,52,0)</f>
        <v>#N/A</v>
      </c>
      <c r="AS119" s="115" t="e">
        <f>VLOOKUP($A119,'S48'!$C:$BQ,59,0)</f>
        <v>#N/A</v>
      </c>
      <c r="AT119" s="115" t="e">
        <f>VLOOKUP($A119,'S48'!$C:$BQ,60,0)</f>
        <v>#N/A</v>
      </c>
      <c r="AU119" s="107" t="e">
        <f>VLOOKUP($A119,'S49'!$C:$BQ,32,0)</f>
        <v>#N/A</v>
      </c>
      <c r="AV119" s="107" t="e">
        <f>VLOOKUP($A119,'S49'!$C:$BQ,39,0)</f>
        <v>#N/A</v>
      </c>
      <c r="AW119" s="107" t="e">
        <f>VLOOKUP($A119,'S49'!$C:$BQ,40,0)</f>
        <v>#N/A</v>
      </c>
      <c r="AX119" s="107" t="e">
        <f>VLOOKUP($A119,'S49'!$C:$BQ,22,0)</f>
        <v>#N/A</v>
      </c>
      <c r="AY119" s="115" t="e">
        <f>VLOOKUP($A119,'S49'!$C:$BQ,29,0)</f>
        <v>#N/A</v>
      </c>
      <c r="AZ119" s="115" t="e">
        <f>VLOOKUP($A119,'S49'!$C:$BQ,30,0)</f>
        <v>#N/A</v>
      </c>
      <c r="BA119" s="115" t="e">
        <f>VLOOKUP($A119,'S49'!$C:$BQ,52,0)</f>
        <v>#N/A</v>
      </c>
      <c r="BB119" s="115" t="e">
        <f>VLOOKUP($A119,'S49'!$C:$BQ,59,0)</f>
        <v>#N/A</v>
      </c>
      <c r="BC119" s="115" t="e">
        <f>VLOOKUP($A119,'S49'!$C:$BQ,60,0)</f>
        <v>#N/A</v>
      </c>
      <c r="BD119" s="107" t="e">
        <f>VLOOKUP($A119,'S50'!$C:$BQ,32,0)</f>
        <v>#N/A</v>
      </c>
      <c r="BE119" s="107" t="e">
        <f>VLOOKUP($A119,'S50'!$C:$BQ,39,0)</f>
        <v>#N/A</v>
      </c>
      <c r="BF119" s="107" t="e">
        <f>VLOOKUP($A119,'S50'!$C:$BQ,40,0)</f>
        <v>#N/A</v>
      </c>
      <c r="BG119" s="107" t="e">
        <f>VLOOKUP($A119,'S50'!$C:$BQ,22,0)</f>
        <v>#N/A</v>
      </c>
      <c r="BH119" s="115" t="e">
        <f>VLOOKUP($A119,'S50'!$C:$BQ,29,0)</f>
        <v>#N/A</v>
      </c>
      <c r="BI119" s="115" t="e">
        <f>VLOOKUP($A119,'S50'!$C:$BQ,30,0)</f>
        <v>#N/A</v>
      </c>
      <c r="BJ119" s="115" t="e">
        <f>VLOOKUP($A119,'S50'!$C:$BQ,52,0)</f>
        <v>#N/A</v>
      </c>
      <c r="BK119" s="115" t="e">
        <f>VLOOKUP($A119,'S50'!$C:$BQ,59,0)</f>
        <v>#N/A</v>
      </c>
      <c r="BL119" s="115" t="e">
        <f>VLOOKUP($A119,'S50'!$C:$BQ,60,0)</f>
        <v>#N/A</v>
      </c>
    </row>
    <row r="120" spans="1:64" x14ac:dyDescent="0.2">
      <c r="A120" s="106" t="s">
        <v>184</v>
      </c>
      <c r="B120" s="107">
        <f>VLOOKUP($A120,'S0 remplacer avec S44'!$C:$BQ,32,0)</f>
        <v>144.25</v>
      </c>
      <c r="C120" s="107">
        <f>VLOOKUP($A120,'S0 remplacer avec S44'!$C:$BQ,39,0)</f>
        <v>12</v>
      </c>
      <c r="D120" s="107">
        <f>VLOOKUP($A120,'S0 remplacer avec S44'!$C:$BQ,40,0)</f>
        <v>43</v>
      </c>
      <c r="E120" s="107">
        <f>VLOOKUP($A120,'S0 remplacer avec S44'!$C:$BQ,22,0)</f>
        <v>1020.59763</v>
      </c>
      <c r="F120" s="115">
        <f>VLOOKUP($A120,'S0 remplacer avec S44'!$C:$BQ,29,0)</f>
        <v>399</v>
      </c>
      <c r="G120" s="115">
        <f>VLOOKUP($A120,'S0 remplacer avec S44'!$C:$BQ,30,0)</f>
        <v>683</v>
      </c>
      <c r="H120" s="115">
        <f>VLOOKUP($A120,'S0 remplacer avec S44'!$C:$BQ,52,0)</f>
        <v>78.2</v>
      </c>
      <c r="I120" s="115">
        <f>VLOOKUP($A120,'S0 remplacer avec S44'!$C:$BQ,59,0)</f>
        <v>2</v>
      </c>
      <c r="J120" s="115">
        <f>VLOOKUP($A120,'S0 remplacer avec S44'!$C:$BQ,60,0)</f>
        <v>17</v>
      </c>
      <c r="K120" s="107" t="e">
        <f>VLOOKUP($A120,'S45'!$C:$BQ,32,0)</f>
        <v>#N/A</v>
      </c>
      <c r="L120" s="107" t="e">
        <f>VLOOKUP($A120,'S45'!$C:$BQ,39,0)</f>
        <v>#N/A</v>
      </c>
      <c r="M120" s="107" t="e">
        <f>VLOOKUP($A120,'S45'!$C:$BQ,40,0)</f>
        <v>#N/A</v>
      </c>
      <c r="N120" s="107" t="e">
        <f>VLOOKUP($A120,'S45'!$C:$BQ,22,0)</f>
        <v>#N/A</v>
      </c>
      <c r="O120" s="115" t="e">
        <f>VLOOKUP($A120,'S45'!$C:$BQ,29,0)</f>
        <v>#N/A</v>
      </c>
      <c r="P120" s="115" t="e">
        <f>VLOOKUP($A120,'S45'!$C:$BQ,30,0)</f>
        <v>#N/A</v>
      </c>
      <c r="Q120" s="115" t="e">
        <f>VLOOKUP($A120,'S45'!$C:$BQ,52,0)</f>
        <v>#N/A</v>
      </c>
      <c r="R120" s="115" t="e">
        <f>VLOOKUP($A120,'S45'!$C:$BQ,59,0)</f>
        <v>#N/A</v>
      </c>
      <c r="S120" s="115" t="e">
        <f>VLOOKUP($A120,'S45'!$C:$BQ,60,0)</f>
        <v>#N/A</v>
      </c>
      <c r="T120" s="107" t="e">
        <f>VLOOKUP($A120,'S46'!$C:$BQ,32,0)</f>
        <v>#N/A</v>
      </c>
      <c r="U120" s="107" t="e">
        <f>VLOOKUP($A120,'S46'!$C:$BQ,39,0)</f>
        <v>#N/A</v>
      </c>
      <c r="V120" s="107" t="e">
        <f>VLOOKUP($A120,'S46'!$C:$BQ,40,0)</f>
        <v>#N/A</v>
      </c>
      <c r="W120" s="107" t="e">
        <f>VLOOKUP($A120,'S46'!$C:$BQ,22,0)</f>
        <v>#N/A</v>
      </c>
      <c r="X120" s="115" t="e">
        <f>VLOOKUP($A120,'S46'!$C:$BQ,29,0)</f>
        <v>#N/A</v>
      </c>
      <c r="Y120" s="115" t="e">
        <f>VLOOKUP($A120,'S46'!$C:$BQ,30,0)</f>
        <v>#N/A</v>
      </c>
      <c r="Z120" s="115" t="e">
        <f>VLOOKUP($A120,'S46'!$C:$BQ,52,0)</f>
        <v>#N/A</v>
      </c>
      <c r="AA120" s="115" t="e">
        <f>VLOOKUP($A120,'S46'!$C:$BQ,59,0)</f>
        <v>#N/A</v>
      </c>
      <c r="AB120" s="115" t="e">
        <f>VLOOKUP($A120,'S46'!$C:$BQ,60,0)</f>
        <v>#N/A</v>
      </c>
      <c r="AC120" s="107" t="e">
        <f>VLOOKUP($A120,'S47'!$C:$BQ,32,0)</f>
        <v>#N/A</v>
      </c>
      <c r="AD120" s="107" t="e">
        <f>VLOOKUP($A120,'S47'!$C:$BQ,39,0)</f>
        <v>#N/A</v>
      </c>
      <c r="AE120" s="107" t="e">
        <f>VLOOKUP($A120,'S47'!$C:$BQ,40,0)</f>
        <v>#N/A</v>
      </c>
      <c r="AF120" s="107" t="e">
        <f>VLOOKUP($A120,'S47'!$C:$BQ,22,0)</f>
        <v>#N/A</v>
      </c>
      <c r="AG120" s="115" t="e">
        <f>VLOOKUP($A120,'S47'!$C:$BQ,29,0)</f>
        <v>#N/A</v>
      </c>
      <c r="AH120" s="115" t="e">
        <f>VLOOKUP($A120,'S47'!$C:$BQ,30,0)</f>
        <v>#N/A</v>
      </c>
      <c r="AI120" s="115" t="e">
        <f>VLOOKUP($A120,'S47'!$C:$BQ,52,0)</f>
        <v>#N/A</v>
      </c>
      <c r="AJ120" s="115" t="e">
        <f>VLOOKUP($A120,'S47'!$C:$BQ,59,0)</f>
        <v>#N/A</v>
      </c>
      <c r="AK120" s="115" t="e">
        <f>VLOOKUP($A120,'S47'!$C:$BQ,60,0)</f>
        <v>#N/A</v>
      </c>
      <c r="AL120" s="107" t="e">
        <f>VLOOKUP($A120,'S48'!$C:$BQ,32,0)</f>
        <v>#N/A</v>
      </c>
      <c r="AM120" s="107" t="e">
        <f>VLOOKUP($A120,'S48'!$C:$BQ,39,0)</f>
        <v>#N/A</v>
      </c>
      <c r="AN120" s="107" t="e">
        <f>VLOOKUP($A120,'S48'!$C:$BQ,40,0)</f>
        <v>#N/A</v>
      </c>
      <c r="AO120" s="107" t="e">
        <f>VLOOKUP($A120,'S48'!$C:$BQ,22,0)</f>
        <v>#N/A</v>
      </c>
      <c r="AP120" s="115" t="e">
        <f>VLOOKUP($A120,'S48'!$C:$BQ,29,0)</f>
        <v>#N/A</v>
      </c>
      <c r="AQ120" s="115" t="e">
        <f>VLOOKUP($A120,'S48'!$C:$BQ,30,0)</f>
        <v>#N/A</v>
      </c>
      <c r="AR120" s="115" t="e">
        <f>VLOOKUP($A120,'S48'!$C:$BQ,52,0)</f>
        <v>#N/A</v>
      </c>
      <c r="AS120" s="115" t="e">
        <f>VLOOKUP($A120,'S48'!$C:$BQ,59,0)</f>
        <v>#N/A</v>
      </c>
      <c r="AT120" s="115" t="e">
        <f>VLOOKUP($A120,'S48'!$C:$BQ,60,0)</f>
        <v>#N/A</v>
      </c>
      <c r="AU120" s="107" t="e">
        <f>VLOOKUP($A120,'S49'!$C:$BQ,32,0)</f>
        <v>#N/A</v>
      </c>
      <c r="AV120" s="107" t="e">
        <f>VLOOKUP($A120,'S49'!$C:$BQ,39,0)</f>
        <v>#N/A</v>
      </c>
      <c r="AW120" s="107" t="e">
        <f>VLOOKUP($A120,'S49'!$C:$BQ,40,0)</f>
        <v>#N/A</v>
      </c>
      <c r="AX120" s="107" t="e">
        <f>VLOOKUP($A120,'S49'!$C:$BQ,22,0)</f>
        <v>#N/A</v>
      </c>
      <c r="AY120" s="115" t="e">
        <f>VLOOKUP($A120,'S49'!$C:$BQ,29,0)</f>
        <v>#N/A</v>
      </c>
      <c r="AZ120" s="115" t="e">
        <f>VLOOKUP($A120,'S49'!$C:$BQ,30,0)</f>
        <v>#N/A</v>
      </c>
      <c r="BA120" s="115" t="e">
        <f>VLOOKUP($A120,'S49'!$C:$BQ,52,0)</f>
        <v>#N/A</v>
      </c>
      <c r="BB120" s="115" t="e">
        <f>VLOOKUP($A120,'S49'!$C:$BQ,59,0)</f>
        <v>#N/A</v>
      </c>
      <c r="BC120" s="115" t="e">
        <f>VLOOKUP($A120,'S49'!$C:$BQ,60,0)</f>
        <v>#N/A</v>
      </c>
      <c r="BD120" s="107" t="e">
        <f>VLOOKUP($A120,'S50'!$C:$BQ,32,0)</f>
        <v>#N/A</v>
      </c>
      <c r="BE120" s="107" t="e">
        <f>VLOOKUP($A120,'S50'!$C:$BQ,39,0)</f>
        <v>#N/A</v>
      </c>
      <c r="BF120" s="107" t="e">
        <f>VLOOKUP($A120,'S50'!$C:$BQ,40,0)</f>
        <v>#N/A</v>
      </c>
      <c r="BG120" s="107" t="e">
        <f>VLOOKUP($A120,'S50'!$C:$BQ,22,0)</f>
        <v>#N/A</v>
      </c>
      <c r="BH120" s="115" t="e">
        <f>VLOOKUP($A120,'S50'!$C:$BQ,29,0)</f>
        <v>#N/A</v>
      </c>
      <c r="BI120" s="115" t="e">
        <f>VLOOKUP($A120,'S50'!$C:$BQ,30,0)</f>
        <v>#N/A</v>
      </c>
      <c r="BJ120" s="115" t="e">
        <f>VLOOKUP($A120,'S50'!$C:$BQ,52,0)</f>
        <v>#N/A</v>
      </c>
      <c r="BK120" s="115" t="e">
        <f>VLOOKUP($A120,'S50'!$C:$BQ,59,0)</f>
        <v>#N/A</v>
      </c>
      <c r="BL120" s="115" t="e">
        <f>VLOOKUP($A120,'S50'!$C:$BQ,60,0)</f>
        <v>#N/A</v>
      </c>
    </row>
    <row r="121" spans="1:64" x14ac:dyDescent="0.2">
      <c r="A121" s="106" t="s">
        <v>185</v>
      </c>
      <c r="B121" s="107">
        <f>VLOOKUP($A121,'S0 remplacer avec S44'!$C:$BQ,32,0)</f>
        <v>223.4</v>
      </c>
      <c r="C121" s="107">
        <f>VLOOKUP($A121,'S0 remplacer avec S44'!$C:$BQ,39,0)</f>
        <v>186</v>
      </c>
      <c r="D121" s="107">
        <f>VLOOKUP($A121,'S0 remplacer avec S44'!$C:$BQ,40,0)</f>
        <v>268</v>
      </c>
      <c r="E121" s="107">
        <f>VLOOKUP($A121,'S0 remplacer avec S44'!$C:$BQ,22,0)</f>
        <v>3602.3435650000001</v>
      </c>
      <c r="F121" s="115">
        <f>VLOOKUP($A121,'S0 remplacer avec S44'!$C:$BQ,29,0)</f>
        <v>118</v>
      </c>
      <c r="G121" s="115">
        <f>VLOOKUP($A121,'S0 remplacer avec S44'!$C:$BQ,30,0)</f>
        <v>862</v>
      </c>
      <c r="H121" s="115">
        <f>VLOOKUP($A121,'S0 remplacer avec S44'!$C:$BQ,52,0)</f>
        <v>202.6</v>
      </c>
      <c r="I121" s="115">
        <f>VLOOKUP($A121,'S0 remplacer avec S44'!$C:$BQ,59,0)</f>
        <v>6</v>
      </c>
      <c r="J121" s="115">
        <f>VLOOKUP($A121,'S0 remplacer avec S44'!$C:$BQ,60,0)</f>
        <v>47</v>
      </c>
      <c r="K121" s="107" t="e">
        <f>VLOOKUP($A121,'S45'!$C:$BQ,32,0)</f>
        <v>#N/A</v>
      </c>
      <c r="L121" s="107" t="e">
        <f>VLOOKUP($A121,'S45'!$C:$BQ,39,0)</f>
        <v>#N/A</v>
      </c>
      <c r="M121" s="107" t="e">
        <f>VLOOKUP($A121,'S45'!$C:$BQ,40,0)</f>
        <v>#N/A</v>
      </c>
      <c r="N121" s="107" t="e">
        <f>VLOOKUP($A121,'S45'!$C:$BQ,22,0)</f>
        <v>#N/A</v>
      </c>
      <c r="O121" s="115" t="e">
        <f>VLOOKUP($A121,'S45'!$C:$BQ,29,0)</f>
        <v>#N/A</v>
      </c>
      <c r="P121" s="115" t="e">
        <f>VLOOKUP($A121,'S45'!$C:$BQ,30,0)</f>
        <v>#N/A</v>
      </c>
      <c r="Q121" s="115" t="e">
        <f>VLOOKUP($A121,'S45'!$C:$BQ,52,0)</f>
        <v>#N/A</v>
      </c>
      <c r="R121" s="115" t="e">
        <f>VLOOKUP($A121,'S45'!$C:$BQ,59,0)</f>
        <v>#N/A</v>
      </c>
      <c r="S121" s="115" t="e">
        <f>VLOOKUP($A121,'S45'!$C:$BQ,60,0)</f>
        <v>#N/A</v>
      </c>
      <c r="T121" s="107" t="e">
        <f>VLOOKUP($A121,'S46'!$C:$BQ,32,0)</f>
        <v>#N/A</v>
      </c>
      <c r="U121" s="107" t="e">
        <f>VLOOKUP($A121,'S46'!$C:$BQ,39,0)</f>
        <v>#N/A</v>
      </c>
      <c r="V121" s="107" t="e">
        <f>VLOOKUP($A121,'S46'!$C:$BQ,40,0)</f>
        <v>#N/A</v>
      </c>
      <c r="W121" s="107" t="e">
        <f>VLOOKUP($A121,'S46'!$C:$BQ,22,0)</f>
        <v>#N/A</v>
      </c>
      <c r="X121" s="115" t="e">
        <f>VLOOKUP($A121,'S46'!$C:$BQ,29,0)</f>
        <v>#N/A</v>
      </c>
      <c r="Y121" s="115" t="e">
        <f>VLOOKUP($A121,'S46'!$C:$BQ,30,0)</f>
        <v>#N/A</v>
      </c>
      <c r="Z121" s="115" t="e">
        <f>VLOOKUP($A121,'S46'!$C:$BQ,52,0)</f>
        <v>#N/A</v>
      </c>
      <c r="AA121" s="115" t="e">
        <f>VLOOKUP($A121,'S46'!$C:$BQ,59,0)</f>
        <v>#N/A</v>
      </c>
      <c r="AB121" s="115" t="e">
        <f>VLOOKUP($A121,'S46'!$C:$BQ,60,0)</f>
        <v>#N/A</v>
      </c>
      <c r="AC121" s="107" t="e">
        <f>VLOOKUP($A121,'S47'!$C:$BQ,32,0)</f>
        <v>#N/A</v>
      </c>
      <c r="AD121" s="107" t="e">
        <f>VLOOKUP($A121,'S47'!$C:$BQ,39,0)</f>
        <v>#N/A</v>
      </c>
      <c r="AE121" s="107" t="e">
        <f>VLOOKUP($A121,'S47'!$C:$BQ,40,0)</f>
        <v>#N/A</v>
      </c>
      <c r="AF121" s="107" t="e">
        <f>VLOOKUP($A121,'S47'!$C:$BQ,22,0)</f>
        <v>#N/A</v>
      </c>
      <c r="AG121" s="115" t="e">
        <f>VLOOKUP($A121,'S47'!$C:$BQ,29,0)</f>
        <v>#N/A</v>
      </c>
      <c r="AH121" s="115" t="e">
        <f>VLOOKUP($A121,'S47'!$C:$BQ,30,0)</f>
        <v>#N/A</v>
      </c>
      <c r="AI121" s="115" t="e">
        <f>VLOOKUP($A121,'S47'!$C:$BQ,52,0)</f>
        <v>#N/A</v>
      </c>
      <c r="AJ121" s="115" t="e">
        <f>VLOOKUP($A121,'S47'!$C:$BQ,59,0)</f>
        <v>#N/A</v>
      </c>
      <c r="AK121" s="115" t="e">
        <f>VLOOKUP($A121,'S47'!$C:$BQ,60,0)</f>
        <v>#N/A</v>
      </c>
      <c r="AL121" s="107" t="e">
        <f>VLOOKUP($A121,'S48'!$C:$BQ,32,0)</f>
        <v>#N/A</v>
      </c>
      <c r="AM121" s="107" t="e">
        <f>VLOOKUP($A121,'S48'!$C:$BQ,39,0)</f>
        <v>#N/A</v>
      </c>
      <c r="AN121" s="107" t="e">
        <f>VLOOKUP($A121,'S48'!$C:$BQ,40,0)</f>
        <v>#N/A</v>
      </c>
      <c r="AO121" s="107" t="e">
        <f>VLOOKUP($A121,'S48'!$C:$BQ,22,0)</f>
        <v>#N/A</v>
      </c>
      <c r="AP121" s="115" t="e">
        <f>VLOOKUP($A121,'S48'!$C:$BQ,29,0)</f>
        <v>#N/A</v>
      </c>
      <c r="AQ121" s="115" t="e">
        <f>VLOOKUP($A121,'S48'!$C:$BQ,30,0)</f>
        <v>#N/A</v>
      </c>
      <c r="AR121" s="115" t="e">
        <f>VLOOKUP($A121,'S48'!$C:$BQ,52,0)</f>
        <v>#N/A</v>
      </c>
      <c r="AS121" s="115" t="e">
        <f>VLOOKUP($A121,'S48'!$C:$BQ,59,0)</f>
        <v>#N/A</v>
      </c>
      <c r="AT121" s="115" t="e">
        <f>VLOOKUP($A121,'S48'!$C:$BQ,60,0)</f>
        <v>#N/A</v>
      </c>
      <c r="AU121" s="107" t="e">
        <f>VLOOKUP($A121,'S49'!$C:$BQ,32,0)</f>
        <v>#N/A</v>
      </c>
      <c r="AV121" s="107" t="e">
        <f>VLOOKUP($A121,'S49'!$C:$BQ,39,0)</f>
        <v>#N/A</v>
      </c>
      <c r="AW121" s="107" t="e">
        <f>VLOOKUP($A121,'S49'!$C:$BQ,40,0)</f>
        <v>#N/A</v>
      </c>
      <c r="AX121" s="107" t="e">
        <f>VLOOKUP($A121,'S49'!$C:$BQ,22,0)</f>
        <v>#N/A</v>
      </c>
      <c r="AY121" s="115" t="e">
        <f>VLOOKUP($A121,'S49'!$C:$BQ,29,0)</f>
        <v>#N/A</v>
      </c>
      <c r="AZ121" s="115" t="e">
        <f>VLOOKUP($A121,'S49'!$C:$BQ,30,0)</f>
        <v>#N/A</v>
      </c>
      <c r="BA121" s="115" t="e">
        <f>VLOOKUP($A121,'S49'!$C:$BQ,52,0)</f>
        <v>#N/A</v>
      </c>
      <c r="BB121" s="115" t="e">
        <f>VLOOKUP($A121,'S49'!$C:$BQ,59,0)</f>
        <v>#N/A</v>
      </c>
      <c r="BC121" s="115" t="e">
        <f>VLOOKUP($A121,'S49'!$C:$BQ,60,0)</f>
        <v>#N/A</v>
      </c>
      <c r="BD121" s="107" t="e">
        <f>VLOOKUP($A121,'S50'!$C:$BQ,32,0)</f>
        <v>#N/A</v>
      </c>
      <c r="BE121" s="107" t="e">
        <f>VLOOKUP($A121,'S50'!$C:$BQ,39,0)</f>
        <v>#N/A</v>
      </c>
      <c r="BF121" s="107" t="e">
        <f>VLOOKUP($A121,'S50'!$C:$BQ,40,0)</f>
        <v>#N/A</v>
      </c>
      <c r="BG121" s="107" t="e">
        <f>VLOOKUP($A121,'S50'!$C:$BQ,22,0)</f>
        <v>#N/A</v>
      </c>
      <c r="BH121" s="115" t="e">
        <f>VLOOKUP($A121,'S50'!$C:$BQ,29,0)</f>
        <v>#N/A</v>
      </c>
      <c r="BI121" s="115" t="e">
        <f>VLOOKUP($A121,'S50'!$C:$BQ,30,0)</f>
        <v>#N/A</v>
      </c>
      <c r="BJ121" s="115" t="e">
        <f>VLOOKUP($A121,'S50'!$C:$BQ,52,0)</f>
        <v>#N/A</v>
      </c>
      <c r="BK121" s="115" t="e">
        <f>VLOOKUP($A121,'S50'!$C:$BQ,59,0)</f>
        <v>#N/A</v>
      </c>
      <c r="BL121" s="115" t="e">
        <f>VLOOKUP($A121,'S50'!$C:$BQ,60,0)</f>
        <v>#N/A</v>
      </c>
    </row>
    <row r="122" spans="1:64" x14ac:dyDescent="0.2">
      <c r="A122" s="106" t="s">
        <v>186</v>
      </c>
      <c r="B122" s="107">
        <f>VLOOKUP($A122,'S0 remplacer avec S44'!$C:$BQ,32,0)</f>
        <v>132.85</v>
      </c>
      <c r="C122" s="107">
        <f>VLOOKUP($A122,'S0 remplacer avec S44'!$C:$BQ,39,0)</f>
        <v>43</v>
      </c>
      <c r="D122" s="107">
        <f>VLOOKUP($A122,'S0 remplacer avec S44'!$C:$BQ,40,0)</f>
        <v>78</v>
      </c>
      <c r="E122" s="107">
        <f>VLOOKUP($A122,'S0 remplacer avec S44'!$C:$BQ,22,0)</f>
        <v>1247.7566549999999</v>
      </c>
      <c r="F122" s="115">
        <f>VLOOKUP($A122,'S0 remplacer avec S44'!$C:$BQ,29,0)</f>
        <v>347</v>
      </c>
      <c r="G122" s="115">
        <f>VLOOKUP($A122,'S0 remplacer avec S44'!$C:$BQ,30,0)</f>
        <v>666</v>
      </c>
      <c r="H122" s="115">
        <f>VLOOKUP($A122,'S0 remplacer avec S44'!$C:$BQ,52,0)</f>
        <v>100</v>
      </c>
      <c r="I122" s="115">
        <f>VLOOKUP($A122,'S0 remplacer avec S44'!$C:$BQ,59,0)</f>
        <v>0</v>
      </c>
      <c r="J122" s="115">
        <f>VLOOKUP($A122,'S0 remplacer avec S44'!$C:$BQ,60,0)</f>
        <v>7</v>
      </c>
      <c r="K122" s="107" t="e">
        <f>VLOOKUP($A122,'S45'!$C:$BQ,32,0)</f>
        <v>#N/A</v>
      </c>
      <c r="L122" s="107" t="e">
        <f>VLOOKUP($A122,'S45'!$C:$BQ,39,0)</f>
        <v>#N/A</v>
      </c>
      <c r="M122" s="107" t="e">
        <f>VLOOKUP($A122,'S45'!$C:$BQ,40,0)</f>
        <v>#N/A</v>
      </c>
      <c r="N122" s="107" t="e">
        <f>VLOOKUP($A122,'S45'!$C:$BQ,22,0)</f>
        <v>#N/A</v>
      </c>
      <c r="O122" s="115" t="e">
        <f>VLOOKUP($A122,'S45'!$C:$BQ,29,0)</f>
        <v>#N/A</v>
      </c>
      <c r="P122" s="115" t="e">
        <f>VLOOKUP($A122,'S45'!$C:$BQ,30,0)</f>
        <v>#N/A</v>
      </c>
      <c r="Q122" s="115" t="e">
        <f>VLOOKUP($A122,'S45'!$C:$BQ,52,0)</f>
        <v>#N/A</v>
      </c>
      <c r="R122" s="115" t="e">
        <f>VLOOKUP($A122,'S45'!$C:$BQ,59,0)</f>
        <v>#N/A</v>
      </c>
      <c r="S122" s="115" t="e">
        <f>VLOOKUP($A122,'S45'!$C:$BQ,60,0)</f>
        <v>#N/A</v>
      </c>
      <c r="T122" s="107" t="e">
        <f>VLOOKUP($A122,'S46'!$C:$BQ,32,0)</f>
        <v>#N/A</v>
      </c>
      <c r="U122" s="107" t="e">
        <f>VLOOKUP($A122,'S46'!$C:$BQ,39,0)</f>
        <v>#N/A</v>
      </c>
      <c r="V122" s="107" t="e">
        <f>VLOOKUP($A122,'S46'!$C:$BQ,40,0)</f>
        <v>#N/A</v>
      </c>
      <c r="W122" s="107" t="e">
        <f>VLOOKUP($A122,'S46'!$C:$BQ,22,0)</f>
        <v>#N/A</v>
      </c>
      <c r="X122" s="115" t="e">
        <f>VLOOKUP($A122,'S46'!$C:$BQ,29,0)</f>
        <v>#N/A</v>
      </c>
      <c r="Y122" s="115" t="e">
        <f>VLOOKUP($A122,'S46'!$C:$BQ,30,0)</f>
        <v>#N/A</v>
      </c>
      <c r="Z122" s="115" t="e">
        <f>VLOOKUP($A122,'S46'!$C:$BQ,52,0)</f>
        <v>#N/A</v>
      </c>
      <c r="AA122" s="115" t="e">
        <f>VLOOKUP($A122,'S46'!$C:$BQ,59,0)</f>
        <v>#N/A</v>
      </c>
      <c r="AB122" s="115" t="e">
        <f>VLOOKUP($A122,'S46'!$C:$BQ,60,0)</f>
        <v>#N/A</v>
      </c>
      <c r="AC122" s="107" t="e">
        <f>VLOOKUP($A122,'S47'!$C:$BQ,32,0)</f>
        <v>#N/A</v>
      </c>
      <c r="AD122" s="107" t="e">
        <f>VLOOKUP($A122,'S47'!$C:$BQ,39,0)</f>
        <v>#N/A</v>
      </c>
      <c r="AE122" s="107" t="e">
        <f>VLOOKUP($A122,'S47'!$C:$BQ,40,0)</f>
        <v>#N/A</v>
      </c>
      <c r="AF122" s="107" t="e">
        <f>VLOOKUP($A122,'S47'!$C:$BQ,22,0)</f>
        <v>#N/A</v>
      </c>
      <c r="AG122" s="115" t="e">
        <f>VLOOKUP($A122,'S47'!$C:$BQ,29,0)</f>
        <v>#N/A</v>
      </c>
      <c r="AH122" s="115" t="e">
        <f>VLOOKUP($A122,'S47'!$C:$BQ,30,0)</f>
        <v>#N/A</v>
      </c>
      <c r="AI122" s="115" t="e">
        <f>VLOOKUP($A122,'S47'!$C:$BQ,52,0)</f>
        <v>#N/A</v>
      </c>
      <c r="AJ122" s="115" t="e">
        <f>VLOOKUP($A122,'S47'!$C:$BQ,59,0)</f>
        <v>#N/A</v>
      </c>
      <c r="AK122" s="115" t="e">
        <f>VLOOKUP($A122,'S47'!$C:$BQ,60,0)</f>
        <v>#N/A</v>
      </c>
      <c r="AL122" s="107" t="e">
        <f>VLOOKUP($A122,'S48'!$C:$BQ,32,0)</f>
        <v>#N/A</v>
      </c>
      <c r="AM122" s="107" t="e">
        <f>VLOOKUP($A122,'S48'!$C:$BQ,39,0)</f>
        <v>#N/A</v>
      </c>
      <c r="AN122" s="107" t="e">
        <f>VLOOKUP($A122,'S48'!$C:$BQ,40,0)</f>
        <v>#N/A</v>
      </c>
      <c r="AO122" s="107" t="e">
        <f>VLOOKUP($A122,'S48'!$C:$BQ,22,0)</f>
        <v>#N/A</v>
      </c>
      <c r="AP122" s="115" t="e">
        <f>VLOOKUP($A122,'S48'!$C:$BQ,29,0)</f>
        <v>#N/A</v>
      </c>
      <c r="AQ122" s="115" t="e">
        <f>VLOOKUP($A122,'S48'!$C:$BQ,30,0)</f>
        <v>#N/A</v>
      </c>
      <c r="AR122" s="115" t="e">
        <f>VLOOKUP($A122,'S48'!$C:$BQ,52,0)</f>
        <v>#N/A</v>
      </c>
      <c r="AS122" s="115" t="e">
        <f>VLOOKUP($A122,'S48'!$C:$BQ,59,0)</f>
        <v>#N/A</v>
      </c>
      <c r="AT122" s="115" t="e">
        <f>VLOOKUP($A122,'S48'!$C:$BQ,60,0)</f>
        <v>#N/A</v>
      </c>
      <c r="AU122" s="107" t="e">
        <f>VLOOKUP($A122,'S49'!$C:$BQ,32,0)</f>
        <v>#N/A</v>
      </c>
      <c r="AV122" s="107" t="e">
        <f>VLOOKUP($A122,'S49'!$C:$BQ,39,0)</f>
        <v>#N/A</v>
      </c>
      <c r="AW122" s="107" t="e">
        <f>VLOOKUP($A122,'S49'!$C:$BQ,40,0)</f>
        <v>#N/A</v>
      </c>
      <c r="AX122" s="107" t="e">
        <f>VLOOKUP($A122,'S49'!$C:$BQ,22,0)</f>
        <v>#N/A</v>
      </c>
      <c r="AY122" s="115" t="e">
        <f>VLOOKUP($A122,'S49'!$C:$BQ,29,0)</f>
        <v>#N/A</v>
      </c>
      <c r="AZ122" s="115" t="e">
        <f>VLOOKUP($A122,'S49'!$C:$BQ,30,0)</f>
        <v>#N/A</v>
      </c>
      <c r="BA122" s="115" t="e">
        <f>VLOOKUP($A122,'S49'!$C:$BQ,52,0)</f>
        <v>#N/A</v>
      </c>
      <c r="BB122" s="115" t="e">
        <f>VLOOKUP($A122,'S49'!$C:$BQ,59,0)</f>
        <v>#N/A</v>
      </c>
      <c r="BC122" s="115" t="e">
        <f>VLOOKUP($A122,'S49'!$C:$BQ,60,0)</f>
        <v>#N/A</v>
      </c>
      <c r="BD122" s="107" t="e">
        <f>VLOOKUP($A122,'S50'!$C:$BQ,32,0)</f>
        <v>#N/A</v>
      </c>
      <c r="BE122" s="107" t="e">
        <f>VLOOKUP($A122,'S50'!$C:$BQ,39,0)</f>
        <v>#N/A</v>
      </c>
      <c r="BF122" s="107" t="e">
        <f>VLOOKUP($A122,'S50'!$C:$BQ,40,0)</f>
        <v>#N/A</v>
      </c>
      <c r="BG122" s="107" t="e">
        <f>VLOOKUP($A122,'S50'!$C:$BQ,22,0)</f>
        <v>#N/A</v>
      </c>
      <c r="BH122" s="115" t="e">
        <f>VLOOKUP($A122,'S50'!$C:$BQ,29,0)</f>
        <v>#N/A</v>
      </c>
      <c r="BI122" s="115" t="e">
        <f>VLOOKUP($A122,'S50'!$C:$BQ,30,0)</f>
        <v>#N/A</v>
      </c>
      <c r="BJ122" s="115" t="e">
        <f>VLOOKUP($A122,'S50'!$C:$BQ,52,0)</f>
        <v>#N/A</v>
      </c>
      <c r="BK122" s="115" t="e">
        <f>VLOOKUP($A122,'S50'!$C:$BQ,59,0)</f>
        <v>#N/A</v>
      </c>
      <c r="BL122" s="115" t="e">
        <f>VLOOKUP($A122,'S50'!$C:$BQ,60,0)</f>
        <v>#N/A</v>
      </c>
    </row>
    <row r="123" spans="1:64" x14ac:dyDescent="0.2">
      <c r="A123" s="106" t="s">
        <v>187</v>
      </c>
      <c r="B123" s="107">
        <f>VLOOKUP($A123,'S0 remplacer avec S44'!$C:$BQ,32,0)</f>
        <v>251</v>
      </c>
      <c r="C123" s="107">
        <f>VLOOKUP($A123,'S0 remplacer avec S44'!$C:$BQ,39,0)</f>
        <v>148</v>
      </c>
      <c r="D123" s="107">
        <f>VLOOKUP($A123,'S0 remplacer avec S44'!$C:$BQ,40,0)</f>
        <v>228</v>
      </c>
      <c r="E123" s="107">
        <f>VLOOKUP($A123,'S0 remplacer avec S44'!$C:$BQ,22,0)</f>
        <v>2976.8964649999998</v>
      </c>
      <c r="F123" s="115">
        <f>VLOOKUP($A123,'S0 remplacer avec S44'!$C:$BQ,29,0)</f>
        <v>650</v>
      </c>
      <c r="G123" s="115">
        <f>VLOOKUP($A123,'S0 remplacer avec S44'!$C:$BQ,30,0)</f>
        <v>1376</v>
      </c>
      <c r="H123" s="115">
        <f>VLOOKUP($A123,'S0 remplacer avec S44'!$C:$BQ,52,0)</f>
        <v>211.6</v>
      </c>
      <c r="I123" s="115">
        <f>VLOOKUP($A123,'S0 remplacer avec S44'!$C:$BQ,59,0)</f>
        <v>0</v>
      </c>
      <c r="J123" s="115">
        <f>VLOOKUP($A123,'S0 remplacer avec S44'!$C:$BQ,60,0)</f>
        <v>32</v>
      </c>
      <c r="K123" s="107" t="e">
        <f>VLOOKUP($A123,'S45'!$C:$BQ,32,0)</f>
        <v>#N/A</v>
      </c>
      <c r="L123" s="107" t="e">
        <f>VLOOKUP($A123,'S45'!$C:$BQ,39,0)</f>
        <v>#N/A</v>
      </c>
      <c r="M123" s="107" t="e">
        <f>VLOOKUP($A123,'S45'!$C:$BQ,40,0)</f>
        <v>#N/A</v>
      </c>
      <c r="N123" s="107" t="e">
        <f>VLOOKUP($A123,'S45'!$C:$BQ,22,0)</f>
        <v>#N/A</v>
      </c>
      <c r="O123" s="115" t="e">
        <f>VLOOKUP($A123,'S45'!$C:$BQ,29,0)</f>
        <v>#N/A</v>
      </c>
      <c r="P123" s="115" t="e">
        <f>VLOOKUP($A123,'S45'!$C:$BQ,30,0)</f>
        <v>#N/A</v>
      </c>
      <c r="Q123" s="115" t="e">
        <f>VLOOKUP($A123,'S45'!$C:$BQ,52,0)</f>
        <v>#N/A</v>
      </c>
      <c r="R123" s="115" t="e">
        <f>VLOOKUP($A123,'S45'!$C:$BQ,59,0)</f>
        <v>#N/A</v>
      </c>
      <c r="S123" s="115" t="e">
        <f>VLOOKUP($A123,'S45'!$C:$BQ,60,0)</f>
        <v>#N/A</v>
      </c>
      <c r="T123" s="107" t="e">
        <f>VLOOKUP($A123,'S46'!$C:$BQ,32,0)</f>
        <v>#N/A</v>
      </c>
      <c r="U123" s="107" t="e">
        <f>VLOOKUP($A123,'S46'!$C:$BQ,39,0)</f>
        <v>#N/A</v>
      </c>
      <c r="V123" s="107" t="e">
        <f>VLOOKUP($A123,'S46'!$C:$BQ,40,0)</f>
        <v>#N/A</v>
      </c>
      <c r="W123" s="107" t="e">
        <f>VLOOKUP($A123,'S46'!$C:$BQ,22,0)</f>
        <v>#N/A</v>
      </c>
      <c r="X123" s="115" t="e">
        <f>VLOOKUP($A123,'S46'!$C:$BQ,29,0)</f>
        <v>#N/A</v>
      </c>
      <c r="Y123" s="115" t="e">
        <f>VLOOKUP($A123,'S46'!$C:$BQ,30,0)</f>
        <v>#N/A</v>
      </c>
      <c r="Z123" s="115" t="e">
        <f>VLOOKUP($A123,'S46'!$C:$BQ,52,0)</f>
        <v>#N/A</v>
      </c>
      <c r="AA123" s="115" t="e">
        <f>VLOOKUP($A123,'S46'!$C:$BQ,59,0)</f>
        <v>#N/A</v>
      </c>
      <c r="AB123" s="115" t="e">
        <f>VLOOKUP($A123,'S46'!$C:$BQ,60,0)</f>
        <v>#N/A</v>
      </c>
      <c r="AC123" s="107" t="e">
        <f>VLOOKUP($A123,'S47'!$C:$BQ,32,0)</f>
        <v>#N/A</v>
      </c>
      <c r="AD123" s="107" t="e">
        <f>VLOOKUP($A123,'S47'!$C:$BQ,39,0)</f>
        <v>#N/A</v>
      </c>
      <c r="AE123" s="107" t="e">
        <f>VLOOKUP($A123,'S47'!$C:$BQ,40,0)</f>
        <v>#N/A</v>
      </c>
      <c r="AF123" s="107" t="e">
        <f>VLOOKUP($A123,'S47'!$C:$BQ,22,0)</f>
        <v>#N/A</v>
      </c>
      <c r="AG123" s="115" t="e">
        <f>VLOOKUP($A123,'S47'!$C:$BQ,29,0)</f>
        <v>#N/A</v>
      </c>
      <c r="AH123" s="115" t="e">
        <f>VLOOKUP($A123,'S47'!$C:$BQ,30,0)</f>
        <v>#N/A</v>
      </c>
      <c r="AI123" s="115" t="e">
        <f>VLOOKUP($A123,'S47'!$C:$BQ,52,0)</f>
        <v>#N/A</v>
      </c>
      <c r="AJ123" s="115" t="e">
        <f>VLOOKUP($A123,'S47'!$C:$BQ,59,0)</f>
        <v>#N/A</v>
      </c>
      <c r="AK123" s="115" t="e">
        <f>VLOOKUP($A123,'S47'!$C:$BQ,60,0)</f>
        <v>#N/A</v>
      </c>
      <c r="AL123" s="107" t="e">
        <f>VLOOKUP($A123,'S48'!$C:$BQ,32,0)</f>
        <v>#N/A</v>
      </c>
      <c r="AM123" s="107" t="e">
        <f>VLOOKUP($A123,'S48'!$C:$BQ,39,0)</f>
        <v>#N/A</v>
      </c>
      <c r="AN123" s="107" t="e">
        <f>VLOOKUP($A123,'S48'!$C:$BQ,40,0)</f>
        <v>#N/A</v>
      </c>
      <c r="AO123" s="107" t="e">
        <f>VLOOKUP($A123,'S48'!$C:$BQ,22,0)</f>
        <v>#N/A</v>
      </c>
      <c r="AP123" s="115" t="e">
        <f>VLOOKUP($A123,'S48'!$C:$BQ,29,0)</f>
        <v>#N/A</v>
      </c>
      <c r="AQ123" s="115" t="e">
        <f>VLOOKUP($A123,'S48'!$C:$BQ,30,0)</f>
        <v>#N/A</v>
      </c>
      <c r="AR123" s="115" t="e">
        <f>VLOOKUP($A123,'S48'!$C:$BQ,52,0)</f>
        <v>#N/A</v>
      </c>
      <c r="AS123" s="115" t="e">
        <f>VLOOKUP($A123,'S48'!$C:$BQ,59,0)</f>
        <v>#N/A</v>
      </c>
      <c r="AT123" s="115" t="e">
        <f>VLOOKUP($A123,'S48'!$C:$BQ,60,0)</f>
        <v>#N/A</v>
      </c>
      <c r="AU123" s="107" t="e">
        <f>VLOOKUP($A123,'S49'!$C:$BQ,32,0)</f>
        <v>#N/A</v>
      </c>
      <c r="AV123" s="107" t="e">
        <f>VLOOKUP($A123,'S49'!$C:$BQ,39,0)</f>
        <v>#N/A</v>
      </c>
      <c r="AW123" s="107" t="e">
        <f>VLOOKUP($A123,'S49'!$C:$BQ,40,0)</f>
        <v>#N/A</v>
      </c>
      <c r="AX123" s="107" t="e">
        <f>VLOOKUP($A123,'S49'!$C:$BQ,22,0)</f>
        <v>#N/A</v>
      </c>
      <c r="AY123" s="115" t="e">
        <f>VLOOKUP($A123,'S49'!$C:$BQ,29,0)</f>
        <v>#N/A</v>
      </c>
      <c r="AZ123" s="115" t="e">
        <f>VLOOKUP($A123,'S49'!$C:$BQ,30,0)</f>
        <v>#N/A</v>
      </c>
      <c r="BA123" s="115" t="e">
        <f>VLOOKUP($A123,'S49'!$C:$BQ,52,0)</f>
        <v>#N/A</v>
      </c>
      <c r="BB123" s="115" t="e">
        <f>VLOOKUP($A123,'S49'!$C:$BQ,59,0)</f>
        <v>#N/A</v>
      </c>
      <c r="BC123" s="115" t="e">
        <f>VLOOKUP($A123,'S49'!$C:$BQ,60,0)</f>
        <v>#N/A</v>
      </c>
      <c r="BD123" s="107" t="e">
        <f>VLOOKUP($A123,'S50'!$C:$BQ,32,0)</f>
        <v>#N/A</v>
      </c>
      <c r="BE123" s="107" t="e">
        <f>VLOOKUP($A123,'S50'!$C:$BQ,39,0)</f>
        <v>#N/A</v>
      </c>
      <c r="BF123" s="107" t="e">
        <f>VLOOKUP($A123,'S50'!$C:$BQ,40,0)</f>
        <v>#N/A</v>
      </c>
      <c r="BG123" s="107" t="e">
        <f>VLOOKUP($A123,'S50'!$C:$BQ,22,0)</f>
        <v>#N/A</v>
      </c>
      <c r="BH123" s="115" t="e">
        <f>VLOOKUP($A123,'S50'!$C:$BQ,29,0)</f>
        <v>#N/A</v>
      </c>
      <c r="BI123" s="115" t="e">
        <f>VLOOKUP($A123,'S50'!$C:$BQ,30,0)</f>
        <v>#N/A</v>
      </c>
      <c r="BJ123" s="115" t="e">
        <f>VLOOKUP($A123,'S50'!$C:$BQ,52,0)</f>
        <v>#N/A</v>
      </c>
      <c r="BK123" s="115" t="e">
        <f>VLOOKUP($A123,'S50'!$C:$BQ,59,0)</f>
        <v>#N/A</v>
      </c>
      <c r="BL123" s="115" t="e">
        <f>VLOOKUP($A123,'S50'!$C:$BQ,60,0)</f>
        <v>#N/A</v>
      </c>
    </row>
    <row r="124" spans="1:64" x14ac:dyDescent="0.2">
      <c r="A124" s="106" t="s">
        <v>189</v>
      </c>
      <c r="B124" s="107">
        <f>VLOOKUP($A124,'S0 remplacer avec S44'!$C:$BQ,32,0)</f>
        <v>179.5</v>
      </c>
      <c r="C124" s="107">
        <f>VLOOKUP($A124,'S0 remplacer avec S44'!$C:$BQ,39,0)</f>
        <v>5</v>
      </c>
      <c r="D124" s="107">
        <f>VLOOKUP($A124,'S0 remplacer avec S44'!$C:$BQ,40,0)</f>
        <v>42</v>
      </c>
      <c r="E124" s="107">
        <f>VLOOKUP($A124,'S0 remplacer avec S44'!$C:$BQ,22,0)</f>
        <v>1920.73073</v>
      </c>
      <c r="F124" s="115">
        <f>VLOOKUP($A124,'S0 remplacer avec S44'!$C:$BQ,29,0)</f>
        <v>0</v>
      </c>
      <c r="G124" s="115">
        <f>VLOOKUP($A124,'S0 remplacer avec S44'!$C:$BQ,30,0)</f>
        <v>88</v>
      </c>
      <c r="H124" s="115">
        <f>VLOOKUP($A124,'S0 remplacer avec S44'!$C:$BQ,52,0)</f>
        <v>122.4</v>
      </c>
      <c r="I124" s="115">
        <f>VLOOKUP($A124,'S0 remplacer avec S44'!$C:$BQ,59,0)</f>
        <v>0</v>
      </c>
      <c r="J124" s="115">
        <f>VLOOKUP($A124,'S0 remplacer avec S44'!$C:$BQ,60,0)</f>
        <v>0</v>
      </c>
      <c r="K124" s="107" t="e">
        <f>VLOOKUP($A124,'S45'!$C:$BQ,32,0)</f>
        <v>#N/A</v>
      </c>
      <c r="L124" s="107" t="e">
        <f>VLOOKUP($A124,'S45'!$C:$BQ,39,0)</f>
        <v>#N/A</v>
      </c>
      <c r="M124" s="107" t="e">
        <f>VLOOKUP($A124,'S45'!$C:$BQ,40,0)</f>
        <v>#N/A</v>
      </c>
      <c r="N124" s="107" t="e">
        <f>VLOOKUP($A124,'S45'!$C:$BQ,22,0)</f>
        <v>#N/A</v>
      </c>
      <c r="O124" s="115" t="e">
        <f>VLOOKUP($A124,'S45'!$C:$BQ,29,0)</f>
        <v>#N/A</v>
      </c>
      <c r="P124" s="115" t="e">
        <f>VLOOKUP($A124,'S45'!$C:$BQ,30,0)</f>
        <v>#N/A</v>
      </c>
      <c r="Q124" s="115" t="e">
        <f>VLOOKUP($A124,'S45'!$C:$BQ,52,0)</f>
        <v>#N/A</v>
      </c>
      <c r="R124" s="115" t="e">
        <f>VLOOKUP($A124,'S45'!$C:$BQ,59,0)</f>
        <v>#N/A</v>
      </c>
      <c r="S124" s="115" t="e">
        <f>VLOOKUP($A124,'S45'!$C:$BQ,60,0)</f>
        <v>#N/A</v>
      </c>
      <c r="T124" s="107" t="e">
        <f>VLOOKUP($A124,'S46'!$C:$BQ,32,0)</f>
        <v>#N/A</v>
      </c>
      <c r="U124" s="107" t="e">
        <f>VLOOKUP($A124,'S46'!$C:$BQ,39,0)</f>
        <v>#N/A</v>
      </c>
      <c r="V124" s="107" t="e">
        <f>VLOOKUP($A124,'S46'!$C:$BQ,40,0)</f>
        <v>#N/A</v>
      </c>
      <c r="W124" s="107" t="e">
        <f>VLOOKUP($A124,'S46'!$C:$BQ,22,0)</f>
        <v>#N/A</v>
      </c>
      <c r="X124" s="115" t="e">
        <f>VLOOKUP($A124,'S46'!$C:$BQ,29,0)</f>
        <v>#N/A</v>
      </c>
      <c r="Y124" s="115" t="e">
        <f>VLOOKUP($A124,'S46'!$C:$BQ,30,0)</f>
        <v>#N/A</v>
      </c>
      <c r="Z124" s="115" t="e">
        <f>VLOOKUP($A124,'S46'!$C:$BQ,52,0)</f>
        <v>#N/A</v>
      </c>
      <c r="AA124" s="115" t="e">
        <f>VLOOKUP($A124,'S46'!$C:$BQ,59,0)</f>
        <v>#N/A</v>
      </c>
      <c r="AB124" s="115" t="e">
        <f>VLOOKUP($A124,'S46'!$C:$BQ,60,0)</f>
        <v>#N/A</v>
      </c>
      <c r="AC124" s="107" t="e">
        <f>VLOOKUP($A124,'S47'!$C:$BQ,32,0)</f>
        <v>#N/A</v>
      </c>
      <c r="AD124" s="107" t="e">
        <f>VLOOKUP($A124,'S47'!$C:$BQ,39,0)</f>
        <v>#N/A</v>
      </c>
      <c r="AE124" s="107" t="e">
        <f>VLOOKUP($A124,'S47'!$C:$BQ,40,0)</f>
        <v>#N/A</v>
      </c>
      <c r="AF124" s="107" t="e">
        <f>VLOOKUP($A124,'S47'!$C:$BQ,22,0)</f>
        <v>#N/A</v>
      </c>
      <c r="AG124" s="115" t="e">
        <f>VLOOKUP($A124,'S47'!$C:$BQ,29,0)</f>
        <v>#N/A</v>
      </c>
      <c r="AH124" s="115" t="e">
        <f>VLOOKUP($A124,'S47'!$C:$BQ,30,0)</f>
        <v>#N/A</v>
      </c>
      <c r="AI124" s="115" t="e">
        <f>VLOOKUP($A124,'S47'!$C:$BQ,52,0)</f>
        <v>#N/A</v>
      </c>
      <c r="AJ124" s="115" t="e">
        <f>VLOOKUP($A124,'S47'!$C:$BQ,59,0)</f>
        <v>#N/A</v>
      </c>
      <c r="AK124" s="115" t="e">
        <f>VLOOKUP($A124,'S47'!$C:$BQ,60,0)</f>
        <v>#N/A</v>
      </c>
      <c r="AL124" s="107" t="e">
        <f>VLOOKUP($A124,'S48'!$C:$BQ,32,0)</f>
        <v>#N/A</v>
      </c>
      <c r="AM124" s="107" t="e">
        <f>VLOOKUP($A124,'S48'!$C:$BQ,39,0)</f>
        <v>#N/A</v>
      </c>
      <c r="AN124" s="107" t="e">
        <f>VLOOKUP($A124,'S48'!$C:$BQ,40,0)</f>
        <v>#N/A</v>
      </c>
      <c r="AO124" s="107" t="e">
        <f>VLOOKUP($A124,'S48'!$C:$BQ,22,0)</f>
        <v>#N/A</v>
      </c>
      <c r="AP124" s="115" t="e">
        <f>VLOOKUP($A124,'S48'!$C:$BQ,29,0)</f>
        <v>#N/A</v>
      </c>
      <c r="AQ124" s="115" t="e">
        <f>VLOOKUP($A124,'S48'!$C:$BQ,30,0)</f>
        <v>#N/A</v>
      </c>
      <c r="AR124" s="115" t="e">
        <f>VLOOKUP($A124,'S48'!$C:$BQ,52,0)</f>
        <v>#N/A</v>
      </c>
      <c r="AS124" s="115" t="e">
        <f>VLOOKUP($A124,'S48'!$C:$BQ,59,0)</f>
        <v>#N/A</v>
      </c>
      <c r="AT124" s="115" t="e">
        <f>VLOOKUP($A124,'S48'!$C:$BQ,60,0)</f>
        <v>#N/A</v>
      </c>
      <c r="AU124" s="107" t="e">
        <f>VLOOKUP($A124,'S49'!$C:$BQ,32,0)</f>
        <v>#N/A</v>
      </c>
      <c r="AV124" s="107" t="e">
        <f>VLOOKUP($A124,'S49'!$C:$BQ,39,0)</f>
        <v>#N/A</v>
      </c>
      <c r="AW124" s="107" t="e">
        <f>VLOOKUP($A124,'S49'!$C:$BQ,40,0)</f>
        <v>#N/A</v>
      </c>
      <c r="AX124" s="107" t="e">
        <f>VLOOKUP($A124,'S49'!$C:$BQ,22,0)</f>
        <v>#N/A</v>
      </c>
      <c r="AY124" s="115" t="e">
        <f>VLOOKUP($A124,'S49'!$C:$BQ,29,0)</f>
        <v>#N/A</v>
      </c>
      <c r="AZ124" s="115" t="e">
        <f>VLOOKUP($A124,'S49'!$C:$BQ,30,0)</f>
        <v>#N/A</v>
      </c>
      <c r="BA124" s="115" t="e">
        <f>VLOOKUP($A124,'S49'!$C:$BQ,52,0)</f>
        <v>#N/A</v>
      </c>
      <c r="BB124" s="115" t="e">
        <f>VLOOKUP($A124,'S49'!$C:$BQ,59,0)</f>
        <v>#N/A</v>
      </c>
      <c r="BC124" s="115" t="e">
        <f>VLOOKUP($A124,'S49'!$C:$BQ,60,0)</f>
        <v>#N/A</v>
      </c>
      <c r="BD124" s="107" t="e">
        <f>VLOOKUP($A124,'S50'!$C:$BQ,32,0)</f>
        <v>#N/A</v>
      </c>
      <c r="BE124" s="107" t="e">
        <f>VLOOKUP($A124,'S50'!$C:$BQ,39,0)</f>
        <v>#N/A</v>
      </c>
      <c r="BF124" s="107" t="e">
        <f>VLOOKUP($A124,'S50'!$C:$BQ,40,0)</f>
        <v>#N/A</v>
      </c>
      <c r="BG124" s="107" t="e">
        <f>VLOOKUP($A124,'S50'!$C:$BQ,22,0)</f>
        <v>#N/A</v>
      </c>
      <c r="BH124" s="115" t="e">
        <f>VLOOKUP($A124,'S50'!$C:$BQ,29,0)</f>
        <v>#N/A</v>
      </c>
      <c r="BI124" s="115" t="e">
        <f>VLOOKUP($A124,'S50'!$C:$BQ,30,0)</f>
        <v>#N/A</v>
      </c>
      <c r="BJ124" s="115" t="e">
        <f>VLOOKUP($A124,'S50'!$C:$BQ,52,0)</f>
        <v>#N/A</v>
      </c>
      <c r="BK124" s="115" t="e">
        <f>VLOOKUP($A124,'S50'!$C:$BQ,59,0)</f>
        <v>#N/A</v>
      </c>
      <c r="BL124" s="115" t="e">
        <f>VLOOKUP($A124,'S50'!$C:$BQ,60,0)</f>
        <v>#N/A</v>
      </c>
    </row>
    <row r="125" spans="1:64" x14ac:dyDescent="0.2">
      <c r="A125" s="106" t="s">
        <v>190</v>
      </c>
      <c r="B125" s="107">
        <f>VLOOKUP($A125,'S0 remplacer avec S44'!$C:$BQ,32,0)</f>
        <v>360.05</v>
      </c>
      <c r="C125" s="107">
        <f>VLOOKUP($A125,'S0 remplacer avec S44'!$C:$BQ,39,0)</f>
        <v>178</v>
      </c>
      <c r="D125" s="107">
        <f>VLOOKUP($A125,'S0 remplacer avec S44'!$C:$BQ,40,0)</f>
        <v>285</v>
      </c>
      <c r="E125" s="107">
        <f>VLOOKUP($A125,'S0 remplacer avec S44'!$C:$BQ,22,0)</f>
        <v>4120.688185</v>
      </c>
      <c r="F125" s="115">
        <f>VLOOKUP($A125,'S0 remplacer avec S44'!$C:$BQ,29,0)</f>
        <v>766</v>
      </c>
      <c r="G125" s="115">
        <f>VLOOKUP($A125,'S0 remplacer avec S44'!$C:$BQ,30,0)</f>
        <v>1744</v>
      </c>
      <c r="H125" s="115">
        <f>VLOOKUP($A125,'S0 remplacer avec S44'!$C:$BQ,52,0)</f>
        <v>402.2</v>
      </c>
      <c r="I125" s="115">
        <f>VLOOKUP($A125,'S0 remplacer avec S44'!$C:$BQ,59,0)</f>
        <v>0</v>
      </c>
      <c r="J125" s="115">
        <f>VLOOKUP($A125,'S0 remplacer avec S44'!$C:$BQ,60,0)</f>
        <v>0</v>
      </c>
      <c r="K125" s="107" t="e">
        <f>VLOOKUP($A125,'S45'!$C:$BQ,32,0)</f>
        <v>#N/A</v>
      </c>
      <c r="L125" s="107" t="e">
        <f>VLOOKUP($A125,'S45'!$C:$BQ,39,0)</f>
        <v>#N/A</v>
      </c>
      <c r="M125" s="107" t="e">
        <f>VLOOKUP($A125,'S45'!$C:$BQ,40,0)</f>
        <v>#N/A</v>
      </c>
      <c r="N125" s="107" t="e">
        <f>VLOOKUP($A125,'S45'!$C:$BQ,22,0)</f>
        <v>#N/A</v>
      </c>
      <c r="O125" s="115" t="e">
        <f>VLOOKUP($A125,'S45'!$C:$BQ,29,0)</f>
        <v>#N/A</v>
      </c>
      <c r="P125" s="115" t="e">
        <f>VLOOKUP($A125,'S45'!$C:$BQ,30,0)</f>
        <v>#N/A</v>
      </c>
      <c r="Q125" s="115" t="e">
        <f>VLOOKUP($A125,'S45'!$C:$BQ,52,0)</f>
        <v>#N/A</v>
      </c>
      <c r="R125" s="115" t="e">
        <f>VLOOKUP($A125,'S45'!$C:$BQ,59,0)</f>
        <v>#N/A</v>
      </c>
      <c r="S125" s="115" t="e">
        <f>VLOOKUP($A125,'S45'!$C:$BQ,60,0)</f>
        <v>#N/A</v>
      </c>
      <c r="T125" s="107" t="e">
        <f>VLOOKUP($A125,'S46'!$C:$BQ,32,0)</f>
        <v>#N/A</v>
      </c>
      <c r="U125" s="107" t="e">
        <f>VLOOKUP($A125,'S46'!$C:$BQ,39,0)</f>
        <v>#N/A</v>
      </c>
      <c r="V125" s="107" t="e">
        <f>VLOOKUP($A125,'S46'!$C:$BQ,40,0)</f>
        <v>#N/A</v>
      </c>
      <c r="W125" s="107" t="e">
        <f>VLOOKUP($A125,'S46'!$C:$BQ,22,0)</f>
        <v>#N/A</v>
      </c>
      <c r="X125" s="115" t="e">
        <f>VLOOKUP($A125,'S46'!$C:$BQ,29,0)</f>
        <v>#N/A</v>
      </c>
      <c r="Y125" s="115" t="e">
        <f>VLOOKUP($A125,'S46'!$C:$BQ,30,0)</f>
        <v>#N/A</v>
      </c>
      <c r="Z125" s="115" t="e">
        <f>VLOOKUP($A125,'S46'!$C:$BQ,52,0)</f>
        <v>#N/A</v>
      </c>
      <c r="AA125" s="115" t="e">
        <f>VLOOKUP($A125,'S46'!$C:$BQ,59,0)</f>
        <v>#N/A</v>
      </c>
      <c r="AB125" s="115" t="e">
        <f>VLOOKUP($A125,'S46'!$C:$BQ,60,0)</f>
        <v>#N/A</v>
      </c>
      <c r="AC125" s="107" t="e">
        <f>VLOOKUP($A125,'S47'!$C:$BQ,32,0)</f>
        <v>#N/A</v>
      </c>
      <c r="AD125" s="107" t="e">
        <f>VLOOKUP($A125,'S47'!$C:$BQ,39,0)</f>
        <v>#N/A</v>
      </c>
      <c r="AE125" s="107" t="e">
        <f>VLOOKUP($A125,'S47'!$C:$BQ,40,0)</f>
        <v>#N/A</v>
      </c>
      <c r="AF125" s="107" t="e">
        <f>VLOOKUP($A125,'S47'!$C:$BQ,22,0)</f>
        <v>#N/A</v>
      </c>
      <c r="AG125" s="115" t="e">
        <f>VLOOKUP($A125,'S47'!$C:$BQ,29,0)</f>
        <v>#N/A</v>
      </c>
      <c r="AH125" s="115" t="e">
        <f>VLOOKUP($A125,'S47'!$C:$BQ,30,0)</f>
        <v>#N/A</v>
      </c>
      <c r="AI125" s="115" t="e">
        <f>VLOOKUP($A125,'S47'!$C:$BQ,52,0)</f>
        <v>#N/A</v>
      </c>
      <c r="AJ125" s="115" t="e">
        <f>VLOOKUP($A125,'S47'!$C:$BQ,59,0)</f>
        <v>#N/A</v>
      </c>
      <c r="AK125" s="115" t="e">
        <f>VLOOKUP($A125,'S47'!$C:$BQ,60,0)</f>
        <v>#N/A</v>
      </c>
      <c r="AL125" s="107" t="e">
        <f>VLOOKUP($A125,'S48'!$C:$BQ,32,0)</f>
        <v>#N/A</v>
      </c>
      <c r="AM125" s="107" t="e">
        <f>VLOOKUP($A125,'S48'!$C:$BQ,39,0)</f>
        <v>#N/A</v>
      </c>
      <c r="AN125" s="107" t="e">
        <f>VLOOKUP($A125,'S48'!$C:$BQ,40,0)</f>
        <v>#N/A</v>
      </c>
      <c r="AO125" s="107" t="e">
        <f>VLOOKUP($A125,'S48'!$C:$BQ,22,0)</f>
        <v>#N/A</v>
      </c>
      <c r="AP125" s="115" t="e">
        <f>VLOOKUP($A125,'S48'!$C:$BQ,29,0)</f>
        <v>#N/A</v>
      </c>
      <c r="AQ125" s="115" t="e">
        <f>VLOOKUP($A125,'S48'!$C:$BQ,30,0)</f>
        <v>#N/A</v>
      </c>
      <c r="AR125" s="115" t="e">
        <f>VLOOKUP($A125,'S48'!$C:$BQ,52,0)</f>
        <v>#N/A</v>
      </c>
      <c r="AS125" s="115" t="e">
        <f>VLOOKUP($A125,'S48'!$C:$BQ,59,0)</f>
        <v>#N/A</v>
      </c>
      <c r="AT125" s="115" t="e">
        <f>VLOOKUP($A125,'S48'!$C:$BQ,60,0)</f>
        <v>#N/A</v>
      </c>
      <c r="AU125" s="107" t="e">
        <f>VLOOKUP($A125,'S49'!$C:$BQ,32,0)</f>
        <v>#N/A</v>
      </c>
      <c r="AV125" s="107" t="e">
        <f>VLOOKUP($A125,'S49'!$C:$BQ,39,0)</f>
        <v>#N/A</v>
      </c>
      <c r="AW125" s="107" t="e">
        <f>VLOOKUP($A125,'S49'!$C:$BQ,40,0)</f>
        <v>#N/A</v>
      </c>
      <c r="AX125" s="107" t="e">
        <f>VLOOKUP($A125,'S49'!$C:$BQ,22,0)</f>
        <v>#N/A</v>
      </c>
      <c r="AY125" s="115" t="e">
        <f>VLOOKUP($A125,'S49'!$C:$BQ,29,0)</f>
        <v>#N/A</v>
      </c>
      <c r="AZ125" s="115" t="e">
        <f>VLOOKUP($A125,'S49'!$C:$BQ,30,0)</f>
        <v>#N/A</v>
      </c>
      <c r="BA125" s="115" t="e">
        <f>VLOOKUP($A125,'S49'!$C:$BQ,52,0)</f>
        <v>#N/A</v>
      </c>
      <c r="BB125" s="115" t="e">
        <f>VLOOKUP($A125,'S49'!$C:$BQ,59,0)</f>
        <v>#N/A</v>
      </c>
      <c r="BC125" s="115" t="e">
        <f>VLOOKUP($A125,'S49'!$C:$BQ,60,0)</f>
        <v>#N/A</v>
      </c>
      <c r="BD125" s="107" t="e">
        <f>VLOOKUP($A125,'S50'!$C:$BQ,32,0)</f>
        <v>#N/A</v>
      </c>
      <c r="BE125" s="107" t="e">
        <f>VLOOKUP($A125,'S50'!$C:$BQ,39,0)</f>
        <v>#N/A</v>
      </c>
      <c r="BF125" s="107" t="e">
        <f>VLOOKUP($A125,'S50'!$C:$BQ,40,0)</f>
        <v>#N/A</v>
      </c>
      <c r="BG125" s="107" t="e">
        <f>VLOOKUP($A125,'S50'!$C:$BQ,22,0)</f>
        <v>#N/A</v>
      </c>
      <c r="BH125" s="115" t="e">
        <f>VLOOKUP($A125,'S50'!$C:$BQ,29,0)</f>
        <v>#N/A</v>
      </c>
      <c r="BI125" s="115" t="e">
        <f>VLOOKUP($A125,'S50'!$C:$BQ,30,0)</f>
        <v>#N/A</v>
      </c>
      <c r="BJ125" s="115" t="e">
        <f>VLOOKUP($A125,'S50'!$C:$BQ,52,0)</f>
        <v>#N/A</v>
      </c>
      <c r="BK125" s="115" t="e">
        <f>VLOOKUP($A125,'S50'!$C:$BQ,59,0)</f>
        <v>#N/A</v>
      </c>
      <c r="BL125" s="115" t="e">
        <f>VLOOKUP($A125,'S50'!$C:$BQ,60,0)</f>
        <v>#N/A</v>
      </c>
    </row>
    <row r="126" spans="1:64" x14ac:dyDescent="0.2">
      <c r="A126" s="106" t="s">
        <v>188</v>
      </c>
      <c r="B126" s="107">
        <f>VLOOKUP($A126,'S0 remplacer avec S44'!$C:$BQ,32,0)</f>
        <v>298</v>
      </c>
      <c r="C126" s="107">
        <f>VLOOKUP($A126,'S0 remplacer avec S44'!$C:$BQ,39,0)</f>
        <v>0</v>
      </c>
      <c r="D126" s="107">
        <f>VLOOKUP($A126,'S0 remplacer avec S44'!$C:$BQ,40,0)</f>
        <v>17</v>
      </c>
      <c r="E126" s="107">
        <f>VLOOKUP($A126,'S0 remplacer avec S44'!$C:$BQ,22,0)</f>
        <v>2765.57357</v>
      </c>
      <c r="F126" s="115">
        <f>VLOOKUP($A126,'S0 remplacer avec S44'!$C:$BQ,29,0)</f>
        <v>0</v>
      </c>
      <c r="G126" s="115">
        <f>VLOOKUP($A126,'S0 remplacer avec S44'!$C:$BQ,30,0)</f>
        <v>91</v>
      </c>
      <c r="H126" s="115">
        <f>VLOOKUP($A126,'S0 remplacer avec S44'!$C:$BQ,52,0)</f>
        <v>229.8</v>
      </c>
      <c r="I126" s="115">
        <f>VLOOKUP($A126,'S0 remplacer avec S44'!$C:$BQ,59,0)</f>
        <v>0</v>
      </c>
      <c r="J126" s="115">
        <f>VLOOKUP($A126,'S0 remplacer avec S44'!$C:$BQ,60,0)</f>
        <v>0</v>
      </c>
      <c r="K126" s="107" t="e">
        <f>VLOOKUP($A126,'S45'!$C:$BQ,32,0)</f>
        <v>#N/A</v>
      </c>
      <c r="L126" s="107" t="e">
        <f>VLOOKUP($A126,'S45'!$C:$BQ,39,0)</f>
        <v>#N/A</v>
      </c>
      <c r="M126" s="107" t="e">
        <f>VLOOKUP($A126,'S45'!$C:$BQ,40,0)</f>
        <v>#N/A</v>
      </c>
      <c r="N126" s="107" t="e">
        <f>VLOOKUP($A126,'S45'!$C:$BQ,22,0)</f>
        <v>#N/A</v>
      </c>
      <c r="O126" s="115" t="e">
        <f>VLOOKUP($A126,'S45'!$C:$BQ,29,0)</f>
        <v>#N/A</v>
      </c>
      <c r="P126" s="115" t="e">
        <f>VLOOKUP($A126,'S45'!$C:$BQ,30,0)</f>
        <v>#N/A</v>
      </c>
      <c r="Q126" s="115" t="e">
        <f>VLOOKUP($A126,'S45'!$C:$BQ,52,0)</f>
        <v>#N/A</v>
      </c>
      <c r="R126" s="115" t="e">
        <f>VLOOKUP($A126,'S45'!$C:$BQ,59,0)</f>
        <v>#N/A</v>
      </c>
      <c r="S126" s="115" t="e">
        <f>VLOOKUP($A126,'S45'!$C:$BQ,60,0)</f>
        <v>#N/A</v>
      </c>
      <c r="T126" s="107" t="e">
        <f>VLOOKUP($A126,'S46'!$C:$BQ,32,0)</f>
        <v>#N/A</v>
      </c>
      <c r="U126" s="107" t="e">
        <f>VLOOKUP($A126,'S46'!$C:$BQ,39,0)</f>
        <v>#N/A</v>
      </c>
      <c r="V126" s="107" t="e">
        <f>VLOOKUP($A126,'S46'!$C:$BQ,40,0)</f>
        <v>#N/A</v>
      </c>
      <c r="W126" s="107" t="e">
        <f>VLOOKUP($A126,'S46'!$C:$BQ,22,0)</f>
        <v>#N/A</v>
      </c>
      <c r="X126" s="115" t="e">
        <f>VLOOKUP($A126,'S46'!$C:$BQ,29,0)</f>
        <v>#N/A</v>
      </c>
      <c r="Y126" s="115" t="e">
        <f>VLOOKUP($A126,'S46'!$C:$BQ,30,0)</f>
        <v>#N/A</v>
      </c>
      <c r="Z126" s="115" t="e">
        <f>VLOOKUP($A126,'S46'!$C:$BQ,52,0)</f>
        <v>#N/A</v>
      </c>
      <c r="AA126" s="115" t="e">
        <f>VLOOKUP($A126,'S46'!$C:$BQ,59,0)</f>
        <v>#N/A</v>
      </c>
      <c r="AB126" s="115" t="e">
        <f>VLOOKUP($A126,'S46'!$C:$BQ,60,0)</f>
        <v>#N/A</v>
      </c>
      <c r="AC126" s="107" t="e">
        <f>VLOOKUP($A126,'S47'!$C:$BQ,32,0)</f>
        <v>#N/A</v>
      </c>
      <c r="AD126" s="107" t="e">
        <f>VLOOKUP($A126,'S47'!$C:$BQ,39,0)</f>
        <v>#N/A</v>
      </c>
      <c r="AE126" s="107" t="e">
        <f>VLOOKUP($A126,'S47'!$C:$BQ,40,0)</f>
        <v>#N/A</v>
      </c>
      <c r="AF126" s="107" t="e">
        <f>VLOOKUP($A126,'S47'!$C:$BQ,22,0)</f>
        <v>#N/A</v>
      </c>
      <c r="AG126" s="115" t="e">
        <f>VLOOKUP($A126,'S47'!$C:$BQ,29,0)</f>
        <v>#N/A</v>
      </c>
      <c r="AH126" s="115" t="e">
        <f>VLOOKUP($A126,'S47'!$C:$BQ,30,0)</f>
        <v>#N/A</v>
      </c>
      <c r="AI126" s="115" t="e">
        <f>VLOOKUP($A126,'S47'!$C:$BQ,52,0)</f>
        <v>#N/A</v>
      </c>
      <c r="AJ126" s="115" t="e">
        <f>VLOOKUP($A126,'S47'!$C:$BQ,59,0)</f>
        <v>#N/A</v>
      </c>
      <c r="AK126" s="115" t="e">
        <f>VLOOKUP($A126,'S47'!$C:$BQ,60,0)</f>
        <v>#N/A</v>
      </c>
      <c r="AL126" s="107" t="e">
        <f>VLOOKUP($A126,'S48'!$C:$BQ,32,0)</f>
        <v>#N/A</v>
      </c>
      <c r="AM126" s="107" t="e">
        <f>VLOOKUP($A126,'S48'!$C:$BQ,39,0)</f>
        <v>#N/A</v>
      </c>
      <c r="AN126" s="107" t="e">
        <f>VLOOKUP($A126,'S48'!$C:$BQ,40,0)</f>
        <v>#N/A</v>
      </c>
      <c r="AO126" s="107" t="e">
        <f>VLOOKUP($A126,'S48'!$C:$BQ,22,0)</f>
        <v>#N/A</v>
      </c>
      <c r="AP126" s="115" t="e">
        <f>VLOOKUP($A126,'S48'!$C:$BQ,29,0)</f>
        <v>#N/A</v>
      </c>
      <c r="AQ126" s="115" t="e">
        <f>VLOOKUP($A126,'S48'!$C:$BQ,30,0)</f>
        <v>#N/A</v>
      </c>
      <c r="AR126" s="115" t="e">
        <f>VLOOKUP($A126,'S48'!$C:$BQ,52,0)</f>
        <v>#N/A</v>
      </c>
      <c r="AS126" s="115" t="e">
        <f>VLOOKUP($A126,'S48'!$C:$BQ,59,0)</f>
        <v>#N/A</v>
      </c>
      <c r="AT126" s="115" t="e">
        <f>VLOOKUP($A126,'S48'!$C:$BQ,60,0)</f>
        <v>#N/A</v>
      </c>
      <c r="AU126" s="107" t="e">
        <f>VLOOKUP($A126,'S49'!$C:$BQ,32,0)</f>
        <v>#N/A</v>
      </c>
      <c r="AV126" s="107" t="e">
        <f>VLOOKUP($A126,'S49'!$C:$BQ,39,0)</f>
        <v>#N/A</v>
      </c>
      <c r="AW126" s="107" t="e">
        <f>VLOOKUP($A126,'S49'!$C:$BQ,40,0)</f>
        <v>#N/A</v>
      </c>
      <c r="AX126" s="107" t="e">
        <f>VLOOKUP($A126,'S49'!$C:$BQ,22,0)</f>
        <v>#N/A</v>
      </c>
      <c r="AY126" s="115" t="e">
        <f>VLOOKUP($A126,'S49'!$C:$BQ,29,0)</f>
        <v>#N/A</v>
      </c>
      <c r="AZ126" s="115" t="e">
        <f>VLOOKUP($A126,'S49'!$C:$BQ,30,0)</f>
        <v>#N/A</v>
      </c>
      <c r="BA126" s="115" t="e">
        <f>VLOOKUP($A126,'S49'!$C:$BQ,52,0)</f>
        <v>#N/A</v>
      </c>
      <c r="BB126" s="115" t="e">
        <f>VLOOKUP($A126,'S49'!$C:$BQ,59,0)</f>
        <v>#N/A</v>
      </c>
      <c r="BC126" s="115" t="e">
        <f>VLOOKUP($A126,'S49'!$C:$BQ,60,0)</f>
        <v>#N/A</v>
      </c>
      <c r="BD126" s="107" t="e">
        <f>VLOOKUP($A126,'S50'!$C:$BQ,32,0)</f>
        <v>#N/A</v>
      </c>
      <c r="BE126" s="107" t="e">
        <f>VLOOKUP($A126,'S50'!$C:$BQ,39,0)</f>
        <v>#N/A</v>
      </c>
      <c r="BF126" s="107" t="e">
        <f>VLOOKUP($A126,'S50'!$C:$BQ,40,0)</f>
        <v>#N/A</v>
      </c>
      <c r="BG126" s="107" t="e">
        <f>VLOOKUP($A126,'S50'!$C:$BQ,22,0)</f>
        <v>#N/A</v>
      </c>
      <c r="BH126" s="115" t="e">
        <f>VLOOKUP($A126,'S50'!$C:$BQ,29,0)</f>
        <v>#N/A</v>
      </c>
      <c r="BI126" s="115" t="e">
        <f>VLOOKUP($A126,'S50'!$C:$BQ,30,0)</f>
        <v>#N/A</v>
      </c>
      <c r="BJ126" s="115" t="e">
        <f>VLOOKUP($A126,'S50'!$C:$BQ,52,0)</f>
        <v>#N/A</v>
      </c>
      <c r="BK126" s="115" t="e">
        <f>VLOOKUP($A126,'S50'!$C:$BQ,59,0)</f>
        <v>#N/A</v>
      </c>
      <c r="BL126" s="115" t="e">
        <f>VLOOKUP($A126,'S50'!$C:$BQ,60,0)</f>
        <v>#N/A</v>
      </c>
    </row>
    <row r="127" spans="1:64" x14ac:dyDescent="0.2">
      <c r="A127" s="106" t="s">
        <v>191</v>
      </c>
      <c r="B127" s="107">
        <f>VLOOKUP($A127,'S0 remplacer avec S44'!$C:$BQ,32,0)</f>
        <v>110.9</v>
      </c>
      <c r="C127" s="107">
        <f>VLOOKUP($A127,'S0 remplacer avec S44'!$C:$BQ,39,0)</f>
        <v>91</v>
      </c>
      <c r="D127" s="107">
        <f>VLOOKUP($A127,'S0 remplacer avec S44'!$C:$BQ,40,0)</f>
        <v>131</v>
      </c>
      <c r="E127" s="107">
        <f>VLOOKUP($A127,'S0 remplacer avec S44'!$C:$BQ,22,0)</f>
        <v>1276.3999349999999</v>
      </c>
      <c r="F127" s="115">
        <f>VLOOKUP($A127,'S0 remplacer avec S44'!$C:$BQ,29,0)</f>
        <v>556</v>
      </c>
      <c r="G127" s="115">
        <f>VLOOKUP($A127,'S0 remplacer avec S44'!$C:$BQ,30,0)</f>
        <v>923</v>
      </c>
      <c r="H127" s="115">
        <f>VLOOKUP($A127,'S0 remplacer avec S44'!$C:$BQ,52,0)</f>
        <v>116</v>
      </c>
      <c r="I127" s="115">
        <f>VLOOKUP($A127,'S0 remplacer avec S44'!$C:$BQ,59,0)</f>
        <v>0</v>
      </c>
      <c r="J127" s="115">
        <f>VLOOKUP($A127,'S0 remplacer avec S44'!$C:$BQ,60,0)</f>
        <v>7</v>
      </c>
      <c r="K127" s="107" t="e">
        <f>VLOOKUP($A127,'S45'!$C:$BQ,32,0)</f>
        <v>#N/A</v>
      </c>
      <c r="L127" s="107" t="e">
        <f>VLOOKUP($A127,'S45'!$C:$BQ,39,0)</f>
        <v>#N/A</v>
      </c>
      <c r="M127" s="107" t="e">
        <f>VLOOKUP($A127,'S45'!$C:$BQ,40,0)</f>
        <v>#N/A</v>
      </c>
      <c r="N127" s="107" t="e">
        <f>VLOOKUP($A127,'S45'!$C:$BQ,22,0)</f>
        <v>#N/A</v>
      </c>
      <c r="O127" s="115" t="e">
        <f>VLOOKUP($A127,'S45'!$C:$BQ,29,0)</f>
        <v>#N/A</v>
      </c>
      <c r="P127" s="115" t="e">
        <f>VLOOKUP($A127,'S45'!$C:$BQ,30,0)</f>
        <v>#N/A</v>
      </c>
      <c r="Q127" s="115" t="e">
        <f>VLOOKUP($A127,'S45'!$C:$BQ,52,0)</f>
        <v>#N/A</v>
      </c>
      <c r="R127" s="115" t="e">
        <f>VLOOKUP($A127,'S45'!$C:$BQ,59,0)</f>
        <v>#N/A</v>
      </c>
      <c r="S127" s="115" t="e">
        <f>VLOOKUP($A127,'S45'!$C:$BQ,60,0)</f>
        <v>#N/A</v>
      </c>
      <c r="T127" s="107" t="e">
        <f>VLOOKUP($A127,'S46'!$C:$BQ,32,0)</f>
        <v>#N/A</v>
      </c>
      <c r="U127" s="107" t="e">
        <f>VLOOKUP($A127,'S46'!$C:$BQ,39,0)</f>
        <v>#N/A</v>
      </c>
      <c r="V127" s="107" t="e">
        <f>VLOOKUP($A127,'S46'!$C:$BQ,40,0)</f>
        <v>#N/A</v>
      </c>
      <c r="W127" s="107" t="e">
        <f>VLOOKUP($A127,'S46'!$C:$BQ,22,0)</f>
        <v>#N/A</v>
      </c>
      <c r="X127" s="115" t="e">
        <f>VLOOKUP($A127,'S46'!$C:$BQ,29,0)</f>
        <v>#N/A</v>
      </c>
      <c r="Y127" s="115" t="e">
        <f>VLOOKUP($A127,'S46'!$C:$BQ,30,0)</f>
        <v>#N/A</v>
      </c>
      <c r="Z127" s="115" t="e">
        <f>VLOOKUP($A127,'S46'!$C:$BQ,52,0)</f>
        <v>#N/A</v>
      </c>
      <c r="AA127" s="115" t="e">
        <f>VLOOKUP($A127,'S46'!$C:$BQ,59,0)</f>
        <v>#N/A</v>
      </c>
      <c r="AB127" s="115" t="e">
        <f>VLOOKUP($A127,'S46'!$C:$BQ,60,0)</f>
        <v>#N/A</v>
      </c>
      <c r="AC127" s="107" t="e">
        <f>VLOOKUP($A127,'S47'!$C:$BQ,32,0)</f>
        <v>#N/A</v>
      </c>
      <c r="AD127" s="107" t="e">
        <f>VLOOKUP($A127,'S47'!$C:$BQ,39,0)</f>
        <v>#N/A</v>
      </c>
      <c r="AE127" s="107" t="e">
        <f>VLOOKUP($A127,'S47'!$C:$BQ,40,0)</f>
        <v>#N/A</v>
      </c>
      <c r="AF127" s="107" t="e">
        <f>VLOOKUP($A127,'S47'!$C:$BQ,22,0)</f>
        <v>#N/A</v>
      </c>
      <c r="AG127" s="115" t="e">
        <f>VLOOKUP($A127,'S47'!$C:$BQ,29,0)</f>
        <v>#N/A</v>
      </c>
      <c r="AH127" s="115" t="e">
        <f>VLOOKUP($A127,'S47'!$C:$BQ,30,0)</f>
        <v>#N/A</v>
      </c>
      <c r="AI127" s="115" t="e">
        <f>VLOOKUP($A127,'S47'!$C:$BQ,52,0)</f>
        <v>#N/A</v>
      </c>
      <c r="AJ127" s="115" t="e">
        <f>VLOOKUP($A127,'S47'!$C:$BQ,59,0)</f>
        <v>#N/A</v>
      </c>
      <c r="AK127" s="115" t="e">
        <f>VLOOKUP($A127,'S47'!$C:$BQ,60,0)</f>
        <v>#N/A</v>
      </c>
      <c r="AL127" s="107" t="e">
        <f>VLOOKUP($A127,'S48'!$C:$BQ,32,0)</f>
        <v>#N/A</v>
      </c>
      <c r="AM127" s="107" t="e">
        <f>VLOOKUP($A127,'S48'!$C:$BQ,39,0)</f>
        <v>#N/A</v>
      </c>
      <c r="AN127" s="107" t="e">
        <f>VLOOKUP($A127,'S48'!$C:$BQ,40,0)</f>
        <v>#N/A</v>
      </c>
      <c r="AO127" s="107" t="e">
        <f>VLOOKUP($A127,'S48'!$C:$BQ,22,0)</f>
        <v>#N/A</v>
      </c>
      <c r="AP127" s="115" t="e">
        <f>VLOOKUP($A127,'S48'!$C:$BQ,29,0)</f>
        <v>#N/A</v>
      </c>
      <c r="AQ127" s="115" t="e">
        <f>VLOOKUP($A127,'S48'!$C:$BQ,30,0)</f>
        <v>#N/A</v>
      </c>
      <c r="AR127" s="115" t="e">
        <f>VLOOKUP($A127,'S48'!$C:$BQ,52,0)</f>
        <v>#N/A</v>
      </c>
      <c r="AS127" s="115" t="e">
        <f>VLOOKUP($A127,'S48'!$C:$BQ,59,0)</f>
        <v>#N/A</v>
      </c>
      <c r="AT127" s="115" t="e">
        <f>VLOOKUP($A127,'S48'!$C:$BQ,60,0)</f>
        <v>#N/A</v>
      </c>
      <c r="AU127" s="107" t="e">
        <f>VLOOKUP($A127,'S49'!$C:$BQ,32,0)</f>
        <v>#N/A</v>
      </c>
      <c r="AV127" s="107" t="e">
        <f>VLOOKUP($A127,'S49'!$C:$BQ,39,0)</f>
        <v>#N/A</v>
      </c>
      <c r="AW127" s="107" t="e">
        <f>VLOOKUP($A127,'S49'!$C:$BQ,40,0)</f>
        <v>#N/A</v>
      </c>
      <c r="AX127" s="107" t="e">
        <f>VLOOKUP($A127,'S49'!$C:$BQ,22,0)</f>
        <v>#N/A</v>
      </c>
      <c r="AY127" s="115" t="e">
        <f>VLOOKUP($A127,'S49'!$C:$BQ,29,0)</f>
        <v>#N/A</v>
      </c>
      <c r="AZ127" s="115" t="e">
        <f>VLOOKUP($A127,'S49'!$C:$BQ,30,0)</f>
        <v>#N/A</v>
      </c>
      <c r="BA127" s="115" t="e">
        <f>VLOOKUP($A127,'S49'!$C:$BQ,52,0)</f>
        <v>#N/A</v>
      </c>
      <c r="BB127" s="115" t="e">
        <f>VLOOKUP($A127,'S49'!$C:$BQ,59,0)</f>
        <v>#N/A</v>
      </c>
      <c r="BC127" s="115" t="e">
        <f>VLOOKUP($A127,'S49'!$C:$BQ,60,0)</f>
        <v>#N/A</v>
      </c>
      <c r="BD127" s="107" t="e">
        <f>VLOOKUP($A127,'S50'!$C:$BQ,32,0)</f>
        <v>#N/A</v>
      </c>
      <c r="BE127" s="107" t="e">
        <f>VLOOKUP($A127,'S50'!$C:$BQ,39,0)</f>
        <v>#N/A</v>
      </c>
      <c r="BF127" s="107" t="e">
        <f>VLOOKUP($A127,'S50'!$C:$BQ,40,0)</f>
        <v>#N/A</v>
      </c>
      <c r="BG127" s="107" t="e">
        <f>VLOOKUP($A127,'S50'!$C:$BQ,22,0)</f>
        <v>#N/A</v>
      </c>
      <c r="BH127" s="115" t="e">
        <f>VLOOKUP($A127,'S50'!$C:$BQ,29,0)</f>
        <v>#N/A</v>
      </c>
      <c r="BI127" s="115" t="e">
        <f>VLOOKUP($A127,'S50'!$C:$BQ,30,0)</f>
        <v>#N/A</v>
      </c>
      <c r="BJ127" s="115" t="e">
        <f>VLOOKUP($A127,'S50'!$C:$BQ,52,0)</f>
        <v>#N/A</v>
      </c>
      <c r="BK127" s="115" t="e">
        <f>VLOOKUP($A127,'S50'!$C:$BQ,59,0)</f>
        <v>#N/A</v>
      </c>
      <c r="BL127" s="115" t="e">
        <f>VLOOKUP($A127,'S50'!$C:$BQ,60,0)</f>
        <v>#N/A</v>
      </c>
    </row>
    <row r="128" spans="1:64" x14ac:dyDescent="0.2">
      <c r="A128" s="106" t="s">
        <v>192</v>
      </c>
      <c r="B128" s="107">
        <f>VLOOKUP($A128,'S0 remplacer avec S44'!$C:$BQ,32,0)</f>
        <v>242.1</v>
      </c>
      <c r="C128" s="107">
        <f>VLOOKUP($A128,'S0 remplacer avec S44'!$C:$BQ,39,0)</f>
        <v>0</v>
      </c>
      <c r="D128" s="107">
        <f>VLOOKUP($A128,'S0 remplacer avec S44'!$C:$BQ,40,0)</f>
        <v>35</v>
      </c>
      <c r="E128" s="107">
        <f>VLOOKUP($A128,'S0 remplacer avec S44'!$C:$BQ,22,0)</f>
        <v>1935.76926</v>
      </c>
      <c r="F128" s="115">
        <f>VLOOKUP($A128,'S0 remplacer avec S44'!$C:$BQ,29,0)</f>
        <v>165</v>
      </c>
      <c r="G128" s="115">
        <f>VLOOKUP($A128,'S0 remplacer avec S44'!$C:$BQ,30,0)</f>
        <v>585</v>
      </c>
      <c r="H128" s="115">
        <f>VLOOKUP($A128,'S0 remplacer avec S44'!$C:$BQ,52,0)</f>
        <v>127.6</v>
      </c>
      <c r="I128" s="115">
        <f>VLOOKUP($A128,'S0 remplacer avec S44'!$C:$BQ,59,0)</f>
        <v>0</v>
      </c>
      <c r="J128" s="115">
        <f>VLOOKUP($A128,'S0 remplacer avec S44'!$C:$BQ,60,0)</f>
        <v>14</v>
      </c>
      <c r="K128" s="107" t="e">
        <f>VLOOKUP($A128,'S45'!$C:$BQ,32,0)</f>
        <v>#N/A</v>
      </c>
      <c r="L128" s="107" t="e">
        <f>VLOOKUP($A128,'S45'!$C:$BQ,39,0)</f>
        <v>#N/A</v>
      </c>
      <c r="M128" s="107" t="e">
        <f>VLOOKUP($A128,'S45'!$C:$BQ,40,0)</f>
        <v>#N/A</v>
      </c>
      <c r="N128" s="107" t="e">
        <f>VLOOKUP($A128,'S45'!$C:$BQ,22,0)</f>
        <v>#N/A</v>
      </c>
      <c r="O128" s="115" t="e">
        <f>VLOOKUP($A128,'S45'!$C:$BQ,29,0)</f>
        <v>#N/A</v>
      </c>
      <c r="P128" s="115" t="e">
        <f>VLOOKUP($A128,'S45'!$C:$BQ,30,0)</f>
        <v>#N/A</v>
      </c>
      <c r="Q128" s="115" t="e">
        <f>VLOOKUP($A128,'S45'!$C:$BQ,52,0)</f>
        <v>#N/A</v>
      </c>
      <c r="R128" s="115" t="e">
        <f>VLOOKUP($A128,'S45'!$C:$BQ,59,0)</f>
        <v>#N/A</v>
      </c>
      <c r="S128" s="115" t="e">
        <f>VLOOKUP($A128,'S45'!$C:$BQ,60,0)</f>
        <v>#N/A</v>
      </c>
      <c r="T128" s="107" t="e">
        <f>VLOOKUP($A128,'S46'!$C:$BQ,32,0)</f>
        <v>#N/A</v>
      </c>
      <c r="U128" s="107" t="e">
        <f>VLOOKUP($A128,'S46'!$C:$BQ,39,0)</f>
        <v>#N/A</v>
      </c>
      <c r="V128" s="107" t="e">
        <f>VLOOKUP($A128,'S46'!$C:$BQ,40,0)</f>
        <v>#N/A</v>
      </c>
      <c r="W128" s="107" t="e">
        <f>VLOOKUP($A128,'S46'!$C:$BQ,22,0)</f>
        <v>#N/A</v>
      </c>
      <c r="X128" s="115" t="e">
        <f>VLOOKUP($A128,'S46'!$C:$BQ,29,0)</f>
        <v>#N/A</v>
      </c>
      <c r="Y128" s="115" t="e">
        <f>VLOOKUP($A128,'S46'!$C:$BQ,30,0)</f>
        <v>#N/A</v>
      </c>
      <c r="Z128" s="115" t="e">
        <f>VLOOKUP($A128,'S46'!$C:$BQ,52,0)</f>
        <v>#N/A</v>
      </c>
      <c r="AA128" s="115" t="e">
        <f>VLOOKUP($A128,'S46'!$C:$BQ,59,0)</f>
        <v>#N/A</v>
      </c>
      <c r="AB128" s="115" t="e">
        <f>VLOOKUP($A128,'S46'!$C:$BQ,60,0)</f>
        <v>#N/A</v>
      </c>
      <c r="AC128" s="107" t="e">
        <f>VLOOKUP($A128,'S47'!$C:$BQ,32,0)</f>
        <v>#N/A</v>
      </c>
      <c r="AD128" s="107" t="e">
        <f>VLOOKUP($A128,'S47'!$C:$BQ,39,0)</f>
        <v>#N/A</v>
      </c>
      <c r="AE128" s="107" t="e">
        <f>VLOOKUP($A128,'S47'!$C:$BQ,40,0)</f>
        <v>#N/A</v>
      </c>
      <c r="AF128" s="107" t="e">
        <f>VLOOKUP($A128,'S47'!$C:$BQ,22,0)</f>
        <v>#N/A</v>
      </c>
      <c r="AG128" s="115" t="e">
        <f>VLOOKUP($A128,'S47'!$C:$BQ,29,0)</f>
        <v>#N/A</v>
      </c>
      <c r="AH128" s="115" t="e">
        <f>VLOOKUP($A128,'S47'!$C:$BQ,30,0)</f>
        <v>#N/A</v>
      </c>
      <c r="AI128" s="115" t="e">
        <f>VLOOKUP($A128,'S47'!$C:$BQ,52,0)</f>
        <v>#N/A</v>
      </c>
      <c r="AJ128" s="115" t="e">
        <f>VLOOKUP($A128,'S47'!$C:$BQ,59,0)</f>
        <v>#N/A</v>
      </c>
      <c r="AK128" s="115" t="e">
        <f>VLOOKUP($A128,'S47'!$C:$BQ,60,0)</f>
        <v>#N/A</v>
      </c>
      <c r="AL128" s="107" t="e">
        <f>VLOOKUP($A128,'S48'!$C:$BQ,32,0)</f>
        <v>#N/A</v>
      </c>
      <c r="AM128" s="107" t="e">
        <f>VLOOKUP($A128,'S48'!$C:$BQ,39,0)</f>
        <v>#N/A</v>
      </c>
      <c r="AN128" s="107" t="e">
        <f>VLOOKUP($A128,'S48'!$C:$BQ,40,0)</f>
        <v>#N/A</v>
      </c>
      <c r="AO128" s="107" t="e">
        <f>VLOOKUP($A128,'S48'!$C:$BQ,22,0)</f>
        <v>#N/A</v>
      </c>
      <c r="AP128" s="115" t="e">
        <f>VLOOKUP($A128,'S48'!$C:$BQ,29,0)</f>
        <v>#N/A</v>
      </c>
      <c r="AQ128" s="115" t="e">
        <f>VLOOKUP($A128,'S48'!$C:$BQ,30,0)</f>
        <v>#N/A</v>
      </c>
      <c r="AR128" s="115" t="e">
        <f>VLOOKUP($A128,'S48'!$C:$BQ,52,0)</f>
        <v>#N/A</v>
      </c>
      <c r="AS128" s="115" t="e">
        <f>VLOOKUP($A128,'S48'!$C:$BQ,59,0)</f>
        <v>#N/A</v>
      </c>
      <c r="AT128" s="115" t="e">
        <f>VLOOKUP($A128,'S48'!$C:$BQ,60,0)</f>
        <v>#N/A</v>
      </c>
      <c r="AU128" s="107" t="e">
        <f>VLOOKUP($A128,'S49'!$C:$BQ,32,0)</f>
        <v>#N/A</v>
      </c>
      <c r="AV128" s="107" t="e">
        <f>VLOOKUP($A128,'S49'!$C:$BQ,39,0)</f>
        <v>#N/A</v>
      </c>
      <c r="AW128" s="107" t="e">
        <f>VLOOKUP($A128,'S49'!$C:$BQ,40,0)</f>
        <v>#N/A</v>
      </c>
      <c r="AX128" s="107" t="e">
        <f>VLOOKUP($A128,'S49'!$C:$BQ,22,0)</f>
        <v>#N/A</v>
      </c>
      <c r="AY128" s="115" t="e">
        <f>VLOOKUP($A128,'S49'!$C:$BQ,29,0)</f>
        <v>#N/A</v>
      </c>
      <c r="AZ128" s="115" t="e">
        <f>VLOOKUP($A128,'S49'!$C:$BQ,30,0)</f>
        <v>#N/A</v>
      </c>
      <c r="BA128" s="115" t="e">
        <f>VLOOKUP($A128,'S49'!$C:$BQ,52,0)</f>
        <v>#N/A</v>
      </c>
      <c r="BB128" s="115" t="e">
        <f>VLOOKUP($A128,'S49'!$C:$BQ,59,0)</f>
        <v>#N/A</v>
      </c>
      <c r="BC128" s="115" t="e">
        <f>VLOOKUP($A128,'S49'!$C:$BQ,60,0)</f>
        <v>#N/A</v>
      </c>
      <c r="BD128" s="107" t="e">
        <f>VLOOKUP($A128,'S50'!$C:$BQ,32,0)</f>
        <v>#N/A</v>
      </c>
      <c r="BE128" s="107" t="e">
        <f>VLOOKUP($A128,'S50'!$C:$BQ,39,0)</f>
        <v>#N/A</v>
      </c>
      <c r="BF128" s="107" t="e">
        <f>VLOOKUP($A128,'S50'!$C:$BQ,40,0)</f>
        <v>#N/A</v>
      </c>
      <c r="BG128" s="107" t="e">
        <f>VLOOKUP($A128,'S50'!$C:$BQ,22,0)</f>
        <v>#N/A</v>
      </c>
      <c r="BH128" s="115" t="e">
        <f>VLOOKUP($A128,'S50'!$C:$BQ,29,0)</f>
        <v>#N/A</v>
      </c>
      <c r="BI128" s="115" t="e">
        <f>VLOOKUP($A128,'S50'!$C:$BQ,30,0)</f>
        <v>#N/A</v>
      </c>
      <c r="BJ128" s="115" t="e">
        <f>VLOOKUP($A128,'S50'!$C:$BQ,52,0)</f>
        <v>#N/A</v>
      </c>
      <c r="BK128" s="115" t="e">
        <f>VLOOKUP($A128,'S50'!$C:$BQ,59,0)</f>
        <v>#N/A</v>
      </c>
      <c r="BL128" s="115" t="e">
        <f>VLOOKUP($A128,'S50'!$C:$BQ,60,0)</f>
        <v>#N/A</v>
      </c>
    </row>
    <row r="129" spans="1:64" x14ac:dyDescent="0.2">
      <c r="A129" s="106" t="s">
        <v>193</v>
      </c>
      <c r="B129" s="107">
        <f>VLOOKUP($A129,'S0 remplacer avec S44'!$C:$BQ,32,0)</f>
        <v>218.65</v>
      </c>
      <c r="C129" s="107">
        <f>VLOOKUP($A129,'S0 remplacer avec S44'!$C:$BQ,39,0)</f>
        <v>0</v>
      </c>
      <c r="D129" s="107">
        <f>VLOOKUP($A129,'S0 remplacer avec S44'!$C:$BQ,40,0)</f>
        <v>0</v>
      </c>
      <c r="E129" s="107">
        <f>VLOOKUP($A129,'S0 remplacer avec S44'!$C:$BQ,22,0)</f>
        <v>1429.8662850000001</v>
      </c>
      <c r="F129" s="115">
        <f>VLOOKUP($A129,'S0 remplacer avec S44'!$C:$BQ,29,0)</f>
        <v>187</v>
      </c>
      <c r="G129" s="115">
        <f>VLOOKUP($A129,'S0 remplacer avec S44'!$C:$BQ,30,0)</f>
        <v>510</v>
      </c>
      <c r="H129" s="115">
        <f>VLOOKUP($A129,'S0 remplacer avec S44'!$C:$BQ,52,0)</f>
        <v>130</v>
      </c>
      <c r="I129" s="115">
        <f>VLOOKUP($A129,'S0 remplacer avec S44'!$C:$BQ,59,0)</f>
        <v>0</v>
      </c>
      <c r="J129" s="115">
        <f>VLOOKUP($A129,'S0 remplacer avec S44'!$C:$BQ,60,0)</f>
        <v>0</v>
      </c>
      <c r="K129" s="107" t="e">
        <f>VLOOKUP($A129,'S45'!$C:$BQ,32,0)</f>
        <v>#N/A</v>
      </c>
      <c r="L129" s="107" t="e">
        <f>VLOOKUP($A129,'S45'!$C:$BQ,39,0)</f>
        <v>#N/A</v>
      </c>
      <c r="M129" s="107" t="e">
        <f>VLOOKUP($A129,'S45'!$C:$BQ,40,0)</f>
        <v>#N/A</v>
      </c>
      <c r="N129" s="107" t="e">
        <f>VLOOKUP($A129,'S45'!$C:$BQ,22,0)</f>
        <v>#N/A</v>
      </c>
      <c r="O129" s="115" t="e">
        <f>VLOOKUP($A129,'S45'!$C:$BQ,29,0)</f>
        <v>#N/A</v>
      </c>
      <c r="P129" s="115" t="e">
        <f>VLOOKUP($A129,'S45'!$C:$BQ,30,0)</f>
        <v>#N/A</v>
      </c>
      <c r="Q129" s="115" t="e">
        <f>VLOOKUP($A129,'S45'!$C:$BQ,52,0)</f>
        <v>#N/A</v>
      </c>
      <c r="R129" s="115" t="e">
        <f>VLOOKUP($A129,'S45'!$C:$BQ,59,0)</f>
        <v>#N/A</v>
      </c>
      <c r="S129" s="115" t="e">
        <f>VLOOKUP($A129,'S45'!$C:$BQ,60,0)</f>
        <v>#N/A</v>
      </c>
      <c r="T129" s="107" t="e">
        <f>VLOOKUP($A129,'S46'!$C:$BQ,32,0)</f>
        <v>#N/A</v>
      </c>
      <c r="U129" s="107" t="e">
        <f>VLOOKUP($A129,'S46'!$C:$BQ,39,0)</f>
        <v>#N/A</v>
      </c>
      <c r="V129" s="107" t="e">
        <f>VLOOKUP($A129,'S46'!$C:$BQ,40,0)</f>
        <v>#N/A</v>
      </c>
      <c r="W129" s="107" t="e">
        <f>VLOOKUP($A129,'S46'!$C:$BQ,22,0)</f>
        <v>#N/A</v>
      </c>
      <c r="X129" s="115" t="e">
        <f>VLOOKUP($A129,'S46'!$C:$BQ,29,0)</f>
        <v>#N/A</v>
      </c>
      <c r="Y129" s="115" t="e">
        <f>VLOOKUP($A129,'S46'!$C:$BQ,30,0)</f>
        <v>#N/A</v>
      </c>
      <c r="Z129" s="115" t="e">
        <f>VLOOKUP($A129,'S46'!$C:$BQ,52,0)</f>
        <v>#N/A</v>
      </c>
      <c r="AA129" s="115" t="e">
        <f>VLOOKUP($A129,'S46'!$C:$BQ,59,0)</f>
        <v>#N/A</v>
      </c>
      <c r="AB129" s="115" t="e">
        <f>VLOOKUP($A129,'S46'!$C:$BQ,60,0)</f>
        <v>#N/A</v>
      </c>
      <c r="AC129" s="107" t="e">
        <f>VLOOKUP($A129,'S47'!$C:$BQ,32,0)</f>
        <v>#N/A</v>
      </c>
      <c r="AD129" s="107" t="e">
        <f>VLOOKUP($A129,'S47'!$C:$BQ,39,0)</f>
        <v>#N/A</v>
      </c>
      <c r="AE129" s="107" t="e">
        <f>VLOOKUP($A129,'S47'!$C:$BQ,40,0)</f>
        <v>#N/A</v>
      </c>
      <c r="AF129" s="107" t="e">
        <f>VLOOKUP($A129,'S47'!$C:$BQ,22,0)</f>
        <v>#N/A</v>
      </c>
      <c r="AG129" s="115" t="e">
        <f>VLOOKUP($A129,'S47'!$C:$BQ,29,0)</f>
        <v>#N/A</v>
      </c>
      <c r="AH129" s="115" t="e">
        <f>VLOOKUP($A129,'S47'!$C:$BQ,30,0)</f>
        <v>#N/A</v>
      </c>
      <c r="AI129" s="115" t="e">
        <f>VLOOKUP($A129,'S47'!$C:$BQ,52,0)</f>
        <v>#N/A</v>
      </c>
      <c r="AJ129" s="115" t="e">
        <f>VLOOKUP($A129,'S47'!$C:$BQ,59,0)</f>
        <v>#N/A</v>
      </c>
      <c r="AK129" s="115" t="e">
        <f>VLOOKUP($A129,'S47'!$C:$BQ,60,0)</f>
        <v>#N/A</v>
      </c>
      <c r="AL129" s="107" t="e">
        <f>VLOOKUP($A129,'S48'!$C:$BQ,32,0)</f>
        <v>#N/A</v>
      </c>
      <c r="AM129" s="107" t="e">
        <f>VLOOKUP($A129,'S48'!$C:$BQ,39,0)</f>
        <v>#N/A</v>
      </c>
      <c r="AN129" s="107" t="e">
        <f>VLOOKUP($A129,'S48'!$C:$BQ,40,0)</f>
        <v>#N/A</v>
      </c>
      <c r="AO129" s="107" t="e">
        <f>VLOOKUP($A129,'S48'!$C:$BQ,22,0)</f>
        <v>#N/A</v>
      </c>
      <c r="AP129" s="115" t="e">
        <f>VLOOKUP($A129,'S48'!$C:$BQ,29,0)</f>
        <v>#N/A</v>
      </c>
      <c r="AQ129" s="115" t="e">
        <f>VLOOKUP($A129,'S48'!$C:$BQ,30,0)</f>
        <v>#N/A</v>
      </c>
      <c r="AR129" s="115" t="e">
        <f>VLOOKUP($A129,'S48'!$C:$BQ,52,0)</f>
        <v>#N/A</v>
      </c>
      <c r="AS129" s="115" t="e">
        <f>VLOOKUP($A129,'S48'!$C:$BQ,59,0)</f>
        <v>#N/A</v>
      </c>
      <c r="AT129" s="115" t="e">
        <f>VLOOKUP($A129,'S48'!$C:$BQ,60,0)</f>
        <v>#N/A</v>
      </c>
      <c r="AU129" s="107" t="e">
        <f>VLOOKUP($A129,'S49'!$C:$BQ,32,0)</f>
        <v>#N/A</v>
      </c>
      <c r="AV129" s="107" t="e">
        <f>VLOOKUP($A129,'S49'!$C:$BQ,39,0)</f>
        <v>#N/A</v>
      </c>
      <c r="AW129" s="107" t="e">
        <f>VLOOKUP($A129,'S49'!$C:$BQ,40,0)</f>
        <v>#N/A</v>
      </c>
      <c r="AX129" s="107" t="e">
        <f>VLOOKUP($A129,'S49'!$C:$BQ,22,0)</f>
        <v>#N/A</v>
      </c>
      <c r="AY129" s="115" t="e">
        <f>VLOOKUP($A129,'S49'!$C:$BQ,29,0)</f>
        <v>#N/A</v>
      </c>
      <c r="AZ129" s="115" t="e">
        <f>VLOOKUP($A129,'S49'!$C:$BQ,30,0)</f>
        <v>#N/A</v>
      </c>
      <c r="BA129" s="115" t="e">
        <f>VLOOKUP($A129,'S49'!$C:$BQ,52,0)</f>
        <v>#N/A</v>
      </c>
      <c r="BB129" s="115" t="e">
        <f>VLOOKUP($A129,'S49'!$C:$BQ,59,0)</f>
        <v>#N/A</v>
      </c>
      <c r="BC129" s="115" t="e">
        <f>VLOOKUP($A129,'S49'!$C:$BQ,60,0)</f>
        <v>#N/A</v>
      </c>
      <c r="BD129" s="107" t="e">
        <f>VLOOKUP($A129,'S50'!$C:$BQ,32,0)</f>
        <v>#N/A</v>
      </c>
      <c r="BE129" s="107" t="e">
        <f>VLOOKUP($A129,'S50'!$C:$BQ,39,0)</f>
        <v>#N/A</v>
      </c>
      <c r="BF129" s="107" t="e">
        <f>VLOOKUP($A129,'S50'!$C:$BQ,40,0)</f>
        <v>#N/A</v>
      </c>
      <c r="BG129" s="107" t="e">
        <f>VLOOKUP($A129,'S50'!$C:$BQ,22,0)</f>
        <v>#N/A</v>
      </c>
      <c r="BH129" s="115" t="e">
        <f>VLOOKUP($A129,'S50'!$C:$BQ,29,0)</f>
        <v>#N/A</v>
      </c>
      <c r="BI129" s="115" t="e">
        <f>VLOOKUP($A129,'S50'!$C:$BQ,30,0)</f>
        <v>#N/A</v>
      </c>
      <c r="BJ129" s="115" t="e">
        <f>VLOOKUP($A129,'S50'!$C:$BQ,52,0)</f>
        <v>#N/A</v>
      </c>
      <c r="BK129" s="115" t="e">
        <f>VLOOKUP($A129,'S50'!$C:$BQ,59,0)</f>
        <v>#N/A</v>
      </c>
      <c r="BL129" s="115" t="e">
        <f>VLOOKUP($A129,'S50'!$C:$BQ,60,0)</f>
        <v>#N/A</v>
      </c>
    </row>
    <row r="130" spans="1:64" x14ac:dyDescent="0.2">
      <c r="A130" s="106" t="s">
        <v>194</v>
      </c>
      <c r="B130" s="107">
        <f>VLOOKUP($A130,'S0 remplacer avec S44'!$C:$BQ,32,0)</f>
        <v>133.30000000000001</v>
      </c>
      <c r="C130" s="107">
        <f>VLOOKUP($A130,'S0 remplacer avec S44'!$C:$BQ,39,0)</f>
        <v>0</v>
      </c>
      <c r="D130" s="107">
        <f>VLOOKUP($A130,'S0 remplacer avec S44'!$C:$BQ,40,0)</f>
        <v>15</v>
      </c>
      <c r="E130" s="107">
        <f>VLOOKUP($A130,'S0 remplacer avec S44'!$C:$BQ,22,0)</f>
        <v>1786.8228799999999</v>
      </c>
      <c r="F130" s="115">
        <f>VLOOKUP($A130,'S0 remplacer avec S44'!$C:$BQ,29,0)</f>
        <v>0</v>
      </c>
      <c r="G130" s="115">
        <f>VLOOKUP($A130,'S0 remplacer avec S44'!$C:$BQ,30,0)</f>
        <v>0</v>
      </c>
      <c r="H130" s="115">
        <f>VLOOKUP($A130,'S0 remplacer avec S44'!$C:$BQ,52,0)</f>
        <v>94.6</v>
      </c>
      <c r="I130" s="115">
        <f>VLOOKUP($A130,'S0 remplacer avec S44'!$C:$BQ,59,0)</f>
        <v>0</v>
      </c>
      <c r="J130" s="115">
        <f>VLOOKUP($A130,'S0 remplacer avec S44'!$C:$BQ,60,0)</f>
        <v>0</v>
      </c>
      <c r="K130" s="107" t="e">
        <f>VLOOKUP($A130,'S45'!$C:$BQ,32,0)</f>
        <v>#N/A</v>
      </c>
      <c r="L130" s="107" t="e">
        <f>VLOOKUP($A130,'S45'!$C:$BQ,39,0)</f>
        <v>#N/A</v>
      </c>
      <c r="M130" s="107" t="e">
        <f>VLOOKUP($A130,'S45'!$C:$BQ,40,0)</f>
        <v>#N/A</v>
      </c>
      <c r="N130" s="107" t="e">
        <f>VLOOKUP($A130,'S45'!$C:$BQ,22,0)</f>
        <v>#N/A</v>
      </c>
      <c r="O130" s="115" t="e">
        <f>VLOOKUP($A130,'S45'!$C:$BQ,29,0)</f>
        <v>#N/A</v>
      </c>
      <c r="P130" s="115" t="e">
        <f>VLOOKUP($A130,'S45'!$C:$BQ,30,0)</f>
        <v>#N/A</v>
      </c>
      <c r="Q130" s="115" t="e">
        <f>VLOOKUP($A130,'S45'!$C:$BQ,52,0)</f>
        <v>#N/A</v>
      </c>
      <c r="R130" s="115" t="e">
        <f>VLOOKUP($A130,'S45'!$C:$BQ,59,0)</f>
        <v>#N/A</v>
      </c>
      <c r="S130" s="115" t="e">
        <f>VLOOKUP($A130,'S45'!$C:$BQ,60,0)</f>
        <v>#N/A</v>
      </c>
      <c r="T130" s="107" t="e">
        <f>VLOOKUP($A130,'S46'!$C:$BQ,32,0)</f>
        <v>#N/A</v>
      </c>
      <c r="U130" s="107" t="e">
        <f>VLOOKUP($A130,'S46'!$C:$BQ,39,0)</f>
        <v>#N/A</v>
      </c>
      <c r="V130" s="107" t="e">
        <f>VLOOKUP($A130,'S46'!$C:$BQ,40,0)</f>
        <v>#N/A</v>
      </c>
      <c r="W130" s="107" t="e">
        <f>VLOOKUP($A130,'S46'!$C:$BQ,22,0)</f>
        <v>#N/A</v>
      </c>
      <c r="X130" s="115" t="e">
        <f>VLOOKUP($A130,'S46'!$C:$BQ,29,0)</f>
        <v>#N/A</v>
      </c>
      <c r="Y130" s="115" t="e">
        <f>VLOOKUP($A130,'S46'!$C:$BQ,30,0)</f>
        <v>#N/A</v>
      </c>
      <c r="Z130" s="115" t="e">
        <f>VLOOKUP($A130,'S46'!$C:$BQ,52,0)</f>
        <v>#N/A</v>
      </c>
      <c r="AA130" s="115" t="e">
        <f>VLOOKUP($A130,'S46'!$C:$BQ,59,0)</f>
        <v>#N/A</v>
      </c>
      <c r="AB130" s="115" t="e">
        <f>VLOOKUP($A130,'S46'!$C:$BQ,60,0)</f>
        <v>#N/A</v>
      </c>
      <c r="AC130" s="107" t="e">
        <f>VLOOKUP($A130,'S47'!$C:$BQ,32,0)</f>
        <v>#N/A</v>
      </c>
      <c r="AD130" s="107" t="e">
        <f>VLOOKUP($A130,'S47'!$C:$BQ,39,0)</f>
        <v>#N/A</v>
      </c>
      <c r="AE130" s="107" t="e">
        <f>VLOOKUP($A130,'S47'!$C:$BQ,40,0)</f>
        <v>#N/A</v>
      </c>
      <c r="AF130" s="107" t="e">
        <f>VLOOKUP($A130,'S47'!$C:$BQ,22,0)</f>
        <v>#N/A</v>
      </c>
      <c r="AG130" s="115" t="e">
        <f>VLOOKUP($A130,'S47'!$C:$BQ,29,0)</f>
        <v>#N/A</v>
      </c>
      <c r="AH130" s="115" t="e">
        <f>VLOOKUP($A130,'S47'!$C:$BQ,30,0)</f>
        <v>#N/A</v>
      </c>
      <c r="AI130" s="115" t="e">
        <f>VLOOKUP($A130,'S47'!$C:$BQ,52,0)</f>
        <v>#N/A</v>
      </c>
      <c r="AJ130" s="115" t="e">
        <f>VLOOKUP($A130,'S47'!$C:$BQ,59,0)</f>
        <v>#N/A</v>
      </c>
      <c r="AK130" s="115" t="e">
        <f>VLOOKUP($A130,'S47'!$C:$BQ,60,0)</f>
        <v>#N/A</v>
      </c>
      <c r="AL130" s="107" t="e">
        <f>VLOOKUP($A130,'S48'!$C:$BQ,32,0)</f>
        <v>#N/A</v>
      </c>
      <c r="AM130" s="107" t="e">
        <f>VLOOKUP($A130,'S48'!$C:$BQ,39,0)</f>
        <v>#N/A</v>
      </c>
      <c r="AN130" s="107" t="e">
        <f>VLOOKUP($A130,'S48'!$C:$BQ,40,0)</f>
        <v>#N/A</v>
      </c>
      <c r="AO130" s="107" t="e">
        <f>VLOOKUP($A130,'S48'!$C:$BQ,22,0)</f>
        <v>#N/A</v>
      </c>
      <c r="AP130" s="115" t="e">
        <f>VLOOKUP($A130,'S48'!$C:$BQ,29,0)</f>
        <v>#N/A</v>
      </c>
      <c r="AQ130" s="115" t="e">
        <f>VLOOKUP($A130,'S48'!$C:$BQ,30,0)</f>
        <v>#N/A</v>
      </c>
      <c r="AR130" s="115" t="e">
        <f>VLOOKUP($A130,'S48'!$C:$BQ,52,0)</f>
        <v>#N/A</v>
      </c>
      <c r="AS130" s="115" t="e">
        <f>VLOOKUP($A130,'S48'!$C:$BQ,59,0)</f>
        <v>#N/A</v>
      </c>
      <c r="AT130" s="115" t="e">
        <f>VLOOKUP($A130,'S48'!$C:$BQ,60,0)</f>
        <v>#N/A</v>
      </c>
      <c r="AU130" s="107" t="e">
        <f>VLOOKUP($A130,'S49'!$C:$BQ,32,0)</f>
        <v>#N/A</v>
      </c>
      <c r="AV130" s="107" t="e">
        <f>VLOOKUP($A130,'S49'!$C:$BQ,39,0)</f>
        <v>#N/A</v>
      </c>
      <c r="AW130" s="107" t="e">
        <f>VLOOKUP($A130,'S49'!$C:$BQ,40,0)</f>
        <v>#N/A</v>
      </c>
      <c r="AX130" s="107" t="e">
        <f>VLOOKUP($A130,'S49'!$C:$BQ,22,0)</f>
        <v>#N/A</v>
      </c>
      <c r="AY130" s="115" t="e">
        <f>VLOOKUP($A130,'S49'!$C:$BQ,29,0)</f>
        <v>#N/A</v>
      </c>
      <c r="AZ130" s="115" t="e">
        <f>VLOOKUP($A130,'S49'!$C:$BQ,30,0)</f>
        <v>#N/A</v>
      </c>
      <c r="BA130" s="115" t="e">
        <f>VLOOKUP($A130,'S49'!$C:$BQ,52,0)</f>
        <v>#N/A</v>
      </c>
      <c r="BB130" s="115" t="e">
        <f>VLOOKUP($A130,'S49'!$C:$BQ,59,0)</f>
        <v>#N/A</v>
      </c>
      <c r="BC130" s="115" t="e">
        <f>VLOOKUP($A130,'S49'!$C:$BQ,60,0)</f>
        <v>#N/A</v>
      </c>
      <c r="BD130" s="107" t="e">
        <f>VLOOKUP($A130,'S50'!$C:$BQ,32,0)</f>
        <v>#N/A</v>
      </c>
      <c r="BE130" s="107" t="e">
        <f>VLOOKUP($A130,'S50'!$C:$BQ,39,0)</f>
        <v>#N/A</v>
      </c>
      <c r="BF130" s="107" t="e">
        <f>VLOOKUP($A130,'S50'!$C:$BQ,40,0)</f>
        <v>#N/A</v>
      </c>
      <c r="BG130" s="107" t="e">
        <f>VLOOKUP($A130,'S50'!$C:$BQ,22,0)</f>
        <v>#N/A</v>
      </c>
      <c r="BH130" s="115" t="e">
        <f>VLOOKUP($A130,'S50'!$C:$BQ,29,0)</f>
        <v>#N/A</v>
      </c>
      <c r="BI130" s="115" t="e">
        <f>VLOOKUP($A130,'S50'!$C:$BQ,30,0)</f>
        <v>#N/A</v>
      </c>
      <c r="BJ130" s="115" t="e">
        <f>VLOOKUP($A130,'S50'!$C:$BQ,52,0)</f>
        <v>#N/A</v>
      </c>
      <c r="BK130" s="115" t="e">
        <f>VLOOKUP($A130,'S50'!$C:$BQ,59,0)</f>
        <v>#N/A</v>
      </c>
      <c r="BL130" s="115" t="e">
        <f>VLOOKUP($A130,'S50'!$C:$BQ,60,0)</f>
        <v>#N/A</v>
      </c>
    </row>
    <row r="131" spans="1:64" x14ac:dyDescent="0.2">
      <c r="A131" s="106" t="s">
        <v>195</v>
      </c>
      <c r="B131" s="107">
        <f>VLOOKUP($A131,'S0 remplacer avec S44'!$C:$BQ,32,0)</f>
        <v>367.4</v>
      </c>
      <c r="C131" s="107">
        <f>VLOOKUP($A131,'S0 remplacer avec S44'!$C:$BQ,39,0)</f>
        <v>10</v>
      </c>
      <c r="D131" s="107">
        <f>VLOOKUP($A131,'S0 remplacer avec S44'!$C:$BQ,40,0)</f>
        <v>86</v>
      </c>
      <c r="E131" s="107">
        <f>VLOOKUP($A131,'S0 remplacer avec S44'!$C:$BQ,22,0)</f>
        <v>2429.9567200000001</v>
      </c>
      <c r="F131" s="115">
        <f>VLOOKUP($A131,'S0 remplacer avec S44'!$C:$BQ,29,0)</f>
        <v>1003</v>
      </c>
      <c r="G131" s="115">
        <f>VLOOKUP($A131,'S0 remplacer avec S44'!$C:$BQ,30,0)</f>
        <v>1690</v>
      </c>
      <c r="H131" s="115">
        <f>VLOOKUP($A131,'S0 remplacer avec S44'!$C:$BQ,52,0)</f>
        <v>212.2</v>
      </c>
      <c r="I131" s="115">
        <f>VLOOKUP($A131,'S0 remplacer avec S44'!$C:$BQ,59,0)</f>
        <v>0</v>
      </c>
      <c r="J131" s="115">
        <f>VLOOKUP($A131,'S0 remplacer avec S44'!$C:$BQ,60,0)</f>
        <v>18</v>
      </c>
      <c r="K131" s="107" t="e">
        <f>VLOOKUP($A131,'S45'!$C:$BQ,32,0)</f>
        <v>#N/A</v>
      </c>
      <c r="L131" s="107" t="e">
        <f>VLOOKUP($A131,'S45'!$C:$BQ,39,0)</f>
        <v>#N/A</v>
      </c>
      <c r="M131" s="107" t="e">
        <f>VLOOKUP($A131,'S45'!$C:$BQ,40,0)</f>
        <v>#N/A</v>
      </c>
      <c r="N131" s="107" t="e">
        <f>VLOOKUP($A131,'S45'!$C:$BQ,22,0)</f>
        <v>#N/A</v>
      </c>
      <c r="O131" s="115" t="e">
        <f>VLOOKUP($A131,'S45'!$C:$BQ,29,0)</f>
        <v>#N/A</v>
      </c>
      <c r="P131" s="115" t="e">
        <f>VLOOKUP($A131,'S45'!$C:$BQ,30,0)</f>
        <v>#N/A</v>
      </c>
      <c r="Q131" s="115" t="e">
        <f>VLOOKUP($A131,'S45'!$C:$BQ,52,0)</f>
        <v>#N/A</v>
      </c>
      <c r="R131" s="115" t="e">
        <f>VLOOKUP($A131,'S45'!$C:$BQ,59,0)</f>
        <v>#N/A</v>
      </c>
      <c r="S131" s="115" t="e">
        <f>VLOOKUP($A131,'S45'!$C:$BQ,60,0)</f>
        <v>#N/A</v>
      </c>
      <c r="T131" s="107" t="e">
        <f>VLOOKUP($A131,'S46'!$C:$BQ,32,0)</f>
        <v>#N/A</v>
      </c>
      <c r="U131" s="107" t="e">
        <f>VLOOKUP($A131,'S46'!$C:$BQ,39,0)</f>
        <v>#N/A</v>
      </c>
      <c r="V131" s="107" t="e">
        <f>VLOOKUP($A131,'S46'!$C:$BQ,40,0)</f>
        <v>#N/A</v>
      </c>
      <c r="W131" s="107" t="e">
        <f>VLOOKUP($A131,'S46'!$C:$BQ,22,0)</f>
        <v>#N/A</v>
      </c>
      <c r="X131" s="115" t="e">
        <f>VLOOKUP($A131,'S46'!$C:$BQ,29,0)</f>
        <v>#N/A</v>
      </c>
      <c r="Y131" s="115" t="e">
        <f>VLOOKUP($A131,'S46'!$C:$BQ,30,0)</f>
        <v>#N/A</v>
      </c>
      <c r="Z131" s="115" t="e">
        <f>VLOOKUP($A131,'S46'!$C:$BQ,52,0)</f>
        <v>#N/A</v>
      </c>
      <c r="AA131" s="115" t="e">
        <f>VLOOKUP($A131,'S46'!$C:$BQ,59,0)</f>
        <v>#N/A</v>
      </c>
      <c r="AB131" s="115" t="e">
        <f>VLOOKUP($A131,'S46'!$C:$BQ,60,0)</f>
        <v>#N/A</v>
      </c>
      <c r="AC131" s="107" t="e">
        <f>VLOOKUP($A131,'S47'!$C:$BQ,32,0)</f>
        <v>#N/A</v>
      </c>
      <c r="AD131" s="107" t="e">
        <f>VLOOKUP($A131,'S47'!$C:$BQ,39,0)</f>
        <v>#N/A</v>
      </c>
      <c r="AE131" s="107" t="e">
        <f>VLOOKUP($A131,'S47'!$C:$BQ,40,0)</f>
        <v>#N/A</v>
      </c>
      <c r="AF131" s="107" t="e">
        <f>VLOOKUP($A131,'S47'!$C:$BQ,22,0)</f>
        <v>#N/A</v>
      </c>
      <c r="AG131" s="115" t="e">
        <f>VLOOKUP($A131,'S47'!$C:$BQ,29,0)</f>
        <v>#N/A</v>
      </c>
      <c r="AH131" s="115" t="e">
        <f>VLOOKUP($A131,'S47'!$C:$BQ,30,0)</f>
        <v>#N/A</v>
      </c>
      <c r="AI131" s="115" t="e">
        <f>VLOOKUP($A131,'S47'!$C:$BQ,52,0)</f>
        <v>#N/A</v>
      </c>
      <c r="AJ131" s="115" t="e">
        <f>VLOOKUP($A131,'S47'!$C:$BQ,59,0)</f>
        <v>#N/A</v>
      </c>
      <c r="AK131" s="115" t="e">
        <f>VLOOKUP($A131,'S47'!$C:$BQ,60,0)</f>
        <v>#N/A</v>
      </c>
      <c r="AL131" s="107" t="e">
        <f>VLOOKUP($A131,'S48'!$C:$BQ,32,0)</f>
        <v>#N/A</v>
      </c>
      <c r="AM131" s="107" t="e">
        <f>VLOOKUP($A131,'S48'!$C:$BQ,39,0)</f>
        <v>#N/A</v>
      </c>
      <c r="AN131" s="107" t="e">
        <f>VLOOKUP($A131,'S48'!$C:$BQ,40,0)</f>
        <v>#N/A</v>
      </c>
      <c r="AO131" s="107" t="e">
        <f>VLOOKUP($A131,'S48'!$C:$BQ,22,0)</f>
        <v>#N/A</v>
      </c>
      <c r="AP131" s="115" t="e">
        <f>VLOOKUP($A131,'S48'!$C:$BQ,29,0)</f>
        <v>#N/A</v>
      </c>
      <c r="AQ131" s="115" t="e">
        <f>VLOOKUP($A131,'S48'!$C:$BQ,30,0)</f>
        <v>#N/A</v>
      </c>
      <c r="AR131" s="115" t="e">
        <f>VLOOKUP($A131,'S48'!$C:$BQ,52,0)</f>
        <v>#N/A</v>
      </c>
      <c r="AS131" s="115" t="e">
        <f>VLOOKUP($A131,'S48'!$C:$BQ,59,0)</f>
        <v>#N/A</v>
      </c>
      <c r="AT131" s="115" t="e">
        <f>VLOOKUP($A131,'S48'!$C:$BQ,60,0)</f>
        <v>#N/A</v>
      </c>
      <c r="AU131" s="107" t="e">
        <f>VLOOKUP($A131,'S49'!$C:$BQ,32,0)</f>
        <v>#N/A</v>
      </c>
      <c r="AV131" s="107" t="e">
        <f>VLOOKUP($A131,'S49'!$C:$BQ,39,0)</f>
        <v>#N/A</v>
      </c>
      <c r="AW131" s="107" t="e">
        <f>VLOOKUP($A131,'S49'!$C:$BQ,40,0)</f>
        <v>#N/A</v>
      </c>
      <c r="AX131" s="107" t="e">
        <f>VLOOKUP($A131,'S49'!$C:$BQ,22,0)</f>
        <v>#N/A</v>
      </c>
      <c r="AY131" s="115" t="e">
        <f>VLOOKUP($A131,'S49'!$C:$BQ,29,0)</f>
        <v>#N/A</v>
      </c>
      <c r="AZ131" s="115" t="e">
        <f>VLOOKUP($A131,'S49'!$C:$BQ,30,0)</f>
        <v>#N/A</v>
      </c>
      <c r="BA131" s="115" t="e">
        <f>VLOOKUP($A131,'S49'!$C:$BQ,52,0)</f>
        <v>#N/A</v>
      </c>
      <c r="BB131" s="115" t="e">
        <f>VLOOKUP($A131,'S49'!$C:$BQ,59,0)</f>
        <v>#N/A</v>
      </c>
      <c r="BC131" s="115" t="e">
        <f>VLOOKUP($A131,'S49'!$C:$BQ,60,0)</f>
        <v>#N/A</v>
      </c>
      <c r="BD131" s="107" t="e">
        <f>VLOOKUP($A131,'S50'!$C:$BQ,32,0)</f>
        <v>#N/A</v>
      </c>
      <c r="BE131" s="107" t="e">
        <f>VLOOKUP($A131,'S50'!$C:$BQ,39,0)</f>
        <v>#N/A</v>
      </c>
      <c r="BF131" s="107" t="e">
        <f>VLOOKUP($A131,'S50'!$C:$BQ,40,0)</f>
        <v>#N/A</v>
      </c>
      <c r="BG131" s="107" t="e">
        <f>VLOOKUP($A131,'S50'!$C:$BQ,22,0)</f>
        <v>#N/A</v>
      </c>
      <c r="BH131" s="115" t="e">
        <f>VLOOKUP($A131,'S50'!$C:$BQ,29,0)</f>
        <v>#N/A</v>
      </c>
      <c r="BI131" s="115" t="e">
        <f>VLOOKUP($A131,'S50'!$C:$BQ,30,0)</f>
        <v>#N/A</v>
      </c>
      <c r="BJ131" s="115" t="e">
        <f>VLOOKUP($A131,'S50'!$C:$BQ,52,0)</f>
        <v>#N/A</v>
      </c>
      <c r="BK131" s="115" t="e">
        <f>VLOOKUP($A131,'S50'!$C:$BQ,59,0)</f>
        <v>#N/A</v>
      </c>
      <c r="BL131" s="115" t="e">
        <f>VLOOKUP($A131,'S50'!$C:$BQ,60,0)</f>
        <v>#N/A</v>
      </c>
    </row>
    <row r="132" spans="1:64" x14ac:dyDescent="0.2">
      <c r="A132" s="106" t="s">
        <v>196</v>
      </c>
      <c r="B132" s="107">
        <f>VLOOKUP($A132,'S0 remplacer avec S44'!$C:$BQ,32,0)</f>
        <v>265.2</v>
      </c>
      <c r="C132" s="107">
        <f>VLOOKUP($A132,'S0 remplacer avec S44'!$C:$BQ,39,0)</f>
        <v>0</v>
      </c>
      <c r="D132" s="107">
        <f>VLOOKUP($A132,'S0 remplacer avec S44'!$C:$BQ,40,0)</f>
        <v>28</v>
      </c>
      <c r="E132" s="107">
        <f>VLOOKUP($A132,'S0 remplacer avec S44'!$C:$BQ,22,0)</f>
        <v>2567.868665</v>
      </c>
      <c r="F132" s="115">
        <f>VLOOKUP($A132,'S0 remplacer avec S44'!$C:$BQ,29,0)</f>
        <v>0</v>
      </c>
      <c r="G132" s="115">
        <f>VLOOKUP($A132,'S0 remplacer avec S44'!$C:$BQ,30,0)</f>
        <v>96</v>
      </c>
      <c r="H132" s="115">
        <f>VLOOKUP($A132,'S0 remplacer avec S44'!$C:$BQ,52,0)</f>
        <v>211.8</v>
      </c>
      <c r="I132" s="115">
        <f>VLOOKUP($A132,'S0 remplacer avec S44'!$C:$BQ,59,0)</f>
        <v>0</v>
      </c>
      <c r="J132" s="115">
        <f>VLOOKUP($A132,'S0 remplacer avec S44'!$C:$BQ,60,0)</f>
        <v>0</v>
      </c>
      <c r="K132" s="107" t="e">
        <f>VLOOKUP($A132,'S45'!$C:$BQ,32,0)</f>
        <v>#N/A</v>
      </c>
      <c r="L132" s="107" t="e">
        <f>VLOOKUP($A132,'S45'!$C:$BQ,39,0)</f>
        <v>#N/A</v>
      </c>
      <c r="M132" s="107" t="e">
        <f>VLOOKUP($A132,'S45'!$C:$BQ,40,0)</f>
        <v>#N/A</v>
      </c>
      <c r="N132" s="107" t="e">
        <f>VLOOKUP($A132,'S45'!$C:$BQ,22,0)</f>
        <v>#N/A</v>
      </c>
      <c r="O132" s="115" t="e">
        <f>VLOOKUP($A132,'S45'!$C:$BQ,29,0)</f>
        <v>#N/A</v>
      </c>
      <c r="P132" s="115" t="e">
        <f>VLOOKUP($A132,'S45'!$C:$BQ,30,0)</f>
        <v>#N/A</v>
      </c>
      <c r="Q132" s="115" t="e">
        <f>VLOOKUP($A132,'S45'!$C:$BQ,52,0)</f>
        <v>#N/A</v>
      </c>
      <c r="R132" s="115" t="e">
        <f>VLOOKUP($A132,'S45'!$C:$BQ,59,0)</f>
        <v>#N/A</v>
      </c>
      <c r="S132" s="115" t="e">
        <f>VLOOKUP($A132,'S45'!$C:$BQ,60,0)</f>
        <v>#N/A</v>
      </c>
      <c r="T132" s="107" t="e">
        <f>VLOOKUP($A132,'S46'!$C:$BQ,32,0)</f>
        <v>#N/A</v>
      </c>
      <c r="U132" s="107" t="e">
        <f>VLOOKUP($A132,'S46'!$C:$BQ,39,0)</f>
        <v>#N/A</v>
      </c>
      <c r="V132" s="107" t="e">
        <f>VLOOKUP($A132,'S46'!$C:$BQ,40,0)</f>
        <v>#N/A</v>
      </c>
      <c r="W132" s="107" t="e">
        <f>VLOOKUP($A132,'S46'!$C:$BQ,22,0)</f>
        <v>#N/A</v>
      </c>
      <c r="X132" s="115" t="e">
        <f>VLOOKUP($A132,'S46'!$C:$BQ,29,0)</f>
        <v>#N/A</v>
      </c>
      <c r="Y132" s="115" t="e">
        <f>VLOOKUP($A132,'S46'!$C:$BQ,30,0)</f>
        <v>#N/A</v>
      </c>
      <c r="Z132" s="115" t="e">
        <f>VLOOKUP($A132,'S46'!$C:$BQ,52,0)</f>
        <v>#N/A</v>
      </c>
      <c r="AA132" s="115" t="e">
        <f>VLOOKUP($A132,'S46'!$C:$BQ,59,0)</f>
        <v>#N/A</v>
      </c>
      <c r="AB132" s="115" t="e">
        <f>VLOOKUP($A132,'S46'!$C:$BQ,60,0)</f>
        <v>#N/A</v>
      </c>
      <c r="AC132" s="107" t="e">
        <f>VLOOKUP($A132,'S47'!$C:$BQ,32,0)</f>
        <v>#N/A</v>
      </c>
      <c r="AD132" s="107" t="e">
        <f>VLOOKUP($A132,'S47'!$C:$BQ,39,0)</f>
        <v>#N/A</v>
      </c>
      <c r="AE132" s="107" t="e">
        <f>VLOOKUP($A132,'S47'!$C:$BQ,40,0)</f>
        <v>#N/A</v>
      </c>
      <c r="AF132" s="107" t="e">
        <f>VLOOKUP($A132,'S47'!$C:$BQ,22,0)</f>
        <v>#N/A</v>
      </c>
      <c r="AG132" s="115" t="e">
        <f>VLOOKUP($A132,'S47'!$C:$BQ,29,0)</f>
        <v>#N/A</v>
      </c>
      <c r="AH132" s="115" t="e">
        <f>VLOOKUP($A132,'S47'!$C:$BQ,30,0)</f>
        <v>#N/A</v>
      </c>
      <c r="AI132" s="115" t="e">
        <f>VLOOKUP($A132,'S47'!$C:$BQ,52,0)</f>
        <v>#N/A</v>
      </c>
      <c r="AJ132" s="115" t="e">
        <f>VLOOKUP($A132,'S47'!$C:$BQ,59,0)</f>
        <v>#N/A</v>
      </c>
      <c r="AK132" s="115" t="e">
        <f>VLOOKUP($A132,'S47'!$C:$BQ,60,0)</f>
        <v>#N/A</v>
      </c>
      <c r="AL132" s="107" t="e">
        <f>VLOOKUP($A132,'S48'!$C:$BQ,32,0)</f>
        <v>#N/A</v>
      </c>
      <c r="AM132" s="107" t="e">
        <f>VLOOKUP($A132,'S48'!$C:$BQ,39,0)</f>
        <v>#N/A</v>
      </c>
      <c r="AN132" s="107" t="e">
        <f>VLOOKUP($A132,'S48'!$C:$BQ,40,0)</f>
        <v>#N/A</v>
      </c>
      <c r="AO132" s="107" t="e">
        <f>VLOOKUP($A132,'S48'!$C:$BQ,22,0)</f>
        <v>#N/A</v>
      </c>
      <c r="AP132" s="115" t="e">
        <f>VLOOKUP($A132,'S48'!$C:$BQ,29,0)</f>
        <v>#N/A</v>
      </c>
      <c r="AQ132" s="115" t="e">
        <f>VLOOKUP($A132,'S48'!$C:$BQ,30,0)</f>
        <v>#N/A</v>
      </c>
      <c r="AR132" s="115" t="e">
        <f>VLOOKUP($A132,'S48'!$C:$BQ,52,0)</f>
        <v>#N/A</v>
      </c>
      <c r="AS132" s="115" t="e">
        <f>VLOOKUP($A132,'S48'!$C:$BQ,59,0)</f>
        <v>#N/A</v>
      </c>
      <c r="AT132" s="115" t="e">
        <f>VLOOKUP($A132,'S48'!$C:$BQ,60,0)</f>
        <v>#N/A</v>
      </c>
      <c r="AU132" s="107" t="e">
        <f>VLOOKUP($A132,'S49'!$C:$BQ,32,0)</f>
        <v>#N/A</v>
      </c>
      <c r="AV132" s="107" t="e">
        <f>VLOOKUP($A132,'S49'!$C:$BQ,39,0)</f>
        <v>#N/A</v>
      </c>
      <c r="AW132" s="107" t="e">
        <f>VLOOKUP($A132,'S49'!$C:$BQ,40,0)</f>
        <v>#N/A</v>
      </c>
      <c r="AX132" s="107" t="e">
        <f>VLOOKUP($A132,'S49'!$C:$BQ,22,0)</f>
        <v>#N/A</v>
      </c>
      <c r="AY132" s="115" t="e">
        <f>VLOOKUP($A132,'S49'!$C:$BQ,29,0)</f>
        <v>#N/A</v>
      </c>
      <c r="AZ132" s="115" t="e">
        <f>VLOOKUP($A132,'S49'!$C:$BQ,30,0)</f>
        <v>#N/A</v>
      </c>
      <c r="BA132" s="115" t="e">
        <f>VLOOKUP($A132,'S49'!$C:$BQ,52,0)</f>
        <v>#N/A</v>
      </c>
      <c r="BB132" s="115" t="e">
        <f>VLOOKUP($A132,'S49'!$C:$BQ,59,0)</f>
        <v>#N/A</v>
      </c>
      <c r="BC132" s="115" t="e">
        <f>VLOOKUP($A132,'S49'!$C:$BQ,60,0)</f>
        <v>#N/A</v>
      </c>
      <c r="BD132" s="107" t="e">
        <f>VLOOKUP($A132,'S50'!$C:$BQ,32,0)</f>
        <v>#N/A</v>
      </c>
      <c r="BE132" s="107" t="e">
        <f>VLOOKUP($A132,'S50'!$C:$BQ,39,0)</f>
        <v>#N/A</v>
      </c>
      <c r="BF132" s="107" t="e">
        <f>VLOOKUP($A132,'S50'!$C:$BQ,40,0)</f>
        <v>#N/A</v>
      </c>
      <c r="BG132" s="107" t="e">
        <f>VLOOKUP($A132,'S50'!$C:$BQ,22,0)</f>
        <v>#N/A</v>
      </c>
      <c r="BH132" s="115" t="e">
        <f>VLOOKUP($A132,'S50'!$C:$BQ,29,0)</f>
        <v>#N/A</v>
      </c>
      <c r="BI132" s="115" t="e">
        <f>VLOOKUP($A132,'S50'!$C:$BQ,30,0)</f>
        <v>#N/A</v>
      </c>
      <c r="BJ132" s="115" t="e">
        <f>VLOOKUP($A132,'S50'!$C:$BQ,52,0)</f>
        <v>#N/A</v>
      </c>
      <c r="BK132" s="115" t="e">
        <f>VLOOKUP($A132,'S50'!$C:$BQ,59,0)</f>
        <v>#N/A</v>
      </c>
      <c r="BL132" s="115" t="e">
        <f>VLOOKUP($A132,'S50'!$C:$BQ,60,0)</f>
        <v>#N/A</v>
      </c>
    </row>
    <row r="133" spans="1:64" x14ac:dyDescent="0.2">
      <c r="A133" s="106" t="s">
        <v>197</v>
      </c>
      <c r="B133" s="107">
        <f>VLOOKUP($A133,'S0 remplacer avec S44'!$C:$BQ,32,0)</f>
        <v>147.85</v>
      </c>
      <c r="C133" s="107">
        <f>VLOOKUP($A133,'S0 remplacer avec S44'!$C:$BQ,39,0)</f>
        <v>28</v>
      </c>
      <c r="D133" s="107">
        <f>VLOOKUP($A133,'S0 remplacer avec S44'!$C:$BQ,40,0)</f>
        <v>63</v>
      </c>
      <c r="E133" s="107">
        <f>VLOOKUP($A133,'S0 remplacer avec S44'!$C:$BQ,22,0)</f>
        <v>1631.6878999999999</v>
      </c>
      <c r="F133" s="115">
        <f>VLOOKUP($A133,'S0 remplacer avec S44'!$C:$BQ,29,0)</f>
        <v>0</v>
      </c>
      <c r="G133" s="115">
        <f>VLOOKUP($A133,'S0 remplacer avec S44'!$C:$BQ,30,0)</f>
        <v>281</v>
      </c>
      <c r="H133" s="115">
        <f>VLOOKUP($A133,'S0 remplacer avec S44'!$C:$BQ,52,0)</f>
        <v>105.6</v>
      </c>
      <c r="I133" s="115">
        <f>VLOOKUP($A133,'S0 remplacer avec S44'!$C:$BQ,59,0)</f>
        <v>0</v>
      </c>
      <c r="J133" s="115">
        <f>VLOOKUP($A133,'S0 remplacer avec S44'!$C:$BQ,60,0)</f>
        <v>2</v>
      </c>
      <c r="K133" s="107" t="e">
        <f>VLOOKUP($A133,'S45'!$C:$BQ,32,0)</f>
        <v>#N/A</v>
      </c>
      <c r="L133" s="107" t="e">
        <f>VLOOKUP($A133,'S45'!$C:$BQ,39,0)</f>
        <v>#N/A</v>
      </c>
      <c r="M133" s="107" t="e">
        <f>VLOOKUP($A133,'S45'!$C:$BQ,40,0)</f>
        <v>#N/A</v>
      </c>
      <c r="N133" s="107" t="e">
        <f>VLOOKUP($A133,'S45'!$C:$BQ,22,0)</f>
        <v>#N/A</v>
      </c>
      <c r="O133" s="115" t="e">
        <f>VLOOKUP($A133,'S45'!$C:$BQ,29,0)</f>
        <v>#N/A</v>
      </c>
      <c r="P133" s="115" t="e">
        <f>VLOOKUP($A133,'S45'!$C:$BQ,30,0)</f>
        <v>#N/A</v>
      </c>
      <c r="Q133" s="115" t="e">
        <f>VLOOKUP($A133,'S45'!$C:$BQ,52,0)</f>
        <v>#N/A</v>
      </c>
      <c r="R133" s="115" t="e">
        <f>VLOOKUP($A133,'S45'!$C:$BQ,59,0)</f>
        <v>#N/A</v>
      </c>
      <c r="S133" s="115" t="e">
        <f>VLOOKUP($A133,'S45'!$C:$BQ,60,0)</f>
        <v>#N/A</v>
      </c>
      <c r="T133" s="107" t="e">
        <f>VLOOKUP($A133,'S46'!$C:$BQ,32,0)</f>
        <v>#N/A</v>
      </c>
      <c r="U133" s="107" t="e">
        <f>VLOOKUP($A133,'S46'!$C:$BQ,39,0)</f>
        <v>#N/A</v>
      </c>
      <c r="V133" s="107" t="e">
        <f>VLOOKUP($A133,'S46'!$C:$BQ,40,0)</f>
        <v>#N/A</v>
      </c>
      <c r="W133" s="107" t="e">
        <f>VLOOKUP($A133,'S46'!$C:$BQ,22,0)</f>
        <v>#N/A</v>
      </c>
      <c r="X133" s="115" t="e">
        <f>VLOOKUP($A133,'S46'!$C:$BQ,29,0)</f>
        <v>#N/A</v>
      </c>
      <c r="Y133" s="115" t="e">
        <f>VLOOKUP($A133,'S46'!$C:$BQ,30,0)</f>
        <v>#N/A</v>
      </c>
      <c r="Z133" s="115" t="e">
        <f>VLOOKUP($A133,'S46'!$C:$BQ,52,0)</f>
        <v>#N/A</v>
      </c>
      <c r="AA133" s="115" t="e">
        <f>VLOOKUP($A133,'S46'!$C:$BQ,59,0)</f>
        <v>#N/A</v>
      </c>
      <c r="AB133" s="115" t="e">
        <f>VLOOKUP($A133,'S46'!$C:$BQ,60,0)</f>
        <v>#N/A</v>
      </c>
      <c r="AC133" s="107" t="e">
        <f>VLOOKUP($A133,'S47'!$C:$BQ,32,0)</f>
        <v>#N/A</v>
      </c>
      <c r="AD133" s="107" t="e">
        <f>VLOOKUP($A133,'S47'!$C:$BQ,39,0)</f>
        <v>#N/A</v>
      </c>
      <c r="AE133" s="107" t="e">
        <f>VLOOKUP($A133,'S47'!$C:$BQ,40,0)</f>
        <v>#N/A</v>
      </c>
      <c r="AF133" s="107" t="e">
        <f>VLOOKUP($A133,'S47'!$C:$BQ,22,0)</f>
        <v>#N/A</v>
      </c>
      <c r="AG133" s="115" t="e">
        <f>VLOOKUP($A133,'S47'!$C:$BQ,29,0)</f>
        <v>#N/A</v>
      </c>
      <c r="AH133" s="115" t="e">
        <f>VLOOKUP($A133,'S47'!$C:$BQ,30,0)</f>
        <v>#N/A</v>
      </c>
      <c r="AI133" s="115" t="e">
        <f>VLOOKUP($A133,'S47'!$C:$BQ,52,0)</f>
        <v>#N/A</v>
      </c>
      <c r="AJ133" s="115" t="e">
        <f>VLOOKUP($A133,'S47'!$C:$BQ,59,0)</f>
        <v>#N/A</v>
      </c>
      <c r="AK133" s="115" t="e">
        <f>VLOOKUP($A133,'S47'!$C:$BQ,60,0)</f>
        <v>#N/A</v>
      </c>
      <c r="AL133" s="107" t="e">
        <f>VLOOKUP($A133,'S48'!$C:$BQ,32,0)</f>
        <v>#N/A</v>
      </c>
      <c r="AM133" s="107" t="e">
        <f>VLOOKUP($A133,'S48'!$C:$BQ,39,0)</f>
        <v>#N/A</v>
      </c>
      <c r="AN133" s="107" t="e">
        <f>VLOOKUP($A133,'S48'!$C:$BQ,40,0)</f>
        <v>#N/A</v>
      </c>
      <c r="AO133" s="107" t="e">
        <f>VLOOKUP($A133,'S48'!$C:$BQ,22,0)</f>
        <v>#N/A</v>
      </c>
      <c r="AP133" s="115" t="e">
        <f>VLOOKUP($A133,'S48'!$C:$BQ,29,0)</f>
        <v>#N/A</v>
      </c>
      <c r="AQ133" s="115" t="e">
        <f>VLOOKUP($A133,'S48'!$C:$BQ,30,0)</f>
        <v>#N/A</v>
      </c>
      <c r="AR133" s="115" t="e">
        <f>VLOOKUP($A133,'S48'!$C:$BQ,52,0)</f>
        <v>#N/A</v>
      </c>
      <c r="AS133" s="115" t="e">
        <f>VLOOKUP($A133,'S48'!$C:$BQ,59,0)</f>
        <v>#N/A</v>
      </c>
      <c r="AT133" s="115" t="e">
        <f>VLOOKUP($A133,'S48'!$C:$BQ,60,0)</f>
        <v>#N/A</v>
      </c>
      <c r="AU133" s="107" t="e">
        <f>VLOOKUP($A133,'S49'!$C:$BQ,32,0)</f>
        <v>#N/A</v>
      </c>
      <c r="AV133" s="107" t="e">
        <f>VLOOKUP($A133,'S49'!$C:$BQ,39,0)</f>
        <v>#N/A</v>
      </c>
      <c r="AW133" s="107" t="e">
        <f>VLOOKUP($A133,'S49'!$C:$BQ,40,0)</f>
        <v>#N/A</v>
      </c>
      <c r="AX133" s="107" t="e">
        <f>VLOOKUP($A133,'S49'!$C:$BQ,22,0)</f>
        <v>#N/A</v>
      </c>
      <c r="AY133" s="115" t="e">
        <f>VLOOKUP($A133,'S49'!$C:$BQ,29,0)</f>
        <v>#N/A</v>
      </c>
      <c r="AZ133" s="115" t="e">
        <f>VLOOKUP($A133,'S49'!$C:$BQ,30,0)</f>
        <v>#N/A</v>
      </c>
      <c r="BA133" s="115" t="e">
        <f>VLOOKUP($A133,'S49'!$C:$BQ,52,0)</f>
        <v>#N/A</v>
      </c>
      <c r="BB133" s="115" t="e">
        <f>VLOOKUP($A133,'S49'!$C:$BQ,59,0)</f>
        <v>#N/A</v>
      </c>
      <c r="BC133" s="115" t="e">
        <f>VLOOKUP($A133,'S49'!$C:$BQ,60,0)</f>
        <v>#N/A</v>
      </c>
      <c r="BD133" s="107" t="e">
        <f>VLOOKUP($A133,'S50'!$C:$BQ,32,0)</f>
        <v>#N/A</v>
      </c>
      <c r="BE133" s="107" t="e">
        <f>VLOOKUP($A133,'S50'!$C:$BQ,39,0)</f>
        <v>#N/A</v>
      </c>
      <c r="BF133" s="107" t="e">
        <f>VLOOKUP($A133,'S50'!$C:$BQ,40,0)</f>
        <v>#N/A</v>
      </c>
      <c r="BG133" s="107" t="e">
        <f>VLOOKUP($A133,'S50'!$C:$BQ,22,0)</f>
        <v>#N/A</v>
      </c>
      <c r="BH133" s="115" t="e">
        <f>VLOOKUP($A133,'S50'!$C:$BQ,29,0)</f>
        <v>#N/A</v>
      </c>
      <c r="BI133" s="115" t="e">
        <f>VLOOKUP($A133,'S50'!$C:$BQ,30,0)</f>
        <v>#N/A</v>
      </c>
      <c r="BJ133" s="115" t="e">
        <f>VLOOKUP($A133,'S50'!$C:$BQ,52,0)</f>
        <v>#N/A</v>
      </c>
      <c r="BK133" s="115" t="e">
        <f>VLOOKUP($A133,'S50'!$C:$BQ,59,0)</f>
        <v>#N/A</v>
      </c>
      <c r="BL133" s="115" t="e">
        <f>VLOOKUP($A133,'S50'!$C:$BQ,60,0)</f>
        <v>#N/A</v>
      </c>
    </row>
    <row r="134" spans="1:64" x14ac:dyDescent="0.2">
      <c r="A134" s="106" t="s">
        <v>198</v>
      </c>
      <c r="B134" s="107">
        <f>VLOOKUP($A134,'S0 remplacer avec S44'!$C:$BQ,32,0)</f>
        <v>389.5</v>
      </c>
      <c r="C134" s="107">
        <f>VLOOKUP($A134,'S0 remplacer avec S44'!$C:$BQ,39,0)</f>
        <v>159</v>
      </c>
      <c r="D134" s="107">
        <f>VLOOKUP($A134,'S0 remplacer avec S44'!$C:$BQ,40,0)</f>
        <v>269</v>
      </c>
      <c r="E134" s="107">
        <f>VLOOKUP($A134,'S0 remplacer avec S44'!$C:$BQ,22,0)</f>
        <v>4333.662515</v>
      </c>
      <c r="F134" s="115">
        <f>VLOOKUP($A134,'S0 remplacer avec S44'!$C:$BQ,29,0)</f>
        <v>651</v>
      </c>
      <c r="G134" s="115">
        <f>VLOOKUP($A134,'S0 remplacer avec S44'!$C:$BQ,30,0)</f>
        <v>1648</v>
      </c>
      <c r="H134" s="115">
        <f>VLOOKUP($A134,'S0 remplacer avec S44'!$C:$BQ,52,0)</f>
        <v>291.8</v>
      </c>
      <c r="I134" s="115">
        <f>VLOOKUP($A134,'S0 remplacer avec S44'!$C:$BQ,59,0)</f>
        <v>0</v>
      </c>
      <c r="J134" s="115">
        <f>VLOOKUP($A134,'S0 remplacer avec S44'!$C:$BQ,60,0)</f>
        <v>43</v>
      </c>
      <c r="K134" s="107" t="e">
        <f>VLOOKUP($A134,'S45'!$C:$BQ,32,0)</f>
        <v>#N/A</v>
      </c>
      <c r="L134" s="107" t="e">
        <f>VLOOKUP($A134,'S45'!$C:$BQ,39,0)</f>
        <v>#N/A</v>
      </c>
      <c r="M134" s="107" t="e">
        <f>VLOOKUP($A134,'S45'!$C:$BQ,40,0)</f>
        <v>#N/A</v>
      </c>
      <c r="N134" s="107" t="e">
        <f>VLOOKUP($A134,'S45'!$C:$BQ,22,0)</f>
        <v>#N/A</v>
      </c>
      <c r="O134" s="115" t="e">
        <f>VLOOKUP($A134,'S45'!$C:$BQ,29,0)</f>
        <v>#N/A</v>
      </c>
      <c r="P134" s="115" t="e">
        <f>VLOOKUP($A134,'S45'!$C:$BQ,30,0)</f>
        <v>#N/A</v>
      </c>
      <c r="Q134" s="115" t="e">
        <f>VLOOKUP($A134,'S45'!$C:$BQ,52,0)</f>
        <v>#N/A</v>
      </c>
      <c r="R134" s="115" t="e">
        <f>VLOOKUP($A134,'S45'!$C:$BQ,59,0)</f>
        <v>#N/A</v>
      </c>
      <c r="S134" s="115" t="e">
        <f>VLOOKUP($A134,'S45'!$C:$BQ,60,0)</f>
        <v>#N/A</v>
      </c>
      <c r="T134" s="107" t="e">
        <f>VLOOKUP($A134,'S46'!$C:$BQ,32,0)</f>
        <v>#N/A</v>
      </c>
      <c r="U134" s="107" t="e">
        <f>VLOOKUP($A134,'S46'!$C:$BQ,39,0)</f>
        <v>#N/A</v>
      </c>
      <c r="V134" s="107" t="e">
        <f>VLOOKUP($A134,'S46'!$C:$BQ,40,0)</f>
        <v>#N/A</v>
      </c>
      <c r="W134" s="107" t="e">
        <f>VLOOKUP($A134,'S46'!$C:$BQ,22,0)</f>
        <v>#N/A</v>
      </c>
      <c r="X134" s="115" t="e">
        <f>VLOOKUP($A134,'S46'!$C:$BQ,29,0)</f>
        <v>#N/A</v>
      </c>
      <c r="Y134" s="115" t="e">
        <f>VLOOKUP($A134,'S46'!$C:$BQ,30,0)</f>
        <v>#N/A</v>
      </c>
      <c r="Z134" s="115" t="e">
        <f>VLOOKUP($A134,'S46'!$C:$BQ,52,0)</f>
        <v>#N/A</v>
      </c>
      <c r="AA134" s="115" t="e">
        <f>VLOOKUP($A134,'S46'!$C:$BQ,59,0)</f>
        <v>#N/A</v>
      </c>
      <c r="AB134" s="115" t="e">
        <f>VLOOKUP($A134,'S46'!$C:$BQ,60,0)</f>
        <v>#N/A</v>
      </c>
      <c r="AC134" s="107" t="e">
        <f>VLOOKUP($A134,'S47'!$C:$BQ,32,0)</f>
        <v>#N/A</v>
      </c>
      <c r="AD134" s="107" t="e">
        <f>VLOOKUP($A134,'S47'!$C:$BQ,39,0)</f>
        <v>#N/A</v>
      </c>
      <c r="AE134" s="107" t="e">
        <f>VLOOKUP($A134,'S47'!$C:$BQ,40,0)</f>
        <v>#N/A</v>
      </c>
      <c r="AF134" s="107" t="e">
        <f>VLOOKUP($A134,'S47'!$C:$BQ,22,0)</f>
        <v>#N/A</v>
      </c>
      <c r="AG134" s="115" t="e">
        <f>VLOOKUP($A134,'S47'!$C:$BQ,29,0)</f>
        <v>#N/A</v>
      </c>
      <c r="AH134" s="115" t="e">
        <f>VLOOKUP($A134,'S47'!$C:$BQ,30,0)</f>
        <v>#N/A</v>
      </c>
      <c r="AI134" s="115" t="e">
        <f>VLOOKUP($A134,'S47'!$C:$BQ,52,0)</f>
        <v>#N/A</v>
      </c>
      <c r="AJ134" s="115" t="e">
        <f>VLOOKUP($A134,'S47'!$C:$BQ,59,0)</f>
        <v>#N/A</v>
      </c>
      <c r="AK134" s="115" t="e">
        <f>VLOOKUP($A134,'S47'!$C:$BQ,60,0)</f>
        <v>#N/A</v>
      </c>
      <c r="AL134" s="107" t="e">
        <f>VLOOKUP($A134,'S48'!$C:$BQ,32,0)</f>
        <v>#N/A</v>
      </c>
      <c r="AM134" s="107" t="e">
        <f>VLOOKUP($A134,'S48'!$C:$BQ,39,0)</f>
        <v>#N/A</v>
      </c>
      <c r="AN134" s="107" t="e">
        <f>VLOOKUP($A134,'S48'!$C:$BQ,40,0)</f>
        <v>#N/A</v>
      </c>
      <c r="AO134" s="107" t="e">
        <f>VLOOKUP($A134,'S48'!$C:$BQ,22,0)</f>
        <v>#N/A</v>
      </c>
      <c r="AP134" s="115" t="e">
        <f>VLOOKUP($A134,'S48'!$C:$BQ,29,0)</f>
        <v>#N/A</v>
      </c>
      <c r="AQ134" s="115" t="e">
        <f>VLOOKUP($A134,'S48'!$C:$BQ,30,0)</f>
        <v>#N/A</v>
      </c>
      <c r="AR134" s="115" t="e">
        <f>VLOOKUP($A134,'S48'!$C:$BQ,52,0)</f>
        <v>#N/A</v>
      </c>
      <c r="AS134" s="115" t="e">
        <f>VLOOKUP($A134,'S48'!$C:$BQ,59,0)</f>
        <v>#N/A</v>
      </c>
      <c r="AT134" s="115" t="e">
        <f>VLOOKUP($A134,'S48'!$C:$BQ,60,0)</f>
        <v>#N/A</v>
      </c>
      <c r="AU134" s="107" t="e">
        <f>VLOOKUP($A134,'S49'!$C:$BQ,32,0)</f>
        <v>#N/A</v>
      </c>
      <c r="AV134" s="107" t="e">
        <f>VLOOKUP($A134,'S49'!$C:$BQ,39,0)</f>
        <v>#N/A</v>
      </c>
      <c r="AW134" s="107" t="e">
        <f>VLOOKUP($A134,'S49'!$C:$BQ,40,0)</f>
        <v>#N/A</v>
      </c>
      <c r="AX134" s="107" t="e">
        <f>VLOOKUP($A134,'S49'!$C:$BQ,22,0)</f>
        <v>#N/A</v>
      </c>
      <c r="AY134" s="115" t="e">
        <f>VLOOKUP($A134,'S49'!$C:$BQ,29,0)</f>
        <v>#N/A</v>
      </c>
      <c r="AZ134" s="115" t="e">
        <f>VLOOKUP($A134,'S49'!$C:$BQ,30,0)</f>
        <v>#N/A</v>
      </c>
      <c r="BA134" s="115" t="e">
        <f>VLOOKUP($A134,'S49'!$C:$BQ,52,0)</f>
        <v>#N/A</v>
      </c>
      <c r="BB134" s="115" t="e">
        <f>VLOOKUP($A134,'S49'!$C:$BQ,59,0)</f>
        <v>#N/A</v>
      </c>
      <c r="BC134" s="115" t="e">
        <f>VLOOKUP($A134,'S49'!$C:$BQ,60,0)</f>
        <v>#N/A</v>
      </c>
      <c r="BD134" s="107" t="e">
        <f>VLOOKUP($A134,'S50'!$C:$BQ,32,0)</f>
        <v>#N/A</v>
      </c>
      <c r="BE134" s="107" t="e">
        <f>VLOOKUP($A134,'S50'!$C:$BQ,39,0)</f>
        <v>#N/A</v>
      </c>
      <c r="BF134" s="107" t="e">
        <f>VLOOKUP($A134,'S50'!$C:$BQ,40,0)</f>
        <v>#N/A</v>
      </c>
      <c r="BG134" s="107" t="e">
        <f>VLOOKUP($A134,'S50'!$C:$BQ,22,0)</f>
        <v>#N/A</v>
      </c>
      <c r="BH134" s="115" t="e">
        <f>VLOOKUP($A134,'S50'!$C:$BQ,29,0)</f>
        <v>#N/A</v>
      </c>
      <c r="BI134" s="115" t="e">
        <f>VLOOKUP($A134,'S50'!$C:$BQ,30,0)</f>
        <v>#N/A</v>
      </c>
      <c r="BJ134" s="115" t="e">
        <f>VLOOKUP($A134,'S50'!$C:$BQ,52,0)</f>
        <v>#N/A</v>
      </c>
      <c r="BK134" s="115" t="e">
        <f>VLOOKUP($A134,'S50'!$C:$BQ,59,0)</f>
        <v>#N/A</v>
      </c>
      <c r="BL134" s="115" t="e">
        <f>VLOOKUP($A134,'S50'!$C:$BQ,60,0)</f>
        <v>#N/A</v>
      </c>
    </row>
    <row r="135" spans="1:64" x14ac:dyDescent="0.2">
      <c r="A135" s="106" t="s">
        <v>199</v>
      </c>
      <c r="B135" s="107">
        <f>VLOOKUP($A135,'S0 remplacer avec S44'!$C:$BQ,32,0)</f>
        <v>254.8</v>
      </c>
      <c r="C135" s="107">
        <f>VLOOKUP($A135,'S0 remplacer avec S44'!$C:$BQ,39,0)</f>
        <v>0</v>
      </c>
      <c r="D135" s="107">
        <f>VLOOKUP($A135,'S0 remplacer avec S44'!$C:$BQ,40,0)</f>
        <v>0</v>
      </c>
      <c r="E135" s="107">
        <f>VLOOKUP($A135,'S0 remplacer avec S44'!$C:$BQ,22,0)</f>
        <v>1942.7697499999999</v>
      </c>
      <c r="F135" s="115">
        <f>VLOOKUP($A135,'S0 remplacer avec S44'!$C:$BQ,29,0)</f>
        <v>0</v>
      </c>
      <c r="G135" s="115">
        <f>VLOOKUP($A135,'S0 remplacer avec S44'!$C:$BQ,30,0)</f>
        <v>70</v>
      </c>
      <c r="H135" s="115">
        <f>VLOOKUP($A135,'S0 remplacer avec S44'!$C:$BQ,52,0)</f>
        <v>147.80000000000001</v>
      </c>
      <c r="I135" s="115">
        <f>VLOOKUP($A135,'S0 remplacer avec S44'!$C:$BQ,59,0)</f>
        <v>0</v>
      </c>
      <c r="J135" s="115">
        <f>VLOOKUP($A135,'S0 remplacer avec S44'!$C:$BQ,60,0)</f>
        <v>0</v>
      </c>
      <c r="K135" s="107" t="e">
        <f>VLOOKUP($A135,'S45'!$C:$BQ,32,0)</f>
        <v>#N/A</v>
      </c>
      <c r="L135" s="107" t="e">
        <f>VLOOKUP($A135,'S45'!$C:$BQ,39,0)</f>
        <v>#N/A</v>
      </c>
      <c r="M135" s="107" t="e">
        <f>VLOOKUP($A135,'S45'!$C:$BQ,40,0)</f>
        <v>#N/A</v>
      </c>
      <c r="N135" s="107" t="e">
        <f>VLOOKUP($A135,'S45'!$C:$BQ,22,0)</f>
        <v>#N/A</v>
      </c>
      <c r="O135" s="115" t="e">
        <f>VLOOKUP($A135,'S45'!$C:$BQ,29,0)</f>
        <v>#N/A</v>
      </c>
      <c r="P135" s="115" t="e">
        <f>VLOOKUP($A135,'S45'!$C:$BQ,30,0)</f>
        <v>#N/A</v>
      </c>
      <c r="Q135" s="115" t="e">
        <f>VLOOKUP($A135,'S45'!$C:$BQ,52,0)</f>
        <v>#N/A</v>
      </c>
      <c r="R135" s="115" t="e">
        <f>VLOOKUP($A135,'S45'!$C:$BQ,59,0)</f>
        <v>#N/A</v>
      </c>
      <c r="S135" s="115" t="e">
        <f>VLOOKUP($A135,'S45'!$C:$BQ,60,0)</f>
        <v>#N/A</v>
      </c>
      <c r="T135" s="107" t="e">
        <f>VLOOKUP($A135,'S46'!$C:$BQ,32,0)</f>
        <v>#N/A</v>
      </c>
      <c r="U135" s="107" t="e">
        <f>VLOOKUP($A135,'S46'!$C:$BQ,39,0)</f>
        <v>#N/A</v>
      </c>
      <c r="V135" s="107" t="e">
        <f>VLOOKUP($A135,'S46'!$C:$BQ,40,0)</f>
        <v>#N/A</v>
      </c>
      <c r="W135" s="107" t="e">
        <f>VLOOKUP($A135,'S46'!$C:$BQ,22,0)</f>
        <v>#N/A</v>
      </c>
      <c r="X135" s="115" t="e">
        <f>VLOOKUP($A135,'S46'!$C:$BQ,29,0)</f>
        <v>#N/A</v>
      </c>
      <c r="Y135" s="115" t="e">
        <f>VLOOKUP($A135,'S46'!$C:$BQ,30,0)</f>
        <v>#N/A</v>
      </c>
      <c r="Z135" s="115" t="e">
        <f>VLOOKUP($A135,'S46'!$C:$BQ,52,0)</f>
        <v>#N/A</v>
      </c>
      <c r="AA135" s="115" t="e">
        <f>VLOOKUP($A135,'S46'!$C:$BQ,59,0)</f>
        <v>#N/A</v>
      </c>
      <c r="AB135" s="115" t="e">
        <f>VLOOKUP($A135,'S46'!$C:$BQ,60,0)</f>
        <v>#N/A</v>
      </c>
      <c r="AC135" s="107" t="e">
        <f>VLOOKUP($A135,'S47'!$C:$BQ,32,0)</f>
        <v>#N/A</v>
      </c>
      <c r="AD135" s="107" t="e">
        <f>VLOOKUP($A135,'S47'!$C:$BQ,39,0)</f>
        <v>#N/A</v>
      </c>
      <c r="AE135" s="107" t="e">
        <f>VLOOKUP($A135,'S47'!$C:$BQ,40,0)</f>
        <v>#N/A</v>
      </c>
      <c r="AF135" s="107" t="e">
        <f>VLOOKUP($A135,'S47'!$C:$BQ,22,0)</f>
        <v>#N/A</v>
      </c>
      <c r="AG135" s="115" t="e">
        <f>VLOOKUP($A135,'S47'!$C:$BQ,29,0)</f>
        <v>#N/A</v>
      </c>
      <c r="AH135" s="115" t="e">
        <f>VLOOKUP($A135,'S47'!$C:$BQ,30,0)</f>
        <v>#N/A</v>
      </c>
      <c r="AI135" s="115" t="e">
        <f>VLOOKUP($A135,'S47'!$C:$BQ,52,0)</f>
        <v>#N/A</v>
      </c>
      <c r="AJ135" s="115" t="e">
        <f>VLOOKUP($A135,'S47'!$C:$BQ,59,0)</f>
        <v>#N/A</v>
      </c>
      <c r="AK135" s="115" t="e">
        <f>VLOOKUP($A135,'S47'!$C:$BQ,60,0)</f>
        <v>#N/A</v>
      </c>
      <c r="AL135" s="107" t="e">
        <f>VLOOKUP($A135,'S48'!$C:$BQ,32,0)</f>
        <v>#N/A</v>
      </c>
      <c r="AM135" s="107" t="e">
        <f>VLOOKUP($A135,'S48'!$C:$BQ,39,0)</f>
        <v>#N/A</v>
      </c>
      <c r="AN135" s="107" t="e">
        <f>VLOOKUP($A135,'S48'!$C:$BQ,40,0)</f>
        <v>#N/A</v>
      </c>
      <c r="AO135" s="107" t="e">
        <f>VLOOKUP($A135,'S48'!$C:$BQ,22,0)</f>
        <v>#N/A</v>
      </c>
      <c r="AP135" s="115" t="e">
        <f>VLOOKUP($A135,'S48'!$C:$BQ,29,0)</f>
        <v>#N/A</v>
      </c>
      <c r="AQ135" s="115" t="e">
        <f>VLOOKUP($A135,'S48'!$C:$BQ,30,0)</f>
        <v>#N/A</v>
      </c>
      <c r="AR135" s="115" t="e">
        <f>VLOOKUP($A135,'S48'!$C:$BQ,52,0)</f>
        <v>#N/A</v>
      </c>
      <c r="AS135" s="115" t="e">
        <f>VLOOKUP($A135,'S48'!$C:$BQ,59,0)</f>
        <v>#N/A</v>
      </c>
      <c r="AT135" s="115" t="e">
        <f>VLOOKUP($A135,'S48'!$C:$BQ,60,0)</f>
        <v>#N/A</v>
      </c>
      <c r="AU135" s="107" t="e">
        <f>VLOOKUP($A135,'S49'!$C:$BQ,32,0)</f>
        <v>#N/A</v>
      </c>
      <c r="AV135" s="107" t="e">
        <f>VLOOKUP($A135,'S49'!$C:$BQ,39,0)</f>
        <v>#N/A</v>
      </c>
      <c r="AW135" s="107" t="e">
        <f>VLOOKUP($A135,'S49'!$C:$BQ,40,0)</f>
        <v>#N/A</v>
      </c>
      <c r="AX135" s="107" t="e">
        <f>VLOOKUP($A135,'S49'!$C:$BQ,22,0)</f>
        <v>#N/A</v>
      </c>
      <c r="AY135" s="115" t="e">
        <f>VLOOKUP($A135,'S49'!$C:$BQ,29,0)</f>
        <v>#N/A</v>
      </c>
      <c r="AZ135" s="115" t="e">
        <f>VLOOKUP($A135,'S49'!$C:$BQ,30,0)</f>
        <v>#N/A</v>
      </c>
      <c r="BA135" s="115" t="e">
        <f>VLOOKUP($A135,'S49'!$C:$BQ,52,0)</f>
        <v>#N/A</v>
      </c>
      <c r="BB135" s="115" t="e">
        <f>VLOOKUP($A135,'S49'!$C:$BQ,59,0)</f>
        <v>#N/A</v>
      </c>
      <c r="BC135" s="115" t="e">
        <f>VLOOKUP($A135,'S49'!$C:$BQ,60,0)</f>
        <v>#N/A</v>
      </c>
      <c r="BD135" s="107" t="e">
        <f>VLOOKUP($A135,'S50'!$C:$BQ,32,0)</f>
        <v>#N/A</v>
      </c>
      <c r="BE135" s="107" t="e">
        <f>VLOOKUP($A135,'S50'!$C:$BQ,39,0)</f>
        <v>#N/A</v>
      </c>
      <c r="BF135" s="107" t="e">
        <f>VLOOKUP($A135,'S50'!$C:$BQ,40,0)</f>
        <v>#N/A</v>
      </c>
      <c r="BG135" s="107" t="e">
        <f>VLOOKUP($A135,'S50'!$C:$BQ,22,0)</f>
        <v>#N/A</v>
      </c>
      <c r="BH135" s="115" t="e">
        <f>VLOOKUP($A135,'S50'!$C:$BQ,29,0)</f>
        <v>#N/A</v>
      </c>
      <c r="BI135" s="115" t="e">
        <f>VLOOKUP($A135,'S50'!$C:$BQ,30,0)</f>
        <v>#N/A</v>
      </c>
      <c r="BJ135" s="115" t="e">
        <f>VLOOKUP($A135,'S50'!$C:$BQ,52,0)</f>
        <v>#N/A</v>
      </c>
      <c r="BK135" s="115" t="e">
        <f>VLOOKUP($A135,'S50'!$C:$BQ,59,0)</f>
        <v>#N/A</v>
      </c>
      <c r="BL135" s="115" t="e">
        <f>VLOOKUP($A135,'S50'!$C:$BQ,60,0)</f>
        <v>#N/A</v>
      </c>
    </row>
    <row r="136" spans="1:64" x14ac:dyDescent="0.2">
      <c r="A136" s="106" t="s">
        <v>200</v>
      </c>
      <c r="B136" s="107">
        <f>VLOOKUP($A136,'S0 remplacer avec S44'!$C:$BQ,32,0)</f>
        <v>279.2</v>
      </c>
      <c r="C136" s="107">
        <f>VLOOKUP($A136,'S0 remplacer avec S44'!$C:$BQ,39,0)</f>
        <v>0</v>
      </c>
      <c r="D136" s="107">
        <f>VLOOKUP($A136,'S0 remplacer avec S44'!$C:$BQ,40,0)</f>
        <v>0</v>
      </c>
      <c r="E136" s="107">
        <f>VLOOKUP($A136,'S0 remplacer avec S44'!$C:$BQ,22,0)</f>
        <v>2466.3632699999998</v>
      </c>
      <c r="F136" s="115">
        <f>VLOOKUP($A136,'S0 remplacer avec S44'!$C:$BQ,29,0)</f>
        <v>0</v>
      </c>
      <c r="G136" s="115">
        <f>VLOOKUP($A136,'S0 remplacer avec S44'!$C:$BQ,30,0)</f>
        <v>0</v>
      </c>
      <c r="H136" s="115">
        <f>VLOOKUP($A136,'S0 remplacer avec S44'!$C:$BQ,52,0)</f>
        <v>160.4</v>
      </c>
      <c r="I136" s="115">
        <f>VLOOKUP($A136,'S0 remplacer avec S44'!$C:$BQ,59,0)</f>
        <v>0</v>
      </c>
      <c r="J136" s="115">
        <f>VLOOKUP($A136,'S0 remplacer avec S44'!$C:$BQ,60,0)</f>
        <v>0</v>
      </c>
      <c r="K136" s="107" t="e">
        <f>VLOOKUP($A136,'S45'!$C:$BQ,32,0)</f>
        <v>#N/A</v>
      </c>
      <c r="L136" s="107" t="e">
        <f>VLOOKUP($A136,'S45'!$C:$BQ,39,0)</f>
        <v>#N/A</v>
      </c>
      <c r="M136" s="107" t="e">
        <f>VLOOKUP($A136,'S45'!$C:$BQ,40,0)</f>
        <v>#N/A</v>
      </c>
      <c r="N136" s="107" t="e">
        <f>VLOOKUP($A136,'S45'!$C:$BQ,22,0)</f>
        <v>#N/A</v>
      </c>
      <c r="O136" s="115" t="e">
        <f>VLOOKUP($A136,'S45'!$C:$BQ,29,0)</f>
        <v>#N/A</v>
      </c>
      <c r="P136" s="115" t="e">
        <f>VLOOKUP($A136,'S45'!$C:$BQ,30,0)</f>
        <v>#N/A</v>
      </c>
      <c r="Q136" s="115" t="e">
        <f>VLOOKUP($A136,'S45'!$C:$BQ,52,0)</f>
        <v>#N/A</v>
      </c>
      <c r="R136" s="115" t="e">
        <f>VLOOKUP($A136,'S45'!$C:$BQ,59,0)</f>
        <v>#N/A</v>
      </c>
      <c r="S136" s="115" t="e">
        <f>VLOOKUP($A136,'S45'!$C:$BQ,60,0)</f>
        <v>#N/A</v>
      </c>
      <c r="T136" s="107" t="e">
        <f>VLOOKUP($A136,'S46'!$C:$BQ,32,0)</f>
        <v>#N/A</v>
      </c>
      <c r="U136" s="107" t="e">
        <f>VLOOKUP($A136,'S46'!$C:$BQ,39,0)</f>
        <v>#N/A</v>
      </c>
      <c r="V136" s="107" t="e">
        <f>VLOOKUP($A136,'S46'!$C:$BQ,40,0)</f>
        <v>#N/A</v>
      </c>
      <c r="W136" s="107" t="e">
        <f>VLOOKUP($A136,'S46'!$C:$BQ,22,0)</f>
        <v>#N/A</v>
      </c>
      <c r="X136" s="115" t="e">
        <f>VLOOKUP($A136,'S46'!$C:$BQ,29,0)</f>
        <v>#N/A</v>
      </c>
      <c r="Y136" s="115" t="e">
        <f>VLOOKUP($A136,'S46'!$C:$BQ,30,0)</f>
        <v>#N/A</v>
      </c>
      <c r="Z136" s="115" t="e">
        <f>VLOOKUP($A136,'S46'!$C:$BQ,52,0)</f>
        <v>#N/A</v>
      </c>
      <c r="AA136" s="115" t="e">
        <f>VLOOKUP($A136,'S46'!$C:$BQ,59,0)</f>
        <v>#N/A</v>
      </c>
      <c r="AB136" s="115" t="e">
        <f>VLOOKUP($A136,'S46'!$C:$BQ,60,0)</f>
        <v>#N/A</v>
      </c>
      <c r="AC136" s="107" t="e">
        <f>VLOOKUP($A136,'S47'!$C:$BQ,32,0)</f>
        <v>#N/A</v>
      </c>
      <c r="AD136" s="107" t="e">
        <f>VLOOKUP($A136,'S47'!$C:$BQ,39,0)</f>
        <v>#N/A</v>
      </c>
      <c r="AE136" s="107" t="e">
        <f>VLOOKUP($A136,'S47'!$C:$BQ,40,0)</f>
        <v>#N/A</v>
      </c>
      <c r="AF136" s="107" t="e">
        <f>VLOOKUP($A136,'S47'!$C:$BQ,22,0)</f>
        <v>#N/A</v>
      </c>
      <c r="AG136" s="115" t="e">
        <f>VLOOKUP($A136,'S47'!$C:$BQ,29,0)</f>
        <v>#N/A</v>
      </c>
      <c r="AH136" s="115" t="e">
        <f>VLOOKUP($A136,'S47'!$C:$BQ,30,0)</f>
        <v>#N/A</v>
      </c>
      <c r="AI136" s="115" t="e">
        <f>VLOOKUP($A136,'S47'!$C:$BQ,52,0)</f>
        <v>#N/A</v>
      </c>
      <c r="AJ136" s="115" t="e">
        <f>VLOOKUP($A136,'S47'!$C:$BQ,59,0)</f>
        <v>#N/A</v>
      </c>
      <c r="AK136" s="115" t="e">
        <f>VLOOKUP($A136,'S47'!$C:$BQ,60,0)</f>
        <v>#N/A</v>
      </c>
      <c r="AL136" s="107" t="e">
        <f>VLOOKUP($A136,'S48'!$C:$BQ,32,0)</f>
        <v>#N/A</v>
      </c>
      <c r="AM136" s="107" t="e">
        <f>VLOOKUP($A136,'S48'!$C:$BQ,39,0)</f>
        <v>#N/A</v>
      </c>
      <c r="AN136" s="107" t="e">
        <f>VLOOKUP($A136,'S48'!$C:$BQ,40,0)</f>
        <v>#N/A</v>
      </c>
      <c r="AO136" s="107" t="e">
        <f>VLOOKUP($A136,'S48'!$C:$BQ,22,0)</f>
        <v>#N/A</v>
      </c>
      <c r="AP136" s="115" t="e">
        <f>VLOOKUP($A136,'S48'!$C:$BQ,29,0)</f>
        <v>#N/A</v>
      </c>
      <c r="AQ136" s="115" t="e">
        <f>VLOOKUP($A136,'S48'!$C:$BQ,30,0)</f>
        <v>#N/A</v>
      </c>
      <c r="AR136" s="115" t="e">
        <f>VLOOKUP($A136,'S48'!$C:$BQ,52,0)</f>
        <v>#N/A</v>
      </c>
      <c r="AS136" s="115" t="e">
        <f>VLOOKUP($A136,'S48'!$C:$BQ,59,0)</f>
        <v>#N/A</v>
      </c>
      <c r="AT136" s="115" t="e">
        <f>VLOOKUP($A136,'S48'!$C:$BQ,60,0)</f>
        <v>#N/A</v>
      </c>
      <c r="AU136" s="107" t="e">
        <f>VLOOKUP($A136,'S49'!$C:$BQ,32,0)</f>
        <v>#N/A</v>
      </c>
      <c r="AV136" s="107" t="e">
        <f>VLOOKUP($A136,'S49'!$C:$BQ,39,0)</f>
        <v>#N/A</v>
      </c>
      <c r="AW136" s="107" t="e">
        <f>VLOOKUP($A136,'S49'!$C:$BQ,40,0)</f>
        <v>#N/A</v>
      </c>
      <c r="AX136" s="107" t="e">
        <f>VLOOKUP($A136,'S49'!$C:$BQ,22,0)</f>
        <v>#N/A</v>
      </c>
      <c r="AY136" s="115" t="e">
        <f>VLOOKUP($A136,'S49'!$C:$BQ,29,0)</f>
        <v>#N/A</v>
      </c>
      <c r="AZ136" s="115" t="e">
        <f>VLOOKUP($A136,'S49'!$C:$BQ,30,0)</f>
        <v>#N/A</v>
      </c>
      <c r="BA136" s="115" t="e">
        <f>VLOOKUP($A136,'S49'!$C:$BQ,52,0)</f>
        <v>#N/A</v>
      </c>
      <c r="BB136" s="115" t="e">
        <f>VLOOKUP($A136,'S49'!$C:$BQ,59,0)</f>
        <v>#N/A</v>
      </c>
      <c r="BC136" s="115" t="e">
        <f>VLOOKUP($A136,'S49'!$C:$BQ,60,0)</f>
        <v>#N/A</v>
      </c>
      <c r="BD136" s="107" t="e">
        <f>VLOOKUP($A136,'S50'!$C:$BQ,32,0)</f>
        <v>#N/A</v>
      </c>
      <c r="BE136" s="107" t="e">
        <f>VLOOKUP($A136,'S50'!$C:$BQ,39,0)</f>
        <v>#N/A</v>
      </c>
      <c r="BF136" s="107" t="e">
        <f>VLOOKUP($A136,'S50'!$C:$BQ,40,0)</f>
        <v>#N/A</v>
      </c>
      <c r="BG136" s="107" t="e">
        <f>VLOOKUP($A136,'S50'!$C:$BQ,22,0)</f>
        <v>#N/A</v>
      </c>
      <c r="BH136" s="115" t="e">
        <f>VLOOKUP($A136,'S50'!$C:$BQ,29,0)</f>
        <v>#N/A</v>
      </c>
      <c r="BI136" s="115" t="e">
        <f>VLOOKUP($A136,'S50'!$C:$BQ,30,0)</f>
        <v>#N/A</v>
      </c>
      <c r="BJ136" s="115" t="e">
        <f>VLOOKUP($A136,'S50'!$C:$BQ,52,0)</f>
        <v>#N/A</v>
      </c>
      <c r="BK136" s="115" t="e">
        <f>VLOOKUP($A136,'S50'!$C:$BQ,59,0)</f>
        <v>#N/A</v>
      </c>
      <c r="BL136" s="115" t="e">
        <f>VLOOKUP($A136,'S50'!$C:$BQ,60,0)</f>
        <v>#N/A</v>
      </c>
    </row>
    <row r="137" spans="1:64" x14ac:dyDescent="0.2">
      <c r="A137" s="106" t="s">
        <v>201</v>
      </c>
      <c r="B137" s="107">
        <f>VLOOKUP($A137,'S0 remplacer avec S44'!$C:$BQ,32,0)</f>
        <v>51.6</v>
      </c>
      <c r="C137" s="107">
        <f>VLOOKUP($A137,'S0 remplacer avec S44'!$C:$BQ,39,0)</f>
        <v>0</v>
      </c>
      <c r="D137" s="107">
        <f>VLOOKUP($A137,'S0 remplacer avec S44'!$C:$BQ,40,0)</f>
        <v>0</v>
      </c>
      <c r="E137" s="107">
        <f>VLOOKUP($A137,'S0 remplacer avec S44'!$C:$BQ,22,0)</f>
        <v>389.79370999999998</v>
      </c>
      <c r="F137" s="115">
        <f>VLOOKUP($A137,'S0 remplacer avec S44'!$C:$BQ,29,0)</f>
        <v>0</v>
      </c>
      <c r="G137" s="115">
        <f>VLOOKUP($A137,'S0 remplacer avec S44'!$C:$BQ,30,0)</f>
        <v>40</v>
      </c>
      <c r="H137" s="115">
        <f>VLOOKUP($A137,'S0 remplacer avec S44'!$C:$BQ,52,0)</f>
        <v>26.2</v>
      </c>
      <c r="I137" s="115">
        <f>VLOOKUP($A137,'S0 remplacer avec S44'!$C:$BQ,59,0)</f>
        <v>0</v>
      </c>
      <c r="J137" s="115">
        <f>VLOOKUP($A137,'S0 remplacer avec S44'!$C:$BQ,60,0)</f>
        <v>0</v>
      </c>
      <c r="K137" s="107" t="e">
        <f>VLOOKUP($A137,'S45'!$C:$BQ,32,0)</f>
        <v>#N/A</v>
      </c>
      <c r="L137" s="107" t="e">
        <f>VLOOKUP($A137,'S45'!$C:$BQ,39,0)</f>
        <v>#N/A</v>
      </c>
      <c r="M137" s="107" t="e">
        <f>VLOOKUP($A137,'S45'!$C:$BQ,40,0)</f>
        <v>#N/A</v>
      </c>
      <c r="N137" s="107" t="e">
        <f>VLOOKUP($A137,'S45'!$C:$BQ,22,0)</f>
        <v>#N/A</v>
      </c>
      <c r="O137" s="115" t="e">
        <f>VLOOKUP($A137,'S45'!$C:$BQ,29,0)</f>
        <v>#N/A</v>
      </c>
      <c r="P137" s="115" t="e">
        <f>VLOOKUP($A137,'S45'!$C:$BQ,30,0)</f>
        <v>#N/A</v>
      </c>
      <c r="Q137" s="115" t="e">
        <f>VLOOKUP($A137,'S45'!$C:$BQ,52,0)</f>
        <v>#N/A</v>
      </c>
      <c r="R137" s="115" t="e">
        <f>VLOOKUP($A137,'S45'!$C:$BQ,59,0)</f>
        <v>#N/A</v>
      </c>
      <c r="S137" s="115" t="e">
        <f>VLOOKUP($A137,'S45'!$C:$BQ,60,0)</f>
        <v>#N/A</v>
      </c>
      <c r="T137" s="107" t="e">
        <f>VLOOKUP($A137,'S46'!$C:$BQ,32,0)</f>
        <v>#N/A</v>
      </c>
      <c r="U137" s="107" t="e">
        <f>VLOOKUP($A137,'S46'!$C:$BQ,39,0)</f>
        <v>#N/A</v>
      </c>
      <c r="V137" s="107" t="e">
        <f>VLOOKUP($A137,'S46'!$C:$BQ,40,0)</f>
        <v>#N/A</v>
      </c>
      <c r="W137" s="107" t="e">
        <f>VLOOKUP($A137,'S46'!$C:$BQ,22,0)</f>
        <v>#N/A</v>
      </c>
      <c r="X137" s="115" t="e">
        <f>VLOOKUP($A137,'S46'!$C:$BQ,29,0)</f>
        <v>#N/A</v>
      </c>
      <c r="Y137" s="115" t="e">
        <f>VLOOKUP($A137,'S46'!$C:$BQ,30,0)</f>
        <v>#N/A</v>
      </c>
      <c r="Z137" s="115" t="e">
        <f>VLOOKUP($A137,'S46'!$C:$BQ,52,0)</f>
        <v>#N/A</v>
      </c>
      <c r="AA137" s="115" t="e">
        <f>VLOOKUP($A137,'S46'!$C:$BQ,59,0)</f>
        <v>#N/A</v>
      </c>
      <c r="AB137" s="115" t="e">
        <f>VLOOKUP($A137,'S46'!$C:$BQ,60,0)</f>
        <v>#N/A</v>
      </c>
      <c r="AC137" s="107" t="e">
        <f>VLOOKUP($A137,'S47'!$C:$BQ,32,0)</f>
        <v>#N/A</v>
      </c>
      <c r="AD137" s="107" t="e">
        <f>VLOOKUP($A137,'S47'!$C:$BQ,39,0)</f>
        <v>#N/A</v>
      </c>
      <c r="AE137" s="107" t="e">
        <f>VLOOKUP($A137,'S47'!$C:$BQ,40,0)</f>
        <v>#N/A</v>
      </c>
      <c r="AF137" s="107" t="e">
        <f>VLOOKUP($A137,'S47'!$C:$BQ,22,0)</f>
        <v>#N/A</v>
      </c>
      <c r="AG137" s="115" t="e">
        <f>VLOOKUP($A137,'S47'!$C:$BQ,29,0)</f>
        <v>#N/A</v>
      </c>
      <c r="AH137" s="115" t="e">
        <f>VLOOKUP($A137,'S47'!$C:$BQ,30,0)</f>
        <v>#N/A</v>
      </c>
      <c r="AI137" s="115" t="e">
        <f>VLOOKUP($A137,'S47'!$C:$BQ,52,0)</f>
        <v>#N/A</v>
      </c>
      <c r="AJ137" s="115" t="e">
        <f>VLOOKUP($A137,'S47'!$C:$BQ,59,0)</f>
        <v>#N/A</v>
      </c>
      <c r="AK137" s="115" t="e">
        <f>VLOOKUP($A137,'S47'!$C:$BQ,60,0)</f>
        <v>#N/A</v>
      </c>
      <c r="AL137" s="107" t="e">
        <f>VLOOKUP($A137,'S48'!$C:$BQ,32,0)</f>
        <v>#N/A</v>
      </c>
      <c r="AM137" s="107" t="e">
        <f>VLOOKUP($A137,'S48'!$C:$BQ,39,0)</f>
        <v>#N/A</v>
      </c>
      <c r="AN137" s="107" t="e">
        <f>VLOOKUP($A137,'S48'!$C:$BQ,40,0)</f>
        <v>#N/A</v>
      </c>
      <c r="AO137" s="107" t="e">
        <f>VLOOKUP($A137,'S48'!$C:$BQ,22,0)</f>
        <v>#N/A</v>
      </c>
      <c r="AP137" s="115" t="e">
        <f>VLOOKUP($A137,'S48'!$C:$BQ,29,0)</f>
        <v>#N/A</v>
      </c>
      <c r="AQ137" s="115" t="e">
        <f>VLOOKUP($A137,'S48'!$C:$BQ,30,0)</f>
        <v>#N/A</v>
      </c>
      <c r="AR137" s="115" t="e">
        <f>VLOOKUP($A137,'S48'!$C:$BQ,52,0)</f>
        <v>#N/A</v>
      </c>
      <c r="AS137" s="115" t="e">
        <f>VLOOKUP($A137,'S48'!$C:$BQ,59,0)</f>
        <v>#N/A</v>
      </c>
      <c r="AT137" s="115" t="e">
        <f>VLOOKUP($A137,'S48'!$C:$BQ,60,0)</f>
        <v>#N/A</v>
      </c>
      <c r="AU137" s="107" t="e">
        <f>VLOOKUP($A137,'S49'!$C:$BQ,32,0)</f>
        <v>#N/A</v>
      </c>
      <c r="AV137" s="107" t="e">
        <f>VLOOKUP($A137,'S49'!$C:$BQ,39,0)</f>
        <v>#N/A</v>
      </c>
      <c r="AW137" s="107" t="e">
        <f>VLOOKUP($A137,'S49'!$C:$BQ,40,0)</f>
        <v>#N/A</v>
      </c>
      <c r="AX137" s="107" t="e">
        <f>VLOOKUP($A137,'S49'!$C:$BQ,22,0)</f>
        <v>#N/A</v>
      </c>
      <c r="AY137" s="115" t="e">
        <f>VLOOKUP($A137,'S49'!$C:$BQ,29,0)</f>
        <v>#N/A</v>
      </c>
      <c r="AZ137" s="115" t="e">
        <f>VLOOKUP($A137,'S49'!$C:$BQ,30,0)</f>
        <v>#N/A</v>
      </c>
      <c r="BA137" s="115" t="e">
        <f>VLOOKUP($A137,'S49'!$C:$BQ,52,0)</f>
        <v>#N/A</v>
      </c>
      <c r="BB137" s="115" t="e">
        <f>VLOOKUP($A137,'S49'!$C:$BQ,59,0)</f>
        <v>#N/A</v>
      </c>
      <c r="BC137" s="115" t="e">
        <f>VLOOKUP($A137,'S49'!$C:$BQ,60,0)</f>
        <v>#N/A</v>
      </c>
      <c r="BD137" s="107" t="e">
        <f>VLOOKUP($A137,'S50'!$C:$BQ,32,0)</f>
        <v>#N/A</v>
      </c>
      <c r="BE137" s="107" t="e">
        <f>VLOOKUP($A137,'S50'!$C:$BQ,39,0)</f>
        <v>#N/A</v>
      </c>
      <c r="BF137" s="107" t="e">
        <f>VLOOKUP($A137,'S50'!$C:$BQ,40,0)</f>
        <v>#N/A</v>
      </c>
      <c r="BG137" s="107" t="e">
        <f>VLOOKUP($A137,'S50'!$C:$BQ,22,0)</f>
        <v>#N/A</v>
      </c>
      <c r="BH137" s="115" t="e">
        <f>VLOOKUP($A137,'S50'!$C:$BQ,29,0)</f>
        <v>#N/A</v>
      </c>
      <c r="BI137" s="115" t="e">
        <f>VLOOKUP($A137,'S50'!$C:$BQ,30,0)</f>
        <v>#N/A</v>
      </c>
      <c r="BJ137" s="115" t="e">
        <f>VLOOKUP($A137,'S50'!$C:$BQ,52,0)</f>
        <v>#N/A</v>
      </c>
      <c r="BK137" s="115" t="e">
        <f>VLOOKUP($A137,'S50'!$C:$BQ,59,0)</f>
        <v>#N/A</v>
      </c>
      <c r="BL137" s="115" t="e">
        <f>VLOOKUP($A137,'S50'!$C:$BQ,60,0)</f>
        <v>#N/A</v>
      </c>
    </row>
    <row r="138" spans="1:64" x14ac:dyDescent="0.2">
      <c r="A138" s="106" t="s">
        <v>203</v>
      </c>
      <c r="B138" s="107">
        <f>VLOOKUP($A138,'S0 remplacer avec S44'!$C:$BQ,32,0)</f>
        <v>168.95</v>
      </c>
      <c r="C138" s="107">
        <f>VLOOKUP($A138,'S0 remplacer avec S44'!$C:$BQ,39,0)</f>
        <v>2</v>
      </c>
      <c r="D138" s="107">
        <f>VLOOKUP($A138,'S0 remplacer avec S44'!$C:$BQ,40,0)</f>
        <v>36</v>
      </c>
      <c r="E138" s="107">
        <f>VLOOKUP($A138,'S0 remplacer avec S44'!$C:$BQ,22,0)</f>
        <v>1829.1500699999999</v>
      </c>
      <c r="F138" s="115">
        <f>VLOOKUP($A138,'S0 remplacer avec S44'!$C:$BQ,29,0)</f>
        <v>0</v>
      </c>
      <c r="G138" s="115">
        <f>VLOOKUP($A138,'S0 remplacer avec S44'!$C:$BQ,30,0)</f>
        <v>32</v>
      </c>
      <c r="H138" s="115">
        <f>VLOOKUP($A138,'S0 remplacer avec S44'!$C:$BQ,52,0)</f>
        <v>135.4</v>
      </c>
      <c r="I138" s="115">
        <f>VLOOKUP($A138,'S0 remplacer avec S44'!$C:$BQ,59,0)</f>
        <v>0</v>
      </c>
      <c r="J138" s="115">
        <f>VLOOKUP($A138,'S0 remplacer avec S44'!$C:$BQ,60,0)</f>
        <v>0</v>
      </c>
      <c r="K138" s="107" t="e">
        <f>VLOOKUP($A138,'S45'!$C:$BQ,32,0)</f>
        <v>#N/A</v>
      </c>
      <c r="L138" s="107" t="e">
        <f>VLOOKUP($A138,'S45'!$C:$BQ,39,0)</f>
        <v>#N/A</v>
      </c>
      <c r="M138" s="107" t="e">
        <f>VLOOKUP($A138,'S45'!$C:$BQ,40,0)</f>
        <v>#N/A</v>
      </c>
      <c r="N138" s="107" t="e">
        <f>VLOOKUP($A138,'S45'!$C:$BQ,22,0)</f>
        <v>#N/A</v>
      </c>
      <c r="O138" s="115" t="e">
        <f>VLOOKUP($A138,'S45'!$C:$BQ,29,0)</f>
        <v>#N/A</v>
      </c>
      <c r="P138" s="115" t="e">
        <f>VLOOKUP($A138,'S45'!$C:$BQ,30,0)</f>
        <v>#N/A</v>
      </c>
      <c r="Q138" s="115" t="e">
        <f>VLOOKUP($A138,'S45'!$C:$BQ,52,0)</f>
        <v>#N/A</v>
      </c>
      <c r="R138" s="115" t="e">
        <f>VLOOKUP($A138,'S45'!$C:$BQ,59,0)</f>
        <v>#N/A</v>
      </c>
      <c r="S138" s="115" t="e">
        <f>VLOOKUP($A138,'S45'!$C:$BQ,60,0)</f>
        <v>#N/A</v>
      </c>
      <c r="T138" s="107" t="e">
        <f>VLOOKUP($A138,'S46'!$C:$BQ,32,0)</f>
        <v>#N/A</v>
      </c>
      <c r="U138" s="107" t="e">
        <f>VLOOKUP($A138,'S46'!$C:$BQ,39,0)</f>
        <v>#N/A</v>
      </c>
      <c r="V138" s="107" t="e">
        <f>VLOOKUP($A138,'S46'!$C:$BQ,40,0)</f>
        <v>#N/A</v>
      </c>
      <c r="W138" s="107" t="e">
        <f>VLOOKUP($A138,'S46'!$C:$BQ,22,0)</f>
        <v>#N/A</v>
      </c>
      <c r="X138" s="115" t="e">
        <f>VLOOKUP($A138,'S46'!$C:$BQ,29,0)</f>
        <v>#N/A</v>
      </c>
      <c r="Y138" s="115" t="e">
        <f>VLOOKUP($A138,'S46'!$C:$BQ,30,0)</f>
        <v>#N/A</v>
      </c>
      <c r="Z138" s="115" t="e">
        <f>VLOOKUP($A138,'S46'!$C:$BQ,52,0)</f>
        <v>#N/A</v>
      </c>
      <c r="AA138" s="115" t="e">
        <f>VLOOKUP($A138,'S46'!$C:$BQ,59,0)</f>
        <v>#N/A</v>
      </c>
      <c r="AB138" s="115" t="e">
        <f>VLOOKUP($A138,'S46'!$C:$BQ,60,0)</f>
        <v>#N/A</v>
      </c>
      <c r="AC138" s="107" t="e">
        <f>VLOOKUP($A138,'S47'!$C:$BQ,32,0)</f>
        <v>#N/A</v>
      </c>
      <c r="AD138" s="107" t="e">
        <f>VLOOKUP($A138,'S47'!$C:$BQ,39,0)</f>
        <v>#N/A</v>
      </c>
      <c r="AE138" s="107" t="e">
        <f>VLOOKUP($A138,'S47'!$C:$BQ,40,0)</f>
        <v>#N/A</v>
      </c>
      <c r="AF138" s="107" t="e">
        <f>VLOOKUP($A138,'S47'!$C:$BQ,22,0)</f>
        <v>#N/A</v>
      </c>
      <c r="AG138" s="115" t="e">
        <f>VLOOKUP($A138,'S47'!$C:$BQ,29,0)</f>
        <v>#N/A</v>
      </c>
      <c r="AH138" s="115" t="e">
        <f>VLOOKUP($A138,'S47'!$C:$BQ,30,0)</f>
        <v>#N/A</v>
      </c>
      <c r="AI138" s="115" t="e">
        <f>VLOOKUP($A138,'S47'!$C:$BQ,52,0)</f>
        <v>#N/A</v>
      </c>
      <c r="AJ138" s="115" t="e">
        <f>VLOOKUP($A138,'S47'!$C:$BQ,59,0)</f>
        <v>#N/A</v>
      </c>
      <c r="AK138" s="115" t="e">
        <f>VLOOKUP($A138,'S47'!$C:$BQ,60,0)</f>
        <v>#N/A</v>
      </c>
      <c r="AL138" s="107" t="e">
        <f>VLOOKUP($A138,'S48'!$C:$BQ,32,0)</f>
        <v>#N/A</v>
      </c>
      <c r="AM138" s="107" t="e">
        <f>VLOOKUP($A138,'S48'!$C:$BQ,39,0)</f>
        <v>#N/A</v>
      </c>
      <c r="AN138" s="107" t="e">
        <f>VLOOKUP($A138,'S48'!$C:$BQ,40,0)</f>
        <v>#N/A</v>
      </c>
      <c r="AO138" s="107" t="e">
        <f>VLOOKUP($A138,'S48'!$C:$BQ,22,0)</f>
        <v>#N/A</v>
      </c>
      <c r="AP138" s="115" t="e">
        <f>VLOOKUP($A138,'S48'!$C:$BQ,29,0)</f>
        <v>#N/A</v>
      </c>
      <c r="AQ138" s="115" t="e">
        <f>VLOOKUP($A138,'S48'!$C:$BQ,30,0)</f>
        <v>#N/A</v>
      </c>
      <c r="AR138" s="115" t="e">
        <f>VLOOKUP($A138,'S48'!$C:$BQ,52,0)</f>
        <v>#N/A</v>
      </c>
      <c r="AS138" s="115" t="e">
        <f>VLOOKUP($A138,'S48'!$C:$BQ,59,0)</f>
        <v>#N/A</v>
      </c>
      <c r="AT138" s="115" t="e">
        <f>VLOOKUP($A138,'S48'!$C:$BQ,60,0)</f>
        <v>#N/A</v>
      </c>
      <c r="AU138" s="107" t="e">
        <f>VLOOKUP($A138,'S49'!$C:$BQ,32,0)</f>
        <v>#N/A</v>
      </c>
      <c r="AV138" s="107" t="e">
        <f>VLOOKUP($A138,'S49'!$C:$BQ,39,0)</f>
        <v>#N/A</v>
      </c>
      <c r="AW138" s="107" t="e">
        <f>VLOOKUP($A138,'S49'!$C:$BQ,40,0)</f>
        <v>#N/A</v>
      </c>
      <c r="AX138" s="107" t="e">
        <f>VLOOKUP($A138,'S49'!$C:$BQ,22,0)</f>
        <v>#N/A</v>
      </c>
      <c r="AY138" s="115" t="e">
        <f>VLOOKUP($A138,'S49'!$C:$BQ,29,0)</f>
        <v>#N/A</v>
      </c>
      <c r="AZ138" s="115" t="e">
        <f>VLOOKUP($A138,'S49'!$C:$BQ,30,0)</f>
        <v>#N/A</v>
      </c>
      <c r="BA138" s="115" t="e">
        <f>VLOOKUP($A138,'S49'!$C:$BQ,52,0)</f>
        <v>#N/A</v>
      </c>
      <c r="BB138" s="115" t="e">
        <f>VLOOKUP($A138,'S49'!$C:$BQ,59,0)</f>
        <v>#N/A</v>
      </c>
      <c r="BC138" s="115" t="e">
        <f>VLOOKUP($A138,'S49'!$C:$BQ,60,0)</f>
        <v>#N/A</v>
      </c>
      <c r="BD138" s="107" t="e">
        <f>VLOOKUP($A138,'S50'!$C:$BQ,32,0)</f>
        <v>#N/A</v>
      </c>
      <c r="BE138" s="107" t="e">
        <f>VLOOKUP($A138,'S50'!$C:$BQ,39,0)</f>
        <v>#N/A</v>
      </c>
      <c r="BF138" s="107" t="e">
        <f>VLOOKUP($A138,'S50'!$C:$BQ,40,0)</f>
        <v>#N/A</v>
      </c>
      <c r="BG138" s="107" t="e">
        <f>VLOOKUP($A138,'S50'!$C:$BQ,22,0)</f>
        <v>#N/A</v>
      </c>
      <c r="BH138" s="115" t="e">
        <f>VLOOKUP($A138,'S50'!$C:$BQ,29,0)</f>
        <v>#N/A</v>
      </c>
      <c r="BI138" s="115" t="e">
        <f>VLOOKUP($A138,'S50'!$C:$BQ,30,0)</f>
        <v>#N/A</v>
      </c>
      <c r="BJ138" s="115" t="e">
        <f>VLOOKUP($A138,'S50'!$C:$BQ,52,0)</f>
        <v>#N/A</v>
      </c>
      <c r="BK138" s="115" t="e">
        <f>VLOOKUP($A138,'S50'!$C:$BQ,59,0)</f>
        <v>#N/A</v>
      </c>
      <c r="BL138" s="115" t="e">
        <f>VLOOKUP($A138,'S50'!$C:$BQ,60,0)</f>
        <v>#N/A</v>
      </c>
    </row>
    <row r="139" spans="1:64" x14ac:dyDescent="0.2">
      <c r="A139" s="106" t="s">
        <v>204</v>
      </c>
      <c r="B139" s="107">
        <f>VLOOKUP($A139,'S0 remplacer avec S44'!$C:$BQ,32,0)</f>
        <v>213.7</v>
      </c>
      <c r="C139" s="107">
        <f>VLOOKUP($A139,'S0 remplacer avec S44'!$C:$BQ,39,0)</f>
        <v>0</v>
      </c>
      <c r="D139" s="107">
        <f>VLOOKUP($A139,'S0 remplacer avec S44'!$C:$BQ,40,0)</f>
        <v>13</v>
      </c>
      <c r="E139" s="107">
        <f>VLOOKUP($A139,'S0 remplacer avec S44'!$C:$BQ,22,0)</f>
        <v>1986.54628</v>
      </c>
      <c r="F139" s="115">
        <f>VLOOKUP($A139,'S0 remplacer avec S44'!$C:$BQ,29,0)</f>
        <v>0</v>
      </c>
      <c r="G139" s="115">
        <f>VLOOKUP($A139,'S0 remplacer avec S44'!$C:$BQ,30,0)</f>
        <v>69</v>
      </c>
      <c r="H139" s="115">
        <f>VLOOKUP($A139,'S0 remplacer avec S44'!$C:$BQ,52,0)</f>
        <v>129.80000000000001</v>
      </c>
      <c r="I139" s="115">
        <f>VLOOKUP($A139,'S0 remplacer avec S44'!$C:$BQ,59,0)</f>
        <v>0</v>
      </c>
      <c r="J139" s="115">
        <f>VLOOKUP($A139,'S0 remplacer avec S44'!$C:$BQ,60,0)</f>
        <v>0</v>
      </c>
      <c r="K139" s="107" t="e">
        <f>VLOOKUP($A139,'S45'!$C:$BQ,32,0)</f>
        <v>#N/A</v>
      </c>
      <c r="L139" s="107" t="e">
        <f>VLOOKUP($A139,'S45'!$C:$BQ,39,0)</f>
        <v>#N/A</v>
      </c>
      <c r="M139" s="107" t="e">
        <f>VLOOKUP($A139,'S45'!$C:$BQ,40,0)</f>
        <v>#N/A</v>
      </c>
      <c r="N139" s="107" t="e">
        <f>VLOOKUP($A139,'S45'!$C:$BQ,22,0)</f>
        <v>#N/A</v>
      </c>
      <c r="O139" s="115" t="e">
        <f>VLOOKUP($A139,'S45'!$C:$BQ,29,0)</f>
        <v>#N/A</v>
      </c>
      <c r="P139" s="115" t="e">
        <f>VLOOKUP($A139,'S45'!$C:$BQ,30,0)</f>
        <v>#N/A</v>
      </c>
      <c r="Q139" s="115" t="e">
        <f>VLOOKUP($A139,'S45'!$C:$BQ,52,0)</f>
        <v>#N/A</v>
      </c>
      <c r="R139" s="115" t="e">
        <f>VLOOKUP($A139,'S45'!$C:$BQ,59,0)</f>
        <v>#N/A</v>
      </c>
      <c r="S139" s="115" t="e">
        <f>VLOOKUP($A139,'S45'!$C:$BQ,60,0)</f>
        <v>#N/A</v>
      </c>
      <c r="T139" s="107" t="e">
        <f>VLOOKUP($A139,'S46'!$C:$BQ,32,0)</f>
        <v>#N/A</v>
      </c>
      <c r="U139" s="107" t="e">
        <f>VLOOKUP($A139,'S46'!$C:$BQ,39,0)</f>
        <v>#N/A</v>
      </c>
      <c r="V139" s="107" t="e">
        <f>VLOOKUP($A139,'S46'!$C:$BQ,40,0)</f>
        <v>#N/A</v>
      </c>
      <c r="W139" s="107" t="e">
        <f>VLOOKUP($A139,'S46'!$C:$BQ,22,0)</f>
        <v>#N/A</v>
      </c>
      <c r="X139" s="115" t="e">
        <f>VLOOKUP($A139,'S46'!$C:$BQ,29,0)</f>
        <v>#N/A</v>
      </c>
      <c r="Y139" s="115" t="e">
        <f>VLOOKUP($A139,'S46'!$C:$BQ,30,0)</f>
        <v>#N/A</v>
      </c>
      <c r="Z139" s="115" t="e">
        <f>VLOOKUP($A139,'S46'!$C:$BQ,52,0)</f>
        <v>#N/A</v>
      </c>
      <c r="AA139" s="115" t="e">
        <f>VLOOKUP($A139,'S46'!$C:$BQ,59,0)</f>
        <v>#N/A</v>
      </c>
      <c r="AB139" s="115" t="e">
        <f>VLOOKUP($A139,'S46'!$C:$BQ,60,0)</f>
        <v>#N/A</v>
      </c>
      <c r="AC139" s="107" t="e">
        <f>VLOOKUP($A139,'S47'!$C:$BQ,32,0)</f>
        <v>#N/A</v>
      </c>
      <c r="AD139" s="107" t="e">
        <f>VLOOKUP($A139,'S47'!$C:$BQ,39,0)</f>
        <v>#N/A</v>
      </c>
      <c r="AE139" s="107" t="e">
        <f>VLOOKUP($A139,'S47'!$C:$BQ,40,0)</f>
        <v>#N/A</v>
      </c>
      <c r="AF139" s="107" t="e">
        <f>VLOOKUP($A139,'S47'!$C:$BQ,22,0)</f>
        <v>#N/A</v>
      </c>
      <c r="AG139" s="115" t="e">
        <f>VLOOKUP($A139,'S47'!$C:$BQ,29,0)</f>
        <v>#N/A</v>
      </c>
      <c r="AH139" s="115" t="e">
        <f>VLOOKUP($A139,'S47'!$C:$BQ,30,0)</f>
        <v>#N/A</v>
      </c>
      <c r="AI139" s="115" t="e">
        <f>VLOOKUP($A139,'S47'!$C:$BQ,52,0)</f>
        <v>#N/A</v>
      </c>
      <c r="AJ139" s="115" t="e">
        <f>VLOOKUP($A139,'S47'!$C:$BQ,59,0)</f>
        <v>#N/A</v>
      </c>
      <c r="AK139" s="115" t="e">
        <f>VLOOKUP($A139,'S47'!$C:$BQ,60,0)</f>
        <v>#N/A</v>
      </c>
      <c r="AL139" s="107" t="e">
        <f>VLOOKUP($A139,'S48'!$C:$BQ,32,0)</f>
        <v>#N/A</v>
      </c>
      <c r="AM139" s="107" t="e">
        <f>VLOOKUP($A139,'S48'!$C:$BQ,39,0)</f>
        <v>#N/A</v>
      </c>
      <c r="AN139" s="107" t="e">
        <f>VLOOKUP($A139,'S48'!$C:$BQ,40,0)</f>
        <v>#N/A</v>
      </c>
      <c r="AO139" s="107" t="e">
        <f>VLOOKUP($A139,'S48'!$C:$BQ,22,0)</f>
        <v>#N/A</v>
      </c>
      <c r="AP139" s="115" t="e">
        <f>VLOOKUP($A139,'S48'!$C:$BQ,29,0)</f>
        <v>#N/A</v>
      </c>
      <c r="AQ139" s="115" t="e">
        <f>VLOOKUP($A139,'S48'!$C:$BQ,30,0)</f>
        <v>#N/A</v>
      </c>
      <c r="AR139" s="115" t="e">
        <f>VLOOKUP($A139,'S48'!$C:$BQ,52,0)</f>
        <v>#N/A</v>
      </c>
      <c r="AS139" s="115" t="e">
        <f>VLOOKUP($A139,'S48'!$C:$BQ,59,0)</f>
        <v>#N/A</v>
      </c>
      <c r="AT139" s="115" t="e">
        <f>VLOOKUP($A139,'S48'!$C:$BQ,60,0)</f>
        <v>#N/A</v>
      </c>
      <c r="AU139" s="107" t="e">
        <f>VLOOKUP($A139,'S49'!$C:$BQ,32,0)</f>
        <v>#N/A</v>
      </c>
      <c r="AV139" s="107" t="e">
        <f>VLOOKUP($A139,'S49'!$C:$BQ,39,0)</f>
        <v>#N/A</v>
      </c>
      <c r="AW139" s="107" t="e">
        <f>VLOOKUP($A139,'S49'!$C:$BQ,40,0)</f>
        <v>#N/A</v>
      </c>
      <c r="AX139" s="107" t="e">
        <f>VLOOKUP($A139,'S49'!$C:$BQ,22,0)</f>
        <v>#N/A</v>
      </c>
      <c r="AY139" s="115" t="e">
        <f>VLOOKUP($A139,'S49'!$C:$BQ,29,0)</f>
        <v>#N/A</v>
      </c>
      <c r="AZ139" s="115" t="e">
        <f>VLOOKUP($A139,'S49'!$C:$BQ,30,0)</f>
        <v>#N/A</v>
      </c>
      <c r="BA139" s="115" t="e">
        <f>VLOOKUP($A139,'S49'!$C:$BQ,52,0)</f>
        <v>#N/A</v>
      </c>
      <c r="BB139" s="115" t="e">
        <f>VLOOKUP($A139,'S49'!$C:$BQ,59,0)</f>
        <v>#N/A</v>
      </c>
      <c r="BC139" s="115" t="e">
        <f>VLOOKUP($A139,'S49'!$C:$BQ,60,0)</f>
        <v>#N/A</v>
      </c>
      <c r="BD139" s="107" t="e">
        <f>VLOOKUP($A139,'S50'!$C:$BQ,32,0)</f>
        <v>#N/A</v>
      </c>
      <c r="BE139" s="107" t="e">
        <f>VLOOKUP($A139,'S50'!$C:$BQ,39,0)</f>
        <v>#N/A</v>
      </c>
      <c r="BF139" s="107" t="e">
        <f>VLOOKUP($A139,'S50'!$C:$BQ,40,0)</f>
        <v>#N/A</v>
      </c>
      <c r="BG139" s="107" t="e">
        <f>VLOOKUP($A139,'S50'!$C:$BQ,22,0)</f>
        <v>#N/A</v>
      </c>
      <c r="BH139" s="115" t="e">
        <f>VLOOKUP($A139,'S50'!$C:$BQ,29,0)</f>
        <v>#N/A</v>
      </c>
      <c r="BI139" s="115" t="e">
        <f>VLOOKUP($A139,'S50'!$C:$BQ,30,0)</f>
        <v>#N/A</v>
      </c>
      <c r="BJ139" s="115" t="e">
        <f>VLOOKUP($A139,'S50'!$C:$BQ,52,0)</f>
        <v>#N/A</v>
      </c>
      <c r="BK139" s="115" t="e">
        <f>VLOOKUP($A139,'S50'!$C:$BQ,59,0)</f>
        <v>#N/A</v>
      </c>
      <c r="BL139" s="115" t="e">
        <f>VLOOKUP($A139,'S50'!$C:$BQ,60,0)</f>
        <v>#N/A</v>
      </c>
    </row>
    <row r="140" spans="1:64" x14ac:dyDescent="0.2">
      <c r="A140" s="106" t="s">
        <v>205</v>
      </c>
      <c r="B140" s="107">
        <f>VLOOKUP($A140,'S0 remplacer avec S44'!$C:$BQ,32,0)</f>
        <v>154.5</v>
      </c>
      <c r="C140" s="107">
        <f>VLOOKUP($A140,'S0 remplacer avec S44'!$C:$BQ,39,0)</f>
        <v>30</v>
      </c>
      <c r="D140" s="107">
        <f>VLOOKUP($A140,'S0 remplacer avec S44'!$C:$BQ,40,0)</f>
        <v>67</v>
      </c>
      <c r="E140" s="107">
        <f>VLOOKUP($A140,'S0 remplacer avec S44'!$C:$BQ,22,0)</f>
        <v>2203.3306499999999</v>
      </c>
      <c r="F140" s="115">
        <f>VLOOKUP($A140,'S0 remplacer avec S44'!$C:$BQ,29,0)</f>
        <v>0</v>
      </c>
      <c r="G140" s="115">
        <f>VLOOKUP($A140,'S0 remplacer avec S44'!$C:$BQ,30,0)</f>
        <v>0</v>
      </c>
      <c r="H140" s="115">
        <f>VLOOKUP($A140,'S0 remplacer avec S44'!$C:$BQ,52,0)</f>
        <v>152</v>
      </c>
      <c r="I140" s="115">
        <f>VLOOKUP($A140,'S0 remplacer avec S44'!$C:$BQ,59,0)</f>
        <v>0</v>
      </c>
      <c r="J140" s="115">
        <f>VLOOKUP($A140,'S0 remplacer avec S44'!$C:$BQ,60,0)</f>
        <v>0</v>
      </c>
      <c r="K140" s="107" t="e">
        <f>VLOOKUP($A140,'S45'!$C:$BQ,32,0)</f>
        <v>#N/A</v>
      </c>
      <c r="L140" s="107" t="e">
        <f>VLOOKUP($A140,'S45'!$C:$BQ,39,0)</f>
        <v>#N/A</v>
      </c>
      <c r="M140" s="107" t="e">
        <f>VLOOKUP($A140,'S45'!$C:$BQ,40,0)</f>
        <v>#N/A</v>
      </c>
      <c r="N140" s="107" t="e">
        <f>VLOOKUP($A140,'S45'!$C:$BQ,22,0)</f>
        <v>#N/A</v>
      </c>
      <c r="O140" s="115" t="e">
        <f>VLOOKUP($A140,'S45'!$C:$BQ,29,0)</f>
        <v>#N/A</v>
      </c>
      <c r="P140" s="115" t="e">
        <f>VLOOKUP($A140,'S45'!$C:$BQ,30,0)</f>
        <v>#N/A</v>
      </c>
      <c r="Q140" s="115" t="e">
        <f>VLOOKUP($A140,'S45'!$C:$BQ,52,0)</f>
        <v>#N/A</v>
      </c>
      <c r="R140" s="115" t="e">
        <f>VLOOKUP($A140,'S45'!$C:$BQ,59,0)</f>
        <v>#N/A</v>
      </c>
      <c r="S140" s="115" t="e">
        <f>VLOOKUP($A140,'S45'!$C:$BQ,60,0)</f>
        <v>#N/A</v>
      </c>
      <c r="T140" s="107" t="e">
        <f>VLOOKUP($A140,'S46'!$C:$BQ,32,0)</f>
        <v>#N/A</v>
      </c>
      <c r="U140" s="107" t="e">
        <f>VLOOKUP($A140,'S46'!$C:$BQ,39,0)</f>
        <v>#N/A</v>
      </c>
      <c r="V140" s="107" t="e">
        <f>VLOOKUP($A140,'S46'!$C:$BQ,40,0)</f>
        <v>#N/A</v>
      </c>
      <c r="W140" s="107" t="e">
        <f>VLOOKUP($A140,'S46'!$C:$BQ,22,0)</f>
        <v>#N/A</v>
      </c>
      <c r="X140" s="115" t="e">
        <f>VLOOKUP($A140,'S46'!$C:$BQ,29,0)</f>
        <v>#N/A</v>
      </c>
      <c r="Y140" s="115" t="e">
        <f>VLOOKUP($A140,'S46'!$C:$BQ,30,0)</f>
        <v>#N/A</v>
      </c>
      <c r="Z140" s="115" t="e">
        <f>VLOOKUP($A140,'S46'!$C:$BQ,52,0)</f>
        <v>#N/A</v>
      </c>
      <c r="AA140" s="115" t="e">
        <f>VLOOKUP($A140,'S46'!$C:$BQ,59,0)</f>
        <v>#N/A</v>
      </c>
      <c r="AB140" s="115" t="e">
        <f>VLOOKUP($A140,'S46'!$C:$BQ,60,0)</f>
        <v>#N/A</v>
      </c>
      <c r="AC140" s="107" t="e">
        <f>VLOOKUP($A140,'S47'!$C:$BQ,32,0)</f>
        <v>#N/A</v>
      </c>
      <c r="AD140" s="107" t="e">
        <f>VLOOKUP($A140,'S47'!$C:$BQ,39,0)</f>
        <v>#N/A</v>
      </c>
      <c r="AE140" s="107" t="e">
        <f>VLOOKUP($A140,'S47'!$C:$BQ,40,0)</f>
        <v>#N/A</v>
      </c>
      <c r="AF140" s="107" t="e">
        <f>VLOOKUP($A140,'S47'!$C:$BQ,22,0)</f>
        <v>#N/A</v>
      </c>
      <c r="AG140" s="115" t="e">
        <f>VLOOKUP($A140,'S47'!$C:$BQ,29,0)</f>
        <v>#N/A</v>
      </c>
      <c r="AH140" s="115" t="e">
        <f>VLOOKUP($A140,'S47'!$C:$BQ,30,0)</f>
        <v>#N/A</v>
      </c>
      <c r="AI140" s="115" t="e">
        <f>VLOOKUP($A140,'S47'!$C:$BQ,52,0)</f>
        <v>#N/A</v>
      </c>
      <c r="AJ140" s="115" t="e">
        <f>VLOOKUP($A140,'S47'!$C:$BQ,59,0)</f>
        <v>#N/A</v>
      </c>
      <c r="AK140" s="115" t="e">
        <f>VLOOKUP($A140,'S47'!$C:$BQ,60,0)</f>
        <v>#N/A</v>
      </c>
      <c r="AL140" s="107" t="e">
        <f>VLOOKUP($A140,'S48'!$C:$BQ,32,0)</f>
        <v>#N/A</v>
      </c>
      <c r="AM140" s="107" t="e">
        <f>VLOOKUP($A140,'S48'!$C:$BQ,39,0)</f>
        <v>#N/A</v>
      </c>
      <c r="AN140" s="107" t="e">
        <f>VLOOKUP($A140,'S48'!$C:$BQ,40,0)</f>
        <v>#N/A</v>
      </c>
      <c r="AO140" s="107" t="e">
        <f>VLOOKUP($A140,'S48'!$C:$BQ,22,0)</f>
        <v>#N/A</v>
      </c>
      <c r="AP140" s="115" t="e">
        <f>VLOOKUP($A140,'S48'!$C:$BQ,29,0)</f>
        <v>#N/A</v>
      </c>
      <c r="AQ140" s="115" t="e">
        <f>VLOOKUP($A140,'S48'!$C:$BQ,30,0)</f>
        <v>#N/A</v>
      </c>
      <c r="AR140" s="115" t="e">
        <f>VLOOKUP($A140,'S48'!$C:$BQ,52,0)</f>
        <v>#N/A</v>
      </c>
      <c r="AS140" s="115" t="e">
        <f>VLOOKUP($A140,'S48'!$C:$BQ,59,0)</f>
        <v>#N/A</v>
      </c>
      <c r="AT140" s="115" t="e">
        <f>VLOOKUP($A140,'S48'!$C:$BQ,60,0)</f>
        <v>#N/A</v>
      </c>
      <c r="AU140" s="107" t="e">
        <f>VLOOKUP($A140,'S49'!$C:$BQ,32,0)</f>
        <v>#N/A</v>
      </c>
      <c r="AV140" s="107" t="e">
        <f>VLOOKUP($A140,'S49'!$C:$BQ,39,0)</f>
        <v>#N/A</v>
      </c>
      <c r="AW140" s="107" t="e">
        <f>VLOOKUP($A140,'S49'!$C:$BQ,40,0)</f>
        <v>#N/A</v>
      </c>
      <c r="AX140" s="107" t="e">
        <f>VLOOKUP($A140,'S49'!$C:$BQ,22,0)</f>
        <v>#N/A</v>
      </c>
      <c r="AY140" s="115" t="e">
        <f>VLOOKUP($A140,'S49'!$C:$BQ,29,0)</f>
        <v>#N/A</v>
      </c>
      <c r="AZ140" s="115" t="e">
        <f>VLOOKUP($A140,'S49'!$C:$BQ,30,0)</f>
        <v>#N/A</v>
      </c>
      <c r="BA140" s="115" t="e">
        <f>VLOOKUP($A140,'S49'!$C:$BQ,52,0)</f>
        <v>#N/A</v>
      </c>
      <c r="BB140" s="115" t="e">
        <f>VLOOKUP($A140,'S49'!$C:$BQ,59,0)</f>
        <v>#N/A</v>
      </c>
      <c r="BC140" s="115" t="e">
        <f>VLOOKUP($A140,'S49'!$C:$BQ,60,0)</f>
        <v>#N/A</v>
      </c>
      <c r="BD140" s="107" t="e">
        <f>VLOOKUP($A140,'S50'!$C:$BQ,32,0)</f>
        <v>#N/A</v>
      </c>
      <c r="BE140" s="107" t="e">
        <f>VLOOKUP($A140,'S50'!$C:$BQ,39,0)</f>
        <v>#N/A</v>
      </c>
      <c r="BF140" s="107" t="e">
        <f>VLOOKUP($A140,'S50'!$C:$BQ,40,0)</f>
        <v>#N/A</v>
      </c>
      <c r="BG140" s="107" t="e">
        <f>VLOOKUP($A140,'S50'!$C:$BQ,22,0)</f>
        <v>#N/A</v>
      </c>
      <c r="BH140" s="115" t="e">
        <f>VLOOKUP($A140,'S50'!$C:$BQ,29,0)</f>
        <v>#N/A</v>
      </c>
      <c r="BI140" s="115" t="e">
        <f>VLOOKUP($A140,'S50'!$C:$BQ,30,0)</f>
        <v>#N/A</v>
      </c>
      <c r="BJ140" s="115" t="e">
        <f>VLOOKUP($A140,'S50'!$C:$BQ,52,0)</f>
        <v>#N/A</v>
      </c>
      <c r="BK140" s="115" t="e">
        <f>VLOOKUP($A140,'S50'!$C:$BQ,59,0)</f>
        <v>#N/A</v>
      </c>
      <c r="BL140" s="115" t="e">
        <f>VLOOKUP($A140,'S50'!$C:$BQ,60,0)</f>
        <v>#N/A</v>
      </c>
    </row>
    <row r="141" spans="1:64" x14ac:dyDescent="0.2">
      <c r="A141" s="106" t="s">
        <v>206</v>
      </c>
      <c r="B141" s="107">
        <f>VLOOKUP($A141,'S0 remplacer avec S44'!$C:$BQ,32,0)</f>
        <v>109.1</v>
      </c>
      <c r="C141" s="107">
        <f>VLOOKUP($A141,'S0 remplacer avec S44'!$C:$BQ,39,0)</f>
        <v>59</v>
      </c>
      <c r="D141" s="107">
        <f>VLOOKUP($A141,'S0 remplacer avec S44'!$C:$BQ,40,0)</f>
        <v>93</v>
      </c>
      <c r="E141" s="107">
        <f>VLOOKUP($A141,'S0 remplacer avec S44'!$C:$BQ,22,0)</f>
        <v>1077.0676450000001</v>
      </c>
      <c r="F141" s="115">
        <f>VLOOKUP($A141,'S0 remplacer avec S44'!$C:$BQ,29,0)</f>
        <v>452</v>
      </c>
      <c r="G141" s="115">
        <f>VLOOKUP($A141,'S0 remplacer avec S44'!$C:$BQ,30,0)</f>
        <v>758</v>
      </c>
      <c r="H141" s="115">
        <f>VLOOKUP($A141,'S0 remplacer avec S44'!$C:$BQ,52,0)</f>
        <v>102.8</v>
      </c>
      <c r="I141" s="115">
        <f>VLOOKUP($A141,'S0 remplacer avec S44'!$C:$BQ,59,0)</f>
        <v>0</v>
      </c>
      <c r="J141" s="115">
        <f>VLOOKUP($A141,'S0 remplacer avec S44'!$C:$BQ,60,0)</f>
        <v>0</v>
      </c>
      <c r="K141" s="107" t="e">
        <f>VLOOKUP($A141,'S45'!$C:$BQ,32,0)</f>
        <v>#N/A</v>
      </c>
      <c r="L141" s="107" t="e">
        <f>VLOOKUP($A141,'S45'!$C:$BQ,39,0)</f>
        <v>#N/A</v>
      </c>
      <c r="M141" s="107" t="e">
        <f>VLOOKUP($A141,'S45'!$C:$BQ,40,0)</f>
        <v>#N/A</v>
      </c>
      <c r="N141" s="107" t="e">
        <f>VLOOKUP($A141,'S45'!$C:$BQ,22,0)</f>
        <v>#N/A</v>
      </c>
      <c r="O141" s="115" t="e">
        <f>VLOOKUP($A141,'S45'!$C:$BQ,29,0)</f>
        <v>#N/A</v>
      </c>
      <c r="P141" s="115" t="e">
        <f>VLOOKUP($A141,'S45'!$C:$BQ,30,0)</f>
        <v>#N/A</v>
      </c>
      <c r="Q141" s="115" t="e">
        <f>VLOOKUP($A141,'S45'!$C:$BQ,52,0)</f>
        <v>#N/A</v>
      </c>
      <c r="R141" s="115" t="e">
        <f>VLOOKUP($A141,'S45'!$C:$BQ,59,0)</f>
        <v>#N/A</v>
      </c>
      <c r="S141" s="115" t="e">
        <f>VLOOKUP($A141,'S45'!$C:$BQ,60,0)</f>
        <v>#N/A</v>
      </c>
      <c r="T141" s="107" t="e">
        <f>VLOOKUP($A141,'S46'!$C:$BQ,32,0)</f>
        <v>#N/A</v>
      </c>
      <c r="U141" s="107" t="e">
        <f>VLOOKUP($A141,'S46'!$C:$BQ,39,0)</f>
        <v>#N/A</v>
      </c>
      <c r="V141" s="107" t="e">
        <f>VLOOKUP($A141,'S46'!$C:$BQ,40,0)</f>
        <v>#N/A</v>
      </c>
      <c r="W141" s="107" t="e">
        <f>VLOOKUP($A141,'S46'!$C:$BQ,22,0)</f>
        <v>#N/A</v>
      </c>
      <c r="X141" s="115" t="e">
        <f>VLOOKUP($A141,'S46'!$C:$BQ,29,0)</f>
        <v>#N/A</v>
      </c>
      <c r="Y141" s="115" t="e">
        <f>VLOOKUP($A141,'S46'!$C:$BQ,30,0)</f>
        <v>#N/A</v>
      </c>
      <c r="Z141" s="115" t="e">
        <f>VLOOKUP($A141,'S46'!$C:$BQ,52,0)</f>
        <v>#N/A</v>
      </c>
      <c r="AA141" s="115" t="e">
        <f>VLOOKUP($A141,'S46'!$C:$BQ,59,0)</f>
        <v>#N/A</v>
      </c>
      <c r="AB141" s="115" t="e">
        <f>VLOOKUP($A141,'S46'!$C:$BQ,60,0)</f>
        <v>#N/A</v>
      </c>
      <c r="AC141" s="107" t="e">
        <f>VLOOKUP($A141,'S47'!$C:$BQ,32,0)</f>
        <v>#N/A</v>
      </c>
      <c r="AD141" s="107" t="e">
        <f>VLOOKUP($A141,'S47'!$C:$BQ,39,0)</f>
        <v>#N/A</v>
      </c>
      <c r="AE141" s="107" t="e">
        <f>VLOOKUP($A141,'S47'!$C:$BQ,40,0)</f>
        <v>#N/A</v>
      </c>
      <c r="AF141" s="107" t="e">
        <f>VLOOKUP($A141,'S47'!$C:$BQ,22,0)</f>
        <v>#N/A</v>
      </c>
      <c r="AG141" s="115" t="e">
        <f>VLOOKUP($A141,'S47'!$C:$BQ,29,0)</f>
        <v>#N/A</v>
      </c>
      <c r="AH141" s="115" t="e">
        <f>VLOOKUP($A141,'S47'!$C:$BQ,30,0)</f>
        <v>#N/A</v>
      </c>
      <c r="AI141" s="115" t="e">
        <f>VLOOKUP($A141,'S47'!$C:$BQ,52,0)</f>
        <v>#N/A</v>
      </c>
      <c r="AJ141" s="115" t="e">
        <f>VLOOKUP($A141,'S47'!$C:$BQ,59,0)</f>
        <v>#N/A</v>
      </c>
      <c r="AK141" s="115" t="e">
        <f>VLOOKUP($A141,'S47'!$C:$BQ,60,0)</f>
        <v>#N/A</v>
      </c>
      <c r="AL141" s="107" t="e">
        <f>VLOOKUP($A141,'S48'!$C:$BQ,32,0)</f>
        <v>#N/A</v>
      </c>
      <c r="AM141" s="107" t="e">
        <f>VLOOKUP($A141,'S48'!$C:$BQ,39,0)</f>
        <v>#N/A</v>
      </c>
      <c r="AN141" s="107" t="e">
        <f>VLOOKUP($A141,'S48'!$C:$BQ,40,0)</f>
        <v>#N/A</v>
      </c>
      <c r="AO141" s="107" t="e">
        <f>VLOOKUP($A141,'S48'!$C:$BQ,22,0)</f>
        <v>#N/A</v>
      </c>
      <c r="AP141" s="115" t="e">
        <f>VLOOKUP($A141,'S48'!$C:$BQ,29,0)</f>
        <v>#N/A</v>
      </c>
      <c r="AQ141" s="115" t="e">
        <f>VLOOKUP($A141,'S48'!$C:$BQ,30,0)</f>
        <v>#N/A</v>
      </c>
      <c r="AR141" s="115" t="e">
        <f>VLOOKUP($A141,'S48'!$C:$BQ,52,0)</f>
        <v>#N/A</v>
      </c>
      <c r="AS141" s="115" t="e">
        <f>VLOOKUP($A141,'S48'!$C:$BQ,59,0)</f>
        <v>#N/A</v>
      </c>
      <c r="AT141" s="115" t="e">
        <f>VLOOKUP($A141,'S48'!$C:$BQ,60,0)</f>
        <v>#N/A</v>
      </c>
      <c r="AU141" s="107" t="e">
        <f>VLOOKUP($A141,'S49'!$C:$BQ,32,0)</f>
        <v>#N/A</v>
      </c>
      <c r="AV141" s="107" t="e">
        <f>VLOOKUP($A141,'S49'!$C:$BQ,39,0)</f>
        <v>#N/A</v>
      </c>
      <c r="AW141" s="107" t="e">
        <f>VLOOKUP($A141,'S49'!$C:$BQ,40,0)</f>
        <v>#N/A</v>
      </c>
      <c r="AX141" s="107" t="e">
        <f>VLOOKUP($A141,'S49'!$C:$BQ,22,0)</f>
        <v>#N/A</v>
      </c>
      <c r="AY141" s="115" t="e">
        <f>VLOOKUP($A141,'S49'!$C:$BQ,29,0)</f>
        <v>#N/A</v>
      </c>
      <c r="AZ141" s="115" t="e">
        <f>VLOOKUP($A141,'S49'!$C:$BQ,30,0)</f>
        <v>#N/A</v>
      </c>
      <c r="BA141" s="115" t="e">
        <f>VLOOKUP($A141,'S49'!$C:$BQ,52,0)</f>
        <v>#N/A</v>
      </c>
      <c r="BB141" s="115" t="e">
        <f>VLOOKUP($A141,'S49'!$C:$BQ,59,0)</f>
        <v>#N/A</v>
      </c>
      <c r="BC141" s="115" t="e">
        <f>VLOOKUP($A141,'S49'!$C:$BQ,60,0)</f>
        <v>#N/A</v>
      </c>
      <c r="BD141" s="107" t="e">
        <f>VLOOKUP($A141,'S50'!$C:$BQ,32,0)</f>
        <v>#N/A</v>
      </c>
      <c r="BE141" s="107" t="e">
        <f>VLOOKUP($A141,'S50'!$C:$BQ,39,0)</f>
        <v>#N/A</v>
      </c>
      <c r="BF141" s="107" t="e">
        <f>VLOOKUP($A141,'S50'!$C:$BQ,40,0)</f>
        <v>#N/A</v>
      </c>
      <c r="BG141" s="107" t="e">
        <f>VLOOKUP($A141,'S50'!$C:$BQ,22,0)</f>
        <v>#N/A</v>
      </c>
      <c r="BH141" s="115" t="e">
        <f>VLOOKUP($A141,'S50'!$C:$BQ,29,0)</f>
        <v>#N/A</v>
      </c>
      <c r="BI141" s="115" t="e">
        <f>VLOOKUP($A141,'S50'!$C:$BQ,30,0)</f>
        <v>#N/A</v>
      </c>
      <c r="BJ141" s="115" t="e">
        <f>VLOOKUP($A141,'S50'!$C:$BQ,52,0)</f>
        <v>#N/A</v>
      </c>
      <c r="BK141" s="115" t="e">
        <f>VLOOKUP($A141,'S50'!$C:$BQ,59,0)</f>
        <v>#N/A</v>
      </c>
      <c r="BL141" s="115" t="e">
        <f>VLOOKUP($A141,'S50'!$C:$BQ,60,0)</f>
        <v>#N/A</v>
      </c>
    </row>
    <row r="142" spans="1:64" x14ac:dyDescent="0.2">
      <c r="A142" s="106" t="s">
        <v>207</v>
      </c>
      <c r="B142" s="107">
        <f>VLOOKUP($A142,'S0 remplacer avec S44'!$C:$BQ,32,0)</f>
        <v>693.85</v>
      </c>
      <c r="C142" s="107">
        <f>VLOOKUP($A142,'S0 remplacer avec S44'!$C:$BQ,39,0)</f>
        <v>0</v>
      </c>
      <c r="D142" s="107">
        <f>VLOOKUP($A142,'S0 remplacer avec S44'!$C:$BQ,40,0)</f>
        <v>110</v>
      </c>
      <c r="E142" s="107">
        <f>VLOOKUP($A142,'S0 remplacer avec S44'!$C:$BQ,22,0)</f>
        <v>6238.4005999999999</v>
      </c>
      <c r="F142" s="115">
        <f>VLOOKUP($A142,'S0 remplacer avec S44'!$C:$BQ,29,0)</f>
        <v>0</v>
      </c>
      <c r="G142" s="115">
        <f>VLOOKUP($A142,'S0 remplacer avec S44'!$C:$BQ,30,0)</f>
        <v>1071</v>
      </c>
      <c r="H142" s="115">
        <f>VLOOKUP($A142,'S0 remplacer avec S44'!$C:$BQ,52,0)</f>
        <v>405.8</v>
      </c>
      <c r="I142" s="115">
        <f>VLOOKUP($A142,'S0 remplacer avec S44'!$C:$BQ,59,0)</f>
        <v>0</v>
      </c>
      <c r="J142" s="115">
        <f>VLOOKUP($A142,'S0 remplacer avec S44'!$C:$BQ,60,0)</f>
        <v>3</v>
      </c>
      <c r="K142" s="107" t="e">
        <f>VLOOKUP($A142,'S45'!$C:$BQ,32,0)</f>
        <v>#N/A</v>
      </c>
      <c r="L142" s="107" t="e">
        <f>VLOOKUP($A142,'S45'!$C:$BQ,39,0)</f>
        <v>#N/A</v>
      </c>
      <c r="M142" s="107" t="e">
        <f>VLOOKUP($A142,'S45'!$C:$BQ,40,0)</f>
        <v>#N/A</v>
      </c>
      <c r="N142" s="107" t="e">
        <f>VLOOKUP($A142,'S45'!$C:$BQ,22,0)</f>
        <v>#N/A</v>
      </c>
      <c r="O142" s="115" t="e">
        <f>VLOOKUP($A142,'S45'!$C:$BQ,29,0)</f>
        <v>#N/A</v>
      </c>
      <c r="P142" s="115" t="e">
        <f>VLOOKUP($A142,'S45'!$C:$BQ,30,0)</f>
        <v>#N/A</v>
      </c>
      <c r="Q142" s="115" t="e">
        <f>VLOOKUP($A142,'S45'!$C:$BQ,52,0)</f>
        <v>#N/A</v>
      </c>
      <c r="R142" s="115" t="e">
        <f>VLOOKUP($A142,'S45'!$C:$BQ,59,0)</f>
        <v>#N/A</v>
      </c>
      <c r="S142" s="115" t="e">
        <f>VLOOKUP($A142,'S45'!$C:$BQ,60,0)</f>
        <v>#N/A</v>
      </c>
      <c r="T142" s="107" t="e">
        <f>VLOOKUP($A142,'S46'!$C:$BQ,32,0)</f>
        <v>#N/A</v>
      </c>
      <c r="U142" s="107" t="e">
        <f>VLOOKUP($A142,'S46'!$C:$BQ,39,0)</f>
        <v>#N/A</v>
      </c>
      <c r="V142" s="107" t="e">
        <f>VLOOKUP($A142,'S46'!$C:$BQ,40,0)</f>
        <v>#N/A</v>
      </c>
      <c r="W142" s="107" t="e">
        <f>VLOOKUP($A142,'S46'!$C:$BQ,22,0)</f>
        <v>#N/A</v>
      </c>
      <c r="X142" s="115" t="e">
        <f>VLOOKUP($A142,'S46'!$C:$BQ,29,0)</f>
        <v>#N/A</v>
      </c>
      <c r="Y142" s="115" t="e">
        <f>VLOOKUP($A142,'S46'!$C:$BQ,30,0)</f>
        <v>#N/A</v>
      </c>
      <c r="Z142" s="115" t="e">
        <f>VLOOKUP($A142,'S46'!$C:$BQ,52,0)</f>
        <v>#N/A</v>
      </c>
      <c r="AA142" s="115" t="e">
        <f>VLOOKUP($A142,'S46'!$C:$BQ,59,0)</f>
        <v>#N/A</v>
      </c>
      <c r="AB142" s="115" t="e">
        <f>VLOOKUP($A142,'S46'!$C:$BQ,60,0)</f>
        <v>#N/A</v>
      </c>
      <c r="AC142" s="107" t="e">
        <f>VLOOKUP($A142,'S47'!$C:$BQ,32,0)</f>
        <v>#N/A</v>
      </c>
      <c r="AD142" s="107" t="e">
        <f>VLOOKUP($A142,'S47'!$C:$BQ,39,0)</f>
        <v>#N/A</v>
      </c>
      <c r="AE142" s="107" t="e">
        <f>VLOOKUP($A142,'S47'!$C:$BQ,40,0)</f>
        <v>#N/A</v>
      </c>
      <c r="AF142" s="107" t="e">
        <f>VLOOKUP($A142,'S47'!$C:$BQ,22,0)</f>
        <v>#N/A</v>
      </c>
      <c r="AG142" s="115" t="e">
        <f>VLOOKUP($A142,'S47'!$C:$BQ,29,0)</f>
        <v>#N/A</v>
      </c>
      <c r="AH142" s="115" t="e">
        <f>VLOOKUP($A142,'S47'!$C:$BQ,30,0)</f>
        <v>#N/A</v>
      </c>
      <c r="AI142" s="115" t="e">
        <f>VLOOKUP($A142,'S47'!$C:$BQ,52,0)</f>
        <v>#N/A</v>
      </c>
      <c r="AJ142" s="115" t="e">
        <f>VLOOKUP($A142,'S47'!$C:$BQ,59,0)</f>
        <v>#N/A</v>
      </c>
      <c r="AK142" s="115" t="e">
        <f>VLOOKUP($A142,'S47'!$C:$BQ,60,0)</f>
        <v>#N/A</v>
      </c>
      <c r="AL142" s="107" t="e">
        <f>VLOOKUP($A142,'S48'!$C:$BQ,32,0)</f>
        <v>#N/A</v>
      </c>
      <c r="AM142" s="107" t="e">
        <f>VLOOKUP($A142,'S48'!$C:$BQ,39,0)</f>
        <v>#N/A</v>
      </c>
      <c r="AN142" s="107" t="e">
        <f>VLOOKUP($A142,'S48'!$C:$BQ,40,0)</f>
        <v>#N/A</v>
      </c>
      <c r="AO142" s="107" t="e">
        <f>VLOOKUP($A142,'S48'!$C:$BQ,22,0)</f>
        <v>#N/A</v>
      </c>
      <c r="AP142" s="115" t="e">
        <f>VLOOKUP($A142,'S48'!$C:$BQ,29,0)</f>
        <v>#N/A</v>
      </c>
      <c r="AQ142" s="115" t="e">
        <f>VLOOKUP($A142,'S48'!$C:$BQ,30,0)</f>
        <v>#N/A</v>
      </c>
      <c r="AR142" s="115" t="e">
        <f>VLOOKUP($A142,'S48'!$C:$BQ,52,0)</f>
        <v>#N/A</v>
      </c>
      <c r="AS142" s="115" t="e">
        <f>VLOOKUP($A142,'S48'!$C:$BQ,59,0)</f>
        <v>#N/A</v>
      </c>
      <c r="AT142" s="115" t="e">
        <f>VLOOKUP($A142,'S48'!$C:$BQ,60,0)</f>
        <v>#N/A</v>
      </c>
      <c r="AU142" s="107" t="e">
        <f>VLOOKUP($A142,'S49'!$C:$BQ,32,0)</f>
        <v>#N/A</v>
      </c>
      <c r="AV142" s="107" t="e">
        <f>VLOOKUP($A142,'S49'!$C:$BQ,39,0)</f>
        <v>#N/A</v>
      </c>
      <c r="AW142" s="107" t="e">
        <f>VLOOKUP($A142,'S49'!$C:$BQ,40,0)</f>
        <v>#N/A</v>
      </c>
      <c r="AX142" s="107" t="e">
        <f>VLOOKUP($A142,'S49'!$C:$BQ,22,0)</f>
        <v>#N/A</v>
      </c>
      <c r="AY142" s="115" t="e">
        <f>VLOOKUP($A142,'S49'!$C:$BQ,29,0)</f>
        <v>#N/A</v>
      </c>
      <c r="AZ142" s="115" t="e">
        <f>VLOOKUP($A142,'S49'!$C:$BQ,30,0)</f>
        <v>#N/A</v>
      </c>
      <c r="BA142" s="115" t="e">
        <f>VLOOKUP($A142,'S49'!$C:$BQ,52,0)</f>
        <v>#N/A</v>
      </c>
      <c r="BB142" s="115" t="e">
        <f>VLOOKUP($A142,'S49'!$C:$BQ,59,0)</f>
        <v>#N/A</v>
      </c>
      <c r="BC142" s="115" t="e">
        <f>VLOOKUP($A142,'S49'!$C:$BQ,60,0)</f>
        <v>#N/A</v>
      </c>
      <c r="BD142" s="107" t="e">
        <f>VLOOKUP($A142,'S50'!$C:$BQ,32,0)</f>
        <v>#N/A</v>
      </c>
      <c r="BE142" s="107" t="e">
        <f>VLOOKUP($A142,'S50'!$C:$BQ,39,0)</f>
        <v>#N/A</v>
      </c>
      <c r="BF142" s="107" t="e">
        <f>VLOOKUP($A142,'S50'!$C:$BQ,40,0)</f>
        <v>#N/A</v>
      </c>
      <c r="BG142" s="107" t="e">
        <f>VLOOKUP($A142,'S50'!$C:$BQ,22,0)</f>
        <v>#N/A</v>
      </c>
      <c r="BH142" s="115" t="e">
        <f>VLOOKUP($A142,'S50'!$C:$BQ,29,0)</f>
        <v>#N/A</v>
      </c>
      <c r="BI142" s="115" t="e">
        <f>VLOOKUP($A142,'S50'!$C:$BQ,30,0)</f>
        <v>#N/A</v>
      </c>
      <c r="BJ142" s="115" t="e">
        <f>VLOOKUP($A142,'S50'!$C:$BQ,52,0)</f>
        <v>#N/A</v>
      </c>
      <c r="BK142" s="115" t="e">
        <f>VLOOKUP($A142,'S50'!$C:$BQ,59,0)</f>
        <v>#N/A</v>
      </c>
      <c r="BL142" s="115" t="e">
        <f>VLOOKUP($A142,'S50'!$C:$BQ,60,0)</f>
        <v>#N/A</v>
      </c>
    </row>
    <row r="143" spans="1:64" x14ac:dyDescent="0.2">
      <c r="A143" s="106" t="s">
        <v>208</v>
      </c>
      <c r="B143" s="107">
        <f>VLOOKUP($A143,'S0 remplacer avec S44'!$C:$BQ,32,0)</f>
        <v>139.6</v>
      </c>
      <c r="C143" s="107">
        <f>VLOOKUP($A143,'S0 remplacer avec S44'!$C:$BQ,39,0)</f>
        <v>10</v>
      </c>
      <c r="D143" s="107">
        <f>VLOOKUP($A143,'S0 remplacer avec S44'!$C:$BQ,40,0)</f>
        <v>40</v>
      </c>
      <c r="E143" s="107">
        <f>VLOOKUP($A143,'S0 remplacer avec S44'!$C:$BQ,22,0)</f>
        <v>1489.7648300000001</v>
      </c>
      <c r="F143" s="115">
        <f>VLOOKUP($A143,'S0 remplacer avec S44'!$C:$BQ,29,0)</f>
        <v>0</v>
      </c>
      <c r="G143" s="115">
        <f>VLOOKUP($A143,'S0 remplacer avec S44'!$C:$BQ,30,0)</f>
        <v>137</v>
      </c>
      <c r="H143" s="115">
        <f>VLOOKUP($A143,'S0 remplacer avec S44'!$C:$BQ,52,0)</f>
        <v>152</v>
      </c>
      <c r="I143" s="115">
        <f>VLOOKUP($A143,'S0 remplacer avec S44'!$C:$BQ,59,0)</f>
        <v>0</v>
      </c>
      <c r="J143" s="115">
        <f>VLOOKUP($A143,'S0 remplacer avec S44'!$C:$BQ,60,0)</f>
        <v>0</v>
      </c>
      <c r="K143" s="107" t="e">
        <f>VLOOKUP($A143,'S45'!$C:$BQ,32,0)</f>
        <v>#N/A</v>
      </c>
      <c r="L143" s="107" t="e">
        <f>VLOOKUP($A143,'S45'!$C:$BQ,39,0)</f>
        <v>#N/A</v>
      </c>
      <c r="M143" s="107" t="e">
        <f>VLOOKUP($A143,'S45'!$C:$BQ,40,0)</f>
        <v>#N/A</v>
      </c>
      <c r="N143" s="107" t="e">
        <f>VLOOKUP($A143,'S45'!$C:$BQ,22,0)</f>
        <v>#N/A</v>
      </c>
      <c r="O143" s="115" t="e">
        <f>VLOOKUP($A143,'S45'!$C:$BQ,29,0)</f>
        <v>#N/A</v>
      </c>
      <c r="P143" s="115" t="e">
        <f>VLOOKUP($A143,'S45'!$C:$BQ,30,0)</f>
        <v>#N/A</v>
      </c>
      <c r="Q143" s="115" t="e">
        <f>VLOOKUP($A143,'S45'!$C:$BQ,52,0)</f>
        <v>#N/A</v>
      </c>
      <c r="R143" s="115" t="e">
        <f>VLOOKUP($A143,'S45'!$C:$BQ,59,0)</f>
        <v>#N/A</v>
      </c>
      <c r="S143" s="115" t="e">
        <f>VLOOKUP($A143,'S45'!$C:$BQ,60,0)</f>
        <v>#N/A</v>
      </c>
      <c r="T143" s="107" t="e">
        <f>VLOOKUP($A143,'S46'!$C:$BQ,32,0)</f>
        <v>#N/A</v>
      </c>
      <c r="U143" s="107" t="e">
        <f>VLOOKUP($A143,'S46'!$C:$BQ,39,0)</f>
        <v>#N/A</v>
      </c>
      <c r="V143" s="107" t="e">
        <f>VLOOKUP($A143,'S46'!$C:$BQ,40,0)</f>
        <v>#N/A</v>
      </c>
      <c r="W143" s="107" t="e">
        <f>VLOOKUP($A143,'S46'!$C:$BQ,22,0)</f>
        <v>#N/A</v>
      </c>
      <c r="X143" s="115" t="e">
        <f>VLOOKUP($A143,'S46'!$C:$BQ,29,0)</f>
        <v>#N/A</v>
      </c>
      <c r="Y143" s="115" t="e">
        <f>VLOOKUP($A143,'S46'!$C:$BQ,30,0)</f>
        <v>#N/A</v>
      </c>
      <c r="Z143" s="115" t="e">
        <f>VLOOKUP($A143,'S46'!$C:$BQ,52,0)</f>
        <v>#N/A</v>
      </c>
      <c r="AA143" s="115" t="e">
        <f>VLOOKUP($A143,'S46'!$C:$BQ,59,0)</f>
        <v>#N/A</v>
      </c>
      <c r="AB143" s="115" t="e">
        <f>VLOOKUP($A143,'S46'!$C:$BQ,60,0)</f>
        <v>#N/A</v>
      </c>
      <c r="AC143" s="107" t="e">
        <f>VLOOKUP($A143,'S47'!$C:$BQ,32,0)</f>
        <v>#N/A</v>
      </c>
      <c r="AD143" s="107" t="e">
        <f>VLOOKUP($A143,'S47'!$C:$BQ,39,0)</f>
        <v>#N/A</v>
      </c>
      <c r="AE143" s="107" t="e">
        <f>VLOOKUP($A143,'S47'!$C:$BQ,40,0)</f>
        <v>#N/A</v>
      </c>
      <c r="AF143" s="107" t="e">
        <f>VLOOKUP($A143,'S47'!$C:$BQ,22,0)</f>
        <v>#N/A</v>
      </c>
      <c r="AG143" s="115" t="e">
        <f>VLOOKUP($A143,'S47'!$C:$BQ,29,0)</f>
        <v>#N/A</v>
      </c>
      <c r="AH143" s="115" t="e">
        <f>VLOOKUP($A143,'S47'!$C:$BQ,30,0)</f>
        <v>#N/A</v>
      </c>
      <c r="AI143" s="115" t="e">
        <f>VLOOKUP($A143,'S47'!$C:$BQ,52,0)</f>
        <v>#N/A</v>
      </c>
      <c r="AJ143" s="115" t="e">
        <f>VLOOKUP($A143,'S47'!$C:$BQ,59,0)</f>
        <v>#N/A</v>
      </c>
      <c r="AK143" s="115" t="e">
        <f>VLOOKUP($A143,'S47'!$C:$BQ,60,0)</f>
        <v>#N/A</v>
      </c>
      <c r="AL143" s="107" t="e">
        <f>VLOOKUP($A143,'S48'!$C:$BQ,32,0)</f>
        <v>#N/A</v>
      </c>
      <c r="AM143" s="107" t="e">
        <f>VLOOKUP($A143,'S48'!$C:$BQ,39,0)</f>
        <v>#N/A</v>
      </c>
      <c r="AN143" s="107" t="e">
        <f>VLOOKUP($A143,'S48'!$C:$BQ,40,0)</f>
        <v>#N/A</v>
      </c>
      <c r="AO143" s="107" t="e">
        <f>VLOOKUP($A143,'S48'!$C:$BQ,22,0)</f>
        <v>#N/A</v>
      </c>
      <c r="AP143" s="115" t="e">
        <f>VLOOKUP($A143,'S48'!$C:$BQ,29,0)</f>
        <v>#N/A</v>
      </c>
      <c r="AQ143" s="115" t="e">
        <f>VLOOKUP($A143,'S48'!$C:$BQ,30,0)</f>
        <v>#N/A</v>
      </c>
      <c r="AR143" s="115" t="e">
        <f>VLOOKUP($A143,'S48'!$C:$BQ,52,0)</f>
        <v>#N/A</v>
      </c>
      <c r="AS143" s="115" t="e">
        <f>VLOOKUP($A143,'S48'!$C:$BQ,59,0)</f>
        <v>#N/A</v>
      </c>
      <c r="AT143" s="115" t="e">
        <f>VLOOKUP($A143,'S48'!$C:$BQ,60,0)</f>
        <v>#N/A</v>
      </c>
      <c r="AU143" s="107" t="e">
        <f>VLOOKUP($A143,'S49'!$C:$BQ,32,0)</f>
        <v>#N/A</v>
      </c>
      <c r="AV143" s="107" t="e">
        <f>VLOOKUP($A143,'S49'!$C:$BQ,39,0)</f>
        <v>#N/A</v>
      </c>
      <c r="AW143" s="107" t="e">
        <f>VLOOKUP($A143,'S49'!$C:$BQ,40,0)</f>
        <v>#N/A</v>
      </c>
      <c r="AX143" s="107" t="e">
        <f>VLOOKUP($A143,'S49'!$C:$BQ,22,0)</f>
        <v>#N/A</v>
      </c>
      <c r="AY143" s="115" t="e">
        <f>VLOOKUP($A143,'S49'!$C:$BQ,29,0)</f>
        <v>#N/A</v>
      </c>
      <c r="AZ143" s="115" t="e">
        <f>VLOOKUP($A143,'S49'!$C:$BQ,30,0)</f>
        <v>#N/A</v>
      </c>
      <c r="BA143" s="115" t="e">
        <f>VLOOKUP($A143,'S49'!$C:$BQ,52,0)</f>
        <v>#N/A</v>
      </c>
      <c r="BB143" s="115" t="e">
        <f>VLOOKUP($A143,'S49'!$C:$BQ,59,0)</f>
        <v>#N/A</v>
      </c>
      <c r="BC143" s="115" t="e">
        <f>VLOOKUP($A143,'S49'!$C:$BQ,60,0)</f>
        <v>#N/A</v>
      </c>
      <c r="BD143" s="107" t="e">
        <f>VLOOKUP($A143,'S50'!$C:$BQ,32,0)</f>
        <v>#N/A</v>
      </c>
      <c r="BE143" s="107" t="e">
        <f>VLOOKUP($A143,'S50'!$C:$BQ,39,0)</f>
        <v>#N/A</v>
      </c>
      <c r="BF143" s="107" t="e">
        <f>VLOOKUP($A143,'S50'!$C:$BQ,40,0)</f>
        <v>#N/A</v>
      </c>
      <c r="BG143" s="107" t="e">
        <f>VLOOKUP($A143,'S50'!$C:$BQ,22,0)</f>
        <v>#N/A</v>
      </c>
      <c r="BH143" s="115" t="e">
        <f>VLOOKUP($A143,'S50'!$C:$BQ,29,0)</f>
        <v>#N/A</v>
      </c>
      <c r="BI143" s="115" t="e">
        <f>VLOOKUP($A143,'S50'!$C:$BQ,30,0)</f>
        <v>#N/A</v>
      </c>
      <c r="BJ143" s="115" t="e">
        <f>VLOOKUP($A143,'S50'!$C:$BQ,52,0)</f>
        <v>#N/A</v>
      </c>
      <c r="BK143" s="115" t="e">
        <f>VLOOKUP($A143,'S50'!$C:$BQ,59,0)</f>
        <v>#N/A</v>
      </c>
      <c r="BL143" s="115" t="e">
        <f>VLOOKUP($A143,'S50'!$C:$BQ,60,0)</f>
        <v>#N/A</v>
      </c>
    </row>
    <row r="144" spans="1:64" x14ac:dyDescent="0.2">
      <c r="A144" s="106" t="s">
        <v>209</v>
      </c>
      <c r="B144" s="107">
        <f>VLOOKUP($A144,'S0 remplacer avec S44'!$C:$BQ,32,0)</f>
        <v>118</v>
      </c>
      <c r="C144" s="107">
        <f>VLOOKUP($A144,'S0 remplacer avec S44'!$C:$BQ,39,0)</f>
        <v>2</v>
      </c>
      <c r="D144" s="107">
        <f>VLOOKUP($A144,'S0 remplacer avec S44'!$C:$BQ,40,0)</f>
        <v>25</v>
      </c>
      <c r="E144" s="107">
        <f>VLOOKUP($A144,'S0 remplacer avec S44'!$C:$BQ,22,0)</f>
        <v>1170.9112</v>
      </c>
      <c r="F144" s="115">
        <f>VLOOKUP($A144,'S0 remplacer avec S44'!$C:$BQ,29,0)</f>
        <v>0</v>
      </c>
      <c r="G144" s="115">
        <f>VLOOKUP($A144,'S0 remplacer avec S44'!$C:$BQ,30,0)</f>
        <v>129</v>
      </c>
      <c r="H144" s="115">
        <f>VLOOKUP($A144,'S0 remplacer avec S44'!$C:$BQ,52,0)</f>
        <v>82.6</v>
      </c>
      <c r="I144" s="115">
        <f>VLOOKUP($A144,'S0 remplacer avec S44'!$C:$BQ,59,0)</f>
        <v>0</v>
      </c>
      <c r="J144" s="115">
        <f>VLOOKUP($A144,'S0 remplacer avec S44'!$C:$BQ,60,0)</f>
        <v>0</v>
      </c>
      <c r="K144" s="107" t="e">
        <f>VLOOKUP($A144,'S45'!$C:$BQ,32,0)</f>
        <v>#N/A</v>
      </c>
      <c r="L144" s="107" t="e">
        <f>VLOOKUP($A144,'S45'!$C:$BQ,39,0)</f>
        <v>#N/A</v>
      </c>
      <c r="M144" s="107" t="e">
        <f>VLOOKUP($A144,'S45'!$C:$BQ,40,0)</f>
        <v>#N/A</v>
      </c>
      <c r="N144" s="107" t="e">
        <f>VLOOKUP($A144,'S45'!$C:$BQ,22,0)</f>
        <v>#N/A</v>
      </c>
      <c r="O144" s="115" t="e">
        <f>VLOOKUP($A144,'S45'!$C:$BQ,29,0)</f>
        <v>#N/A</v>
      </c>
      <c r="P144" s="115" t="e">
        <f>VLOOKUP($A144,'S45'!$C:$BQ,30,0)</f>
        <v>#N/A</v>
      </c>
      <c r="Q144" s="115" t="e">
        <f>VLOOKUP($A144,'S45'!$C:$BQ,52,0)</f>
        <v>#N/A</v>
      </c>
      <c r="R144" s="115" t="e">
        <f>VLOOKUP($A144,'S45'!$C:$BQ,59,0)</f>
        <v>#N/A</v>
      </c>
      <c r="S144" s="115" t="e">
        <f>VLOOKUP($A144,'S45'!$C:$BQ,60,0)</f>
        <v>#N/A</v>
      </c>
      <c r="T144" s="107" t="e">
        <f>VLOOKUP($A144,'S46'!$C:$BQ,32,0)</f>
        <v>#N/A</v>
      </c>
      <c r="U144" s="107" t="e">
        <f>VLOOKUP($A144,'S46'!$C:$BQ,39,0)</f>
        <v>#N/A</v>
      </c>
      <c r="V144" s="107" t="e">
        <f>VLOOKUP($A144,'S46'!$C:$BQ,40,0)</f>
        <v>#N/A</v>
      </c>
      <c r="W144" s="107" t="e">
        <f>VLOOKUP($A144,'S46'!$C:$BQ,22,0)</f>
        <v>#N/A</v>
      </c>
      <c r="X144" s="115" t="e">
        <f>VLOOKUP($A144,'S46'!$C:$BQ,29,0)</f>
        <v>#N/A</v>
      </c>
      <c r="Y144" s="115" t="e">
        <f>VLOOKUP($A144,'S46'!$C:$BQ,30,0)</f>
        <v>#N/A</v>
      </c>
      <c r="Z144" s="115" t="e">
        <f>VLOOKUP($A144,'S46'!$C:$BQ,52,0)</f>
        <v>#N/A</v>
      </c>
      <c r="AA144" s="115" t="e">
        <f>VLOOKUP($A144,'S46'!$C:$BQ,59,0)</f>
        <v>#N/A</v>
      </c>
      <c r="AB144" s="115" t="e">
        <f>VLOOKUP($A144,'S46'!$C:$BQ,60,0)</f>
        <v>#N/A</v>
      </c>
      <c r="AC144" s="107" t="e">
        <f>VLOOKUP($A144,'S47'!$C:$BQ,32,0)</f>
        <v>#N/A</v>
      </c>
      <c r="AD144" s="107" t="e">
        <f>VLOOKUP($A144,'S47'!$C:$BQ,39,0)</f>
        <v>#N/A</v>
      </c>
      <c r="AE144" s="107" t="e">
        <f>VLOOKUP($A144,'S47'!$C:$BQ,40,0)</f>
        <v>#N/A</v>
      </c>
      <c r="AF144" s="107" t="e">
        <f>VLOOKUP($A144,'S47'!$C:$BQ,22,0)</f>
        <v>#N/A</v>
      </c>
      <c r="AG144" s="115" t="e">
        <f>VLOOKUP($A144,'S47'!$C:$BQ,29,0)</f>
        <v>#N/A</v>
      </c>
      <c r="AH144" s="115" t="e">
        <f>VLOOKUP($A144,'S47'!$C:$BQ,30,0)</f>
        <v>#N/A</v>
      </c>
      <c r="AI144" s="115" t="e">
        <f>VLOOKUP($A144,'S47'!$C:$BQ,52,0)</f>
        <v>#N/A</v>
      </c>
      <c r="AJ144" s="115" t="e">
        <f>VLOOKUP($A144,'S47'!$C:$BQ,59,0)</f>
        <v>#N/A</v>
      </c>
      <c r="AK144" s="115" t="e">
        <f>VLOOKUP($A144,'S47'!$C:$BQ,60,0)</f>
        <v>#N/A</v>
      </c>
      <c r="AL144" s="107" t="e">
        <f>VLOOKUP($A144,'S48'!$C:$BQ,32,0)</f>
        <v>#N/A</v>
      </c>
      <c r="AM144" s="107" t="e">
        <f>VLOOKUP($A144,'S48'!$C:$BQ,39,0)</f>
        <v>#N/A</v>
      </c>
      <c r="AN144" s="107" t="e">
        <f>VLOOKUP($A144,'S48'!$C:$BQ,40,0)</f>
        <v>#N/A</v>
      </c>
      <c r="AO144" s="107" t="e">
        <f>VLOOKUP($A144,'S48'!$C:$BQ,22,0)</f>
        <v>#N/A</v>
      </c>
      <c r="AP144" s="115" t="e">
        <f>VLOOKUP($A144,'S48'!$C:$BQ,29,0)</f>
        <v>#N/A</v>
      </c>
      <c r="AQ144" s="115" t="e">
        <f>VLOOKUP($A144,'S48'!$C:$BQ,30,0)</f>
        <v>#N/A</v>
      </c>
      <c r="AR144" s="115" t="e">
        <f>VLOOKUP($A144,'S48'!$C:$BQ,52,0)</f>
        <v>#N/A</v>
      </c>
      <c r="AS144" s="115" t="e">
        <f>VLOOKUP($A144,'S48'!$C:$BQ,59,0)</f>
        <v>#N/A</v>
      </c>
      <c r="AT144" s="115" t="e">
        <f>VLOOKUP($A144,'S48'!$C:$BQ,60,0)</f>
        <v>#N/A</v>
      </c>
      <c r="AU144" s="107" t="e">
        <f>VLOOKUP($A144,'S49'!$C:$BQ,32,0)</f>
        <v>#N/A</v>
      </c>
      <c r="AV144" s="107" t="e">
        <f>VLOOKUP($A144,'S49'!$C:$BQ,39,0)</f>
        <v>#N/A</v>
      </c>
      <c r="AW144" s="107" t="e">
        <f>VLOOKUP($A144,'S49'!$C:$BQ,40,0)</f>
        <v>#N/A</v>
      </c>
      <c r="AX144" s="107" t="e">
        <f>VLOOKUP($A144,'S49'!$C:$BQ,22,0)</f>
        <v>#N/A</v>
      </c>
      <c r="AY144" s="115" t="e">
        <f>VLOOKUP($A144,'S49'!$C:$BQ,29,0)</f>
        <v>#N/A</v>
      </c>
      <c r="AZ144" s="115" t="e">
        <f>VLOOKUP($A144,'S49'!$C:$BQ,30,0)</f>
        <v>#N/A</v>
      </c>
      <c r="BA144" s="115" t="e">
        <f>VLOOKUP($A144,'S49'!$C:$BQ,52,0)</f>
        <v>#N/A</v>
      </c>
      <c r="BB144" s="115" t="e">
        <f>VLOOKUP($A144,'S49'!$C:$BQ,59,0)</f>
        <v>#N/A</v>
      </c>
      <c r="BC144" s="115" t="e">
        <f>VLOOKUP($A144,'S49'!$C:$BQ,60,0)</f>
        <v>#N/A</v>
      </c>
      <c r="BD144" s="107" t="e">
        <f>VLOOKUP($A144,'S50'!$C:$BQ,32,0)</f>
        <v>#N/A</v>
      </c>
      <c r="BE144" s="107" t="e">
        <f>VLOOKUP($A144,'S50'!$C:$BQ,39,0)</f>
        <v>#N/A</v>
      </c>
      <c r="BF144" s="107" t="e">
        <f>VLOOKUP($A144,'S50'!$C:$BQ,40,0)</f>
        <v>#N/A</v>
      </c>
      <c r="BG144" s="107" t="e">
        <f>VLOOKUP($A144,'S50'!$C:$BQ,22,0)</f>
        <v>#N/A</v>
      </c>
      <c r="BH144" s="115" t="e">
        <f>VLOOKUP($A144,'S50'!$C:$BQ,29,0)</f>
        <v>#N/A</v>
      </c>
      <c r="BI144" s="115" t="e">
        <f>VLOOKUP($A144,'S50'!$C:$BQ,30,0)</f>
        <v>#N/A</v>
      </c>
      <c r="BJ144" s="115" t="e">
        <f>VLOOKUP($A144,'S50'!$C:$BQ,52,0)</f>
        <v>#N/A</v>
      </c>
      <c r="BK144" s="115" t="e">
        <f>VLOOKUP($A144,'S50'!$C:$BQ,59,0)</f>
        <v>#N/A</v>
      </c>
      <c r="BL144" s="115" t="e">
        <f>VLOOKUP($A144,'S50'!$C:$BQ,60,0)</f>
        <v>#N/A</v>
      </c>
    </row>
    <row r="145" spans="1:64" x14ac:dyDescent="0.2">
      <c r="A145" s="106" t="s">
        <v>210</v>
      </c>
      <c r="B145" s="107">
        <f>VLOOKUP($A145,'S0 remplacer avec S44'!$C:$BQ,32,0)</f>
        <v>455.95</v>
      </c>
      <c r="C145" s="107">
        <f>VLOOKUP($A145,'S0 remplacer avec S44'!$C:$BQ,39,0)</f>
        <v>50</v>
      </c>
      <c r="D145" s="107">
        <f>VLOOKUP($A145,'S0 remplacer avec S44'!$C:$BQ,40,0)</f>
        <v>151</v>
      </c>
      <c r="E145" s="107">
        <f>VLOOKUP($A145,'S0 remplacer avec S44'!$C:$BQ,22,0)</f>
        <v>4255.6180649999997</v>
      </c>
      <c r="F145" s="115">
        <f>VLOOKUP($A145,'S0 remplacer avec S44'!$C:$BQ,29,0)</f>
        <v>342</v>
      </c>
      <c r="G145" s="115">
        <f>VLOOKUP($A145,'S0 remplacer avec S44'!$C:$BQ,30,0)</f>
        <v>1261</v>
      </c>
      <c r="H145" s="115">
        <f>VLOOKUP($A145,'S0 remplacer avec S44'!$C:$BQ,52,0)</f>
        <v>341.6</v>
      </c>
      <c r="I145" s="115">
        <f>VLOOKUP($A145,'S0 remplacer avec S44'!$C:$BQ,59,0)</f>
        <v>0</v>
      </c>
      <c r="J145" s="115">
        <f>VLOOKUP($A145,'S0 remplacer avec S44'!$C:$BQ,60,0)</f>
        <v>0</v>
      </c>
      <c r="K145" s="107" t="e">
        <f>VLOOKUP($A145,'S45'!$C:$BQ,32,0)</f>
        <v>#N/A</v>
      </c>
      <c r="L145" s="107" t="e">
        <f>VLOOKUP($A145,'S45'!$C:$BQ,39,0)</f>
        <v>#N/A</v>
      </c>
      <c r="M145" s="107" t="e">
        <f>VLOOKUP($A145,'S45'!$C:$BQ,40,0)</f>
        <v>#N/A</v>
      </c>
      <c r="N145" s="107" t="e">
        <f>VLOOKUP($A145,'S45'!$C:$BQ,22,0)</f>
        <v>#N/A</v>
      </c>
      <c r="O145" s="115" t="e">
        <f>VLOOKUP($A145,'S45'!$C:$BQ,29,0)</f>
        <v>#N/A</v>
      </c>
      <c r="P145" s="115" t="e">
        <f>VLOOKUP($A145,'S45'!$C:$BQ,30,0)</f>
        <v>#N/A</v>
      </c>
      <c r="Q145" s="115" t="e">
        <f>VLOOKUP($A145,'S45'!$C:$BQ,52,0)</f>
        <v>#N/A</v>
      </c>
      <c r="R145" s="115" t="e">
        <f>VLOOKUP($A145,'S45'!$C:$BQ,59,0)</f>
        <v>#N/A</v>
      </c>
      <c r="S145" s="115" t="e">
        <f>VLOOKUP($A145,'S45'!$C:$BQ,60,0)</f>
        <v>#N/A</v>
      </c>
      <c r="T145" s="107" t="e">
        <f>VLOOKUP($A145,'S46'!$C:$BQ,32,0)</f>
        <v>#N/A</v>
      </c>
      <c r="U145" s="107" t="e">
        <f>VLOOKUP($A145,'S46'!$C:$BQ,39,0)</f>
        <v>#N/A</v>
      </c>
      <c r="V145" s="107" t="e">
        <f>VLOOKUP($A145,'S46'!$C:$BQ,40,0)</f>
        <v>#N/A</v>
      </c>
      <c r="W145" s="107" t="e">
        <f>VLOOKUP($A145,'S46'!$C:$BQ,22,0)</f>
        <v>#N/A</v>
      </c>
      <c r="X145" s="115" t="e">
        <f>VLOOKUP($A145,'S46'!$C:$BQ,29,0)</f>
        <v>#N/A</v>
      </c>
      <c r="Y145" s="115" t="e">
        <f>VLOOKUP($A145,'S46'!$C:$BQ,30,0)</f>
        <v>#N/A</v>
      </c>
      <c r="Z145" s="115" t="e">
        <f>VLOOKUP($A145,'S46'!$C:$BQ,52,0)</f>
        <v>#N/A</v>
      </c>
      <c r="AA145" s="115" t="e">
        <f>VLOOKUP($A145,'S46'!$C:$BQ,59,0)</f>
        <v>#N/A</v>
      </c>
      <c r="AB145" s="115" t="e">
        <f>VLOOKUP($A145,'S46'!$C:$BQ,60,0)</f>
        <v>#N/A</v>
      </c>
      <c r="AC145" s="107" t="e">
        <f>VLOOKUP($A145,'S47'!$C:$BQ,32,0)</f>
        <v>#N/A</v>
      </c>
      <c r="AD145" s="107" t="e">
        <f>VLOOKUP($A145,'S47'!$C:$BQ,39,0)</f>
        <v>#N/A</v>
      </c>
      <c r="AE145" s="107" t="e">
        <f>VLOOKUP($A145,'S47'!$C:$BQ,40,0)</f>
        <v>#N/A</v>
      </c>
      <c r="AF145" s="107" t="e">
        <f>VLOOKUP($A145,'S47'!$C:$BQ,22,0)</f>
        <v>#N/A</v>
      </c>
      <c r="AG145" s="115" t="e">
        <f>VLOOKUP($A145,'S47'!$C:$BQ,29,0)</f>
        <v>#N/A</v>
      </c>
      <c r="AH145" s="115" t="e">
        <f>VLOOKUP($A145,'S47'!$C:$BQ,30,0)</f>
        <v>#N/A</v>
      </c>
      <c r="AI145" s="115" t="e">
        <f>VLOOKUP($A145,'S47'!$C:$BQ,52,0)</f>
        <v>#N/A</v>
      </c>
      <c r="AJ145" s="115" t="e">
        <f>VLOOKUP($A145,'S47'!$C:$BQ,59,0)</f>
        <v>#N/A</v>
      </c>
      <c r="AK145" s="115" t="e">
        <f>VLOOKUP($A145,'S47'!$C:$BQ,60,0)</f>
        <v>#N/A</v>
      </c>
      <c r="AL145" s="107" t="e">
        <f>VLOOKUP($A145,'S48'!$C:$BQ,32,0)</f>
        <v>#N/A</v>
      </c>
      <c r="AM145" s="107" t="e">
        <f>VLOOKUP($A145,'S48'!$C:$BQ,39,0)</f>
        <v>#N/A</v>
      </c>
      <c r="AN145" s="107" t="e">
        <f>VLOOKUP($A145,'S48'!$C:$BQ,40,0)</f>
        <v>#N/A</v>
      </c>
      <c r="AO145" s="107" t="e">
        <f>VLOOKUP($A145,'S48'!$C:$BQ,22,0)</f>
        <v>#N/A</v>
      </c>
      <c r="AP145" s="115" t="e">
        <f>VLOOKUP($A145,'S48'!$C:$BQ,29,0)</f>
        <v>#N/A</v>
      </c>
      <c r="AQ145" s="115" t="e">
        <f>VLOOKUP($A145,'S48'!$C:$BQ,30,0)</f>
        <v>#N/A</v>
      </c>
      <c r="AR145" s="115" t="e">
        <f>VLOOKUP($A145,'S48'!$C:$BQ,52,0)</f>
        <v>#N/A</v>
      </c>
      <c r="AS145" s="115" t="e">
        <f>VLOOKUP($A145,'S48'!$C:$BQ,59,0)</f>
        <v>#N/A</v>
      </c>
      <c r="AT145" s="115" t="e">
        <f>VLOOKUP($A145,'S48'!$C:$BQ,60,0)</f>
        <v>#N/A</v>
      </c>
      <c r="AU145" s="107" t="e">
        <f>VLOOKUP($A145,'S49'!$C:$BQ,32,0)</f>
        <v>#N/A</v>
      </c>
      <c r="AV145" s="107" t="e">
        <f>VLOOKUP($A145,'S49'!$C:$BQ,39,0)</f>
        <v>#N/A</v>
      </c>
      <c r="AW145" s="107" t="e">
        <f>VLOOKUP($A145,'S49'!$C:$BQ,40,0)</f>
        <v>#N/A</v>
      </c>
      <c r="AX145" s="107" t="e">
        <f>VLOOKUP($A145,'S49'!$C:$BQ,22,0)</f>
        <v>#N/A</v>
      </c>
      <c r="AY145" s="115" t="e">
        <f>VLOOKUP($A145,'S49'!$C:$BQ,29,0)</f>
        <v>#N/A</v>
      </c>
      <c r="AZ145" s="115" t="e">
        <f>VLOOKUP($A145,'S49'!$C:$BQ,30,0)</f>
        <v>#N/A</v>
      </c>
      <c r="BA145" s="115" t="e">
        <f>VLOOKUP($A145,'S49'!$C:$BQ,52,0)</f>
        <v>#N/A</v>
      </c>
      <c r="BB145" s="115" t="e">
        <f>VLOOKUP($A145,'S49'!$C:$BQ,59,0)</f>
        <v>#N/A</v>
      </c>
      <c r="BC145" s="115" t="e">
        <f>VLOOKUP($A145,'S49'!$C:$BQ,60,0)</f>
        <v>#N/A</v>
      </c>
      <c r="BD145" s="107" t="e">
        <f>VLOOKUP($A145,'S50'!$C:$BQ,32,0)</f>
        <v>#N/A</v>
      </c>
      <c r="BE145" s="107" t="e">
        <f>VLOOKUP($A145,'S50'!$C:$BQ,39,0)</f>
        <v>#N/A</v>
      </c>
      <c r="BF145" s="107" t="e">
        <f>VLOOKUP($A145,'S50'!$C:$BQ,40,0)</f>
        <v>#N/A</v>
      </c>
      <c r="BG145" s="107" t="e">
        <f>VLOOKUP($A145,'S50'!$C:$BQ,22,0)</f>
        <v>#N/A</v>
      </c>
      <c r="BH145" s="115" t="e">
        <f>VLOOKUP($A145,'S50'!$C:$BQ,29,0)</f>
        <v>#N/A</v>
      </c>
      <c r="BI145" s="115" t="e">
        <f>VLOOKUP($A145,'S50'!$C:$BQ,30,0)</f>
        <v>#N/A</v>
      </c>
      <c r="BJ145" s="115" t="e">
        <f>VLOOKUP($A145,'S50'!$C:$BQ,52,0)</f>
        <v>#N/A</v>
      </c>
      <c r="BK145" s="115" t="e">
        <f>VLOOKUP($A145,'S50'!$C:$BQ,59,0)</f>
        <v>#N/A</v>
      </c>
      <c r="BL145" s="115" t="e">
        <f>VLOOKUP($A145,'S50'!$C:$BQ,60,0)</f>
        <v>#N/A</v>
      </c>
    </row>
    <row r="146" spans="1:64" x14ac:dyDescent="0.2">
      <c r="A146" s="106" t="s">
        <v>211</v>
      </c>
      <c r="B146" s="107">
        <f>VLOOKUP($A146,'S0 remplacer avec S44'!$C:$BQ,32,0)</f>
        <v>240.4</v>
      </c>
      <c r="C146" s="107">
        <f>VLOOKUP($A146,'S0 remplacer avec S44'!$C:$BQ,39,0)</f>
        <v>0</v>
      </c>
      <c r="D146" s="107">
        <f>VLOOKUP($A146,'S0 remplacer avec S44'!$C:$BQ,40,0)</f>
        <v>40</v>
      </c>
      <c r="E146" s="107">
        <f>VLOOKUP($A146,'S0 remplacer avec S44'!$C:$BQ,22,0)</f>
        <v>2421.9140349999998</v>
      </c>
      <c r="F146" s="115">
        <f>VLOOKUP($A146,'S0 remplacer avec S44'!$C:$BQ,29,0)</f>
        <v>0</v>
      </c>
      <c r="G146" s="115">
        <f>VLOOKUP($A146,'S0 remplacer avec S44'!$C:$BQ,30,0)</f>
        <v>120</v>
      </c>
      <c r="H146" s="115">
        <f>VLOOKUP($A146,'S0 remplacer avec S44'!$C:$BQ,52,0)</f>
        <v>202</v>
      </c>
      <c r="I146" s="115">
        <f>VLOOKUP($A146,'S0 remplacer avec S44'!$C:$BQ,59,0)</f>
        <v>0</v>
      </c>
      <c r="J146" s="115">
        <f>VLOOKUP($A146,'S0 remplacer avec S44'!$C:$BQ,60,0)</f>
        <v>0</v>
      </c>
      <c r="K146" s="107" t="e">
        <f>VLOOKUP($A146,'S45'!$C:$BQ,32,0)</f>
        <v>#N/A</v>
      </c>
      <c r="L146" s="107" t="e">
        <f>VLOOKUP($A146,'S45'!$C:$BQ,39,0)</f>
        <v>#N/A</v>
      </c>
      <c r="M146" s="107" t="e">
        <f>VLOOKUP($A146,'S45'!$C:$BQ,40,0)</f>
        <v>#N/A</v>
      </c>
      <c r="N146" s="107" t="e">
        <f>VLOOKUP($A146,'S45'!$C:$BQ,22,0)</f>
        <v>#N/A</v>
      </c>
      <c r="O146" s="115" t="e">
        <f>VLOOKUP($A146,'S45'!$C:$BQ,29,0)</f>
        <v>#N/A</v>
      </c>
      <c r="P146" s="115" t="e">
        <f>VLOOKUP($A146,'S45'!$C:$BQ,30,0)</f>
        <v>#N/A</v>
      </c>
      <c r="Q146" s="115" t="e">
        <f>VLOOKUP($A146,'S45'!$C:$BQ,52,0)</f>
        <v>#N/A</v>
      </c>
      <c r="R146" s="115" t="e">
        <f>VLOOKUP($A146,'S45'!$C:$BQ,59,0)</f>
        <v>#N/A</v>
      </c>
      <c r="S146" s="115" t="e">
        <f>VLOOKUP($A146,'S45'!$C:$BQ,60,0)</f>
        <v>#N/A</v>
      </c>
      <c r="T146" s="107" t="e">
        <f>VLOOKUP($A146,'S46'!$C:$BQ,32,0)</f>
        <v>#N/A</v>
      </c>
      <c r="U146" s="107" t="e">
        <f>VLOOKUP($A146,'S46'!$C:$BQ,39,0)</f>
        <v>#N/A</v>
      </c>
      <c r="V146" s="107" t="e">
        <f>VLOOKUP($A146,'S46'!$C:$BQ,40,0)</f>
        <v>#N/A</v>
      </c>
      <c r="W146" s="107" t="e">
        <f>VLOOKUP($A146,'S46'!$C:$BQ,22,0)</f>
        <v>#N/A</v>
      </c>
      <c r="X146" s="115" t="e">
        <f>VLOOKUP($A146,'S46'!$C:$BQ,29,0)</f>
        <v>#N/A</v>
      </c>
      <c r="Y146" s="115" t="e">
        <f>VLOOKUP($A146,'S46'!$C:$BQ,30,0)</f>
        <v>#N/A</v>
      </c>
      <c r="Z146" s="115" t="e">
        <f>VLOOKUP($A146,'S46'!$C:$BQ,52,0)</f>
        <v>#N/A</v>
      </c>
      <c r="AA146" s="115" t="e">
        <f>VLOOKUP($A146,'S46'!$C:$BQ,59,0)</f>
        <v>#N/A</v>
      </c>
      <c r="AB146" s="115" t="e">
        <f>VLOOKUP($A146,'S46'!$C:$BQ,60,0)</f>
        <v>#N/A</v>
      </c>
      <c r="AC146" s="107" t="e">
        <f>VLOOKUP($A146,'S47'!$C:$BQ,32,0)</f>
        <v>#N/A</v>
      </c>
      <c r="AD146" s="107" t="e">
        <f>VLOOKUP($A146,'S47'!$C:$BQ,39,0)</f>
        <v>#N/A</v>
      </c>
      <c r="AE146" s="107" t="e">
        <f>VLOOKUP($A146,'S47'!$C:$BQ,40,0)</f>
        <v>#N/A</v>
      </c>
      <c r="AF146" s="107" t="e">
        <f>VLOOKUP($A146,'S47'!$C:$BQ,22,0)</f>
        <v>#N/A</v>
      </c>
      <c r="AG146" s="115" t="e">
        <f>VLOOKUP($A146,'S47'!$C:$BQ,29,0)</f>
        <v>#N/A</v>
      </c>
      <c r="AH146" s="115" t="e">
        <f>VLOOKUP($A146,'S47'!$C:$BQ,30,0)</f>
        <v>#N/A</v>
      </c>
      <c r="AI146" s="115" t="e">
        <f>VLOOKUP($A146,'S47'!$C:$BQ,52,0)</f>
        <v>#N/A</v>
      </c>
      <c r="AJ146" s="115" t="e">
        <f>VLOOKUP($A146,'S47'!$C:$BQ,59,0)</f>
        <v>#N/A</v>
      </c>
      <c r="AK146" s="115" t="e">
        <f>VLOOKUP($A146,'S47'!$C:$BQ,60,0)</f>
        <v>#N/A</v>
      </c>
      <c r="AL146" s="107" t="e">
        <f>VLOOKUP($A146,'S48'!$C:$BQ,32,0)</f>
        <v>#N/A</v>
      </c>
      <c r="AM146" s="107" t="e">
        <f>VLOOKUP($A146,'S48'!$C:$BQ,39,0)</f>
        <v>#N/A</v>
      </c>
      <c r="AN146" s="107" t="e">
        <f>VLOOKUP($A146,'S48'!$C:$BQ,40,0)</f>
        <v>#N/A</v>
      </c>
      <c r="AO146" s="107" t="e">
        <f>VLOOKUP($A146,'S48'!$C:$BQ,22,0)</f>
        <v>#N/A</v>
      </c>
      <c r="AP146" s="115" t="e">
        <f>VLOOKUP($A146,'S48'!$C:$BQ,29,0)</f>
        <v>#N/A</v>
      </c>
      <c r="AQ146" s="115" t="e">
        <f>VLOOKUP($A146,'S48'!$C:$BQ,30,0)</f>
        <v>#N/A</v>
      </c>
      <c r="AR146" s="115" t="e">
        <f>VLOOKUP($A146,'S48'!$C:$BQ,52,0)</f>
        <v>#N/A</v>
      </c>
      <c r="AS146" s="115" t="e">
        <f>VLOOKUP($A146,'S48'!$C:$BQ,59,0)</f>
        <v>#N/A</v>
      </c>
      <c r="AT146" s="115" t="e">
        <f>VLOOKUP($A146,'S48'!$C:$BQ,60,0)</f>
        <v>#N/A</v>
      </c>
      <c r="AU146" s="107" t="e">
        <f>VLOOKUP($A146,'S49'!$C:$BQ,32,0)</f>
        <v>#N/A</v>
      </c>
      <c r="AV146" s="107" t="e">
        <f>VLOOKUP($A146,'S49'!$C:$BQ,39,0)</f>
        <v>#N/A</v>
      </c>
      <c r="AW146" s="107" t="e">
        <f>VLOOKUP($A146,'S49'!$C:$BQ,40,0)</f>
        <v>#N/A</v>
      </c>
      <c r="AX146" s="107" t="e">
        <f>VLOOKUP($A146,'S49'!$C:$BQ,22,0)</f>
        <v>#N/A</v>
      </c>
      <c r="AY146" s="115" t="e">
        <f>VLOOKUP($A146,'S49'!$C:$BQ,29,0)</f>
        <v>#N/A</v>
      </c>
      <c r="AZ146" s="115" t="e">
        <f>VLOOKUP($A146,'S49'!$C:$BQ,30,0)</f>
        <v>#N/A</v>
      </c>
      <c r="BA146" s="115" t="e">
        <f>VLOOKUP($A146,'S49'!$C:$BQ,52,0)</f>
        <v>#N/A</v>
      </c>
      <c r="BB146" s="115" t="e">
        <f>VLOOKUP($A146,'S49'!$C:$BQ,59,0)</f>
        <v>#N/A</v>
      </c>
      <c r="BC146" s="115" t="e">
        <f>VLOOKUP($A146,'S49'!$C:$BQ,60,0)</f>
        <v>#N/A</v>
      </c>
      <c r="BD146" s="107" t="e">
        <f>VLOOKUP($A146,'S50'!$C:$BQ,32,0)</f>
        <v>#N/A</v>
      </c>
      <c r="BE146" s="107" t="e">
        <f>VLOOKUP($A146,'S50'!$C:$BQ,39,0)</f>
        <v>#N/A</v>
      </c>
      <c r="BF146" s="107" t="e">
        <f>VLOOKUP($A146,'S50'!$C:$BQ,40,0)</f>
        <v>#N/A</v>
      </c>
      <c r="BG146" s="107" t="e">
        <f>VLOOKUP($A146,'S50'!$C:$BQ,22,0)</f>
        <v>#N/A</v>
      </c>
      <c r="BH146" s="115" t="e">
        <f>VLOOKUP($A146,'S50'!$C:$BQ,29,0)</f>
        <v>#N/A</v>
      </c>
      <c r="BI146" s="115" t="e">
        <f>VLOOKUP($A146,'S50'!$C:$BQ,30,0)</f>
        <v>#N/A</v>
      </c>
      <c r="BJ146" s="115" t="e">
        <f>VLOOKUP($A146,'S50'!$C:$BQ,52,0)</f>
        <v>#N/A</v>
      </c>
      <c r="BK146" s="115" t="e">
        <f>VLOOKUP($A146,'S50'!$C:$BQ,59,0)</f>
        <v>#N/A</v>
      </c>
      <c r="BL146" s="115" t="e">
        <f>VLOOKUP($A146,'S50'!$C:$BQ,60,0)</f>
        <v>#N/A</v>
      </c>
    </row>
    <row r="147" spans="1:64" x14ac:dyDescent="0.2">
      <c r="A147" s="106" t="s">
        <v>212</v>
      </c>
      <c r="B147" s="107">
        <f>VLOOKUP($A147,'S0 remplacer avec S44'!$C:$BQ,32,0)</f>
        <v>173.55</v>
      </c>
      <c r="C147" s="107">
        <f>VLOOKUP($A147,'S0 remplacer avec S44'!$C:$BQ,39,0)</f>
        <v>4</v>
      </c>
      <c r="D147" s="107">
        <f>VLOOKUP($A147,'S0 remplacer avec S44'!$C:$BQ,40,0)</f>
        <v>39</v>
      </c>
      <c r="E147" s="107">
        <f>VLOOKUP($A147,'S0 remplacer avec S44'!$C:$BQ,22,0)</f>
        <v>1702.6897799999999</v>
      </c>
      <c r="F147" s="115">
        <f>VLOOKUP($A147,'S0 remplacer avec S44'!$C:$BQ,29,0)</f>
        <v>0</v>
      </c>
      <c r="G147" s="115">
        <f>VLOOKUP($A147,'S0 remplacer avec S44'!$C:$BQ,30,0)</f>
        <v>227</v>
      </c>
      <c r="H147" s="115">
        <f>VLOOKUP($A147,'S0 remplacer avec S44'!$C:$BQ,52,0)</f>
        <v>158.4</v>
      </c>
      <c r="I147" s="115">
        <f>VLOOKUP($A147,'S0 remplacer avec S44'!$C:$BQ,59,0)</f>
        <v>0</v>
      </c>
      <c r="J147" s="115">
        <f>VLOOKUP($A147,'S0 remplacer avec S44'!$C:$BQ,60,0)</f>
        <v>0</v>
      </c>
      <c r="K147" s="107" t="e">
        <f>VLOOKUP($A147,'S45'!$C:$BQ,32,0)</f>
        <v>#N/A</v>
      </c>
      <c r="L147" s="107" t="e">
        <f>VLOOKUP($A147,'S45'!$C:$BQ,39,0)</f>
        <v>#N/A</v>
      </c>
      <c r="M147" s="107" t="e">
        <f>VLOOKUP($A147,'S45'!$C:$BQ,40,0)</f>
        <v>#N/A</v>
      </c>
      <c r="N147" s="107" t="e">
        <f>VLOOKUP($A147,'S45'!$C:$BQ,22,0)</f>
        <v>#N/A</v>
      </c>
      <c r="O147" s="115" t="e">
        <f>VLOOKUP($A147,'S45'!$C:$BQ,29,0)</f>
        <v>#N/A</v>
      </c>
      <c r="P147" s="115" t="e">
        <f>VLOOKUP($A147,'S45'!$C:$BQ,30,0)</f>
        <v>#N/A</v>
      </c>
      <c r="Q147" s="115" t="e">
        <f>VLOOKUP($A147,'S45'!$C:$BQ,52,0)</f>
        <v>#N/A</v>
      </c>
      <c r="R147" s="115" t="e">
        <f>VLOOKUP($A147,'S45'!$C:$BQ,59,0)</f>
        <v>#N/A</v>
      </c>
      <c r="S147" s="115" t="e">
        <f>VLOOKUP($A147,'S45'!$C:$BQ,60,0)</f>
        <v>#N/A</v>
      </c>
      <c r="T147" s="107" t="e">
        <f>VLOOKUP($A147,'S46'!$C:$BQ,32,0)</f>
        <v>#N/A</v>
      </c>
      <c r="U147" s="107" t="e">
        <f>VLOOKUP($A147,'S46'!$C:$BQ,39,0)</f>
        <v>#N/A</v>
      </c>
      <c r="V147" s="107" t="e">
        <f>VLOOKUP($A147,'S46'!$C:$BQ,40,0)</f>
        <v>#N/A</v>
      </c>
      <c r="W147" s="107" t="e">
        <f>VLOOKUP($A147,'S46'!$C:$BQ,22,0)</f>
        <v>#N/A</v>
      </c>
      <c r="X147" s="115" t="e">
        <f>VLOOKUP($A147,'S46'!$C:$BQ,29,0)</f>
        <v>#N/A</v>
      </c>
      <c r="Y147" s="115" t="e">
        <f>VLOOKUP($A147,'S46'!$C:$BQ,30,0)</f>
        <v>#N/A</v>
      </c>
      <c r="Z147" s="115" t="e">
        <f>VLOOKUP($A147,'S46'!$C:$BQ,52,0)</f>
        <v>#N/A</v>
      </c>
      <c r="AA147" s="115" t="e">
        <f>VLOOKUP($A147,'S46'!$C:$BQ,59,0)</f>
        <v>#N/A</v>
      </c>
      <c r="AB147" s="115" t="e">
        <f>VLOOKUP($A147,'S46'!$C:$BQ,60,0)</f>
        <v>#N/A</v>
      </c>
      <c r="AC147" s="107" t="e">
        <f>VLOOKUP($A147,'S47'!$C:$BQ,32,0)</f>
        <v>#N/A</v>
      </c>
      <c r="AD147" s="107" t="e">
        <f>VLOOKUP($A147,'S47'!$C:$BQ,39,0)</f>
        <v>#N/A</v>
      </c>
      <c r="AE147" s="107" t="e">
        <f>VLOOKUP($A147,'S47'!$C:$BQ,40,0)</f>
        <v>#N/A</v>
      </c>
      <c r="AF147" s="107" t="e">
        <f>VLOOKUP($A147,'S47'!$C:$BQ,22,0)</f>
        <v>#N/A</v>
      </c>
      <c r="AG147" s="115" t="e">
        <f>VLOOKUP($A147,'S47'!$C:$BQ,29,0)</f>
        <v>#N/A</v>
      </c>
      <c r="AH147" s="115" t="e">
        <f>VLOOKUP($A147,'S47'!$C:$BQ,30,0)</f>
        <v>#N/A</v>
      </c>
      <c r="AI147" s="115" t="e">
        <f>VLOOKUP($A147,'S47'!$C:$BQ,52,0)</f>
        <v>#N/A</v>
      </c>
      <c r="AJ147" s="115" t="e">
        <f>VLOOKUP($A147,'S47'!$C:$BQ,59,0)</f>
        <v>#N/A</v>
      </c>
      <c r="AK147" s="115" t="e">
        <f>VLOOKUP($A147,'S47'!$C:$BQ,60,0)</f>
        <v>#N/A</v>
      </c>
      <c r="AL147" s="107" t="e">
        <f>VLOOKUP($A147,'S48'!$C:$BQ,32,0)</f>
        <v>#N/A</v>
      </c>
      <c r="AM147" s="107" t="e">
        <f>VLOOKUP($A147,'S48'!$C:$BQ,39,0)</f>
        <v>#N/A</v>
      </c>
      <c r="AN147" s="107" t="e">
        <f>VLOOKUP($A147,'S48'!$C:$BQ,40,0)</f>
        <v>#N/A</v>
      </c>
      <c r="AO147" s="107" t="e">
        <f>VLOOKUP($A147,'S48'!$C:$BQ,22,0)</f>
        <v>#N/A</v>
      </c>
      <c r="AP147" s="115" t="e">
        <f>VLOOKUP($A147,'S48'!$C:$BQ,29,0)</f>
        <v>#N/A</v>
      </c>
      <c r="AQ147" s="115" t="e">
        <f>VLOOKUP($A147,'S48'!$C:$BQ,30,0)</f>
        <v>#N/A</v>
      </c>
      <c r="AR147" s="115" t="e">
        <f>VLOOKUP($A147,'S48'!$C:$BQ,52,0)</f>
        <v>#N/A</v>
      </c>
      <c r="AS147" s="115" t="e">
        <f>VLOOKUP($A147,'S48'!$C:$BQ,59,0)</f>
        <v>#N/A</v>
      </c>
      <c r="AT147" s="115" t="e">
        <f>VLOOKUP($A147,'S48'!$C:$BQ,60,0)</f>
        <v>#N/A</v>
      </c>
      <c r="AU147" s="107" t="e">
        <f>VLOOKUP($A147,'S49'!$C:$BQ,32,0)</f>
        <v>#N/A</v>
      </c>
      <c r="AV147" s="107" t="e">
        <f>VLOOKUP($A147,'S49'!$C:$BQ,39,0)</f>
        <v>#N/A</v>
      </c>
      <c r="AW147" s="107" t="e">
        <f>VLOOKUP($A147,'S49'!$C:$BQ,40,0)</f>
        <v>#N/A</v>
      </c>
      <c r="AX147" s="107" t="e">
        <f>VLOOKUP($A147,'S49'!$C:$BQ,22,0)</f>
        <v>#N/A</v>
      </c>
      <c r="AY147" s="115" t="e">
        <f>VLOOKUP($A147,'S49'!$C:$BQ,29,0)</f>
        <v>#N/A</v>
      </c>
      <c r="AZ147" s="115" t="e">
        <f>VLOOKUP($A147,'S49'!$C:$BQ,30,0)</f>
        <v>#N/A</v>
      </c>
      <c r="BA147" s="115" t="e">
        <f>VLOOKUP($A147,'S49'!$C:$BQ,52,0)</f>
        <v>#N/A</v>
      </c>
      <c r="BB147" s="115" t="e">
        <f>VLOOKUP($A147,'S49'!$C:$BQ,59,0)</f>
        <v>#N/A</v>
      </c>
      <c r="BC147" s="115" t="e">
        <f>VLOOKUP($A147,'S49'!$C:$BQ,60,0)</f>
        <v>#N/A</v>
      </c>
      <c r="BD147" s="107" t="e">
        <f>VLOOKUP($A147,'S50'!$C:$BQ,32,0)</f>
        <v>#N/A</v>
      </c>
      <c r="BE147" s="107" t="e">
        <f>VLOOKUP($A147,'S50'!$C:$BQ,39,0)</f>
        <v>#N/A</v>
      </c>
      <c r="BF147" s="107" t="e">
        <f>VLOOKUP($A147,'S50'!$C:$BQ,40,0)</f>
        <v>#N/A</v>
      </c>
      <c r="BG147" s="107" t="e">
        <f>VLOOKUP($A147,'S50'!$C:$BQ,22,0)</f>
        <v>#N/A</v>
      </c>
      <c r="BH147" s="115" t="e">
        <f>VLOOKUP($A147,'S50'!$C:$BQ,29,0)</f>
        <v>#N/A</v>
      </c>
      <c r="BI147" s="115" t="e">
        <f>VLOOKUP($A147,'S50'!$C:$BQ,30,0)</f>
        <v>#N/A</v>
      </c>
      <c r="BJ147" s="115" t="e">
        <f>VLOOKUP($A147,'S50'!$C:$BQ,52,0)</f>
        <v>#N/A</v>
      </c>
      <c r="BK147" s="115" t="e">
        <f>VLOOKUP($A147,'S50'!$C:$BQ,59,0)</f>
        <v>#N/A</v>
      </c>
      <c r="BL147" s="115" t="e">
        <f>VLOOKUP($A147,'S50'!$C:$BQ,60,0)</f>
        <v>#N/A</v>
      </c>
    </row>
    <row r="148" spans="1:64" x14ac:dyDescent="0.2">
      <c r="A148" s="106" t="s">
        <v>213</v>
      </c>
      <c r="B148" s="107">
        <f>VLOOKUP($A148,'S0 remplacer avec S44'!$C:$BQ,32,0)</f>
        <v>216.45</v>
      </c>
      <c r="C148" s="107">
        <f>VLOOKUP($A148,'S0 remplacer avec S44'!$C:$BQ,39,0)</f>
        <v>19</v>
      </c>
      <c r="D148" s="107">
        <f>VLOOKUP($A148,'S0 remplacer avec S44'!$C:$BQ,40,0)</f>
        <v>66</v>
      </c>
      <c r="E148" s="107">
        <f>VLOOKUP($A148,'S0 remplacer avec S44'!$C:$BQ,22,0)</f>
        <v>1665.3319449999999</v>
      </c>
      <c r="F148" s="115">
        <f>VLOOKUP($A148,'S0 remplacer avec S44'!$C:$BQ,29,0)</f>
        <v>470</v>
      </c>
      <c r="G148" s="115">
        <f>VLOOKUP($A148,'S0 remplacer avec S44'!$C:$BQ,30,0)</f>
        <v>896</v>
      </c>
      <c r="H148" s="115">
        <f>VLOOKUP($A148,'S0 remplacer avec S44'!$C:$BQ,52,0)</f>
        <v>188.2</v>
      </c>
      <c r="I148" s="115">
        <f>VLOOKUP($A148,'S0 remplacer avec S44'!$C:$BQ,59,0)</f>
        <v>0</v>
      </c>
      <c r="J148" s="115">
        <f>VLOOKUP($A148,'S0 remplacer avec S44'!$C:$BQ,60,0)</f>
        <v>0</v>
      </c>
      <c r="K148" s="107" t="e">
        <f>VLOOKUP($A148,'S45'!$C:$BQ,32,0)</f>
        <v>#N/A</v>
      </c>
      <c r="L148" s="107" t="e">
        <f>VLOOKUP($A148,'S45'!$C:$BQ,39,0)</f>
        <v>#N/A</v>
      </c>
      <c r="M148" s="107" t="e">
        <f>VLOOKUP($A148,'S45'!$C:$BQ,40,0)</f>
        <v>#N/A</v>
      </c>
      <c r="N148" s="107" t="e">
        <f>VLOOKUP($A148,'S45'!$C:$BQ,22,0)</f>
        <v>#N/A</v>
      </c>
      <c r="O148" s="115" t="e">
        <f>VLOOKUP($A148,'S45'!$C:$BQ,29,0)</f>
        <v>#N/A</v>
      </c>
      <c r="P148" s="115" t="e">
        <f>VLOOKUP($A148,'S45'!$C:$BQ,30,0)</f>
        <v>#N/A</v>
      </c>
      <c r="Q148" s="115" t="e">
        <f>VLOOKUP($A148,'S45'!$C:$BQ,52,0)</f>
        <v>#N/A</v>
      </c>
      <c r="R148" s="115" t="e">
        <f>VLOOKUP($A148,'S45'!$C:$BQ,59,0)</f>
        <v>#N/A</v>
      </c>
      <c r="S148" s="115" t="e">
        <f>VLOOKUP($A148,'S45'!$C:$BQ,60,0)</f>
        <v>#N/A</v>
      </c>
      <c r="T148" s="107" t="e">
        <f>VLOOKUP($A148,'S46'!$C:$BQ,32,0)</f>
        <v>#N/A</v>
      </c>
      <c r="U148" s="107" t="e">
        <f>VLOOKUP($A148,'S46'!$C:$BQ,39,0)</f>
        <v>#N/A</v>
      </c>
      <c r="V148" s="107" t="e">
        <f>VLOOKUP($A148,'S46'!$C:$BQ,40,0)</f>
        <v>#N/A</v>
      </c>
      <c r="W148" s="107" t="e">
        <f>VLOOKUP($A148,'S46'!$C:$BQ,22,0)</f>
        <v>#N/A</v>
      </c>
      <c r="X148" s="115" t="e">
        <f>VLOOKUP($A148,'S46'!$C:$BQ,29,0)</f>
        <v>#N/A</v>
      </c>
      <c r="Y148" s="115" t="e">
        <f>VLOOKUP($A148,'S46'!$C:$BQ,30,0)</f>
        <v>#N/A</v>
      </c>
      <c r="Z148" s="115" t="e">
        <f>VLOOKUP($A148,'S46'!$C:$BQ,52,0)</f>
        <v>#N/A</v>
      </c>
      <c r="AA148" s="115" t="e">
        <f>VLOOKUP($A148,'S46'!$C:$BQ,59,0)</f>
        <v>#N/A</v>
      </c>
      <c r="AB148" s="115" t="e">
        <f>VLOOKUP($A148,'S46'!$C:$BQ,60,0)</f>
        <v>#N/A</v>
      </c>
      <c r="AC148" s="107" t="e">
        <f>VLOOKUP($A148,'S47'!$C:$BQ,32,0)</f>
        <v>#N/A</v>
      </c>
      <c r="AD148" s="107" t="e">
        <f>VLOOKUP($A148,'S47'!$C:$BQ,39,0)</f>
        <v>#N/A</v>
      </c>
      <c r="AE148" s="107" t="e">
        <f>VLOOKUP($A148,'S47'!$C:$BQ,40,0)</f>
        <v>#N/A</v>
      </c>
      <c r="AF148" s="107" t="e">
        <f>VLOOKUP($A148,'S47'!$C:$BQ,22,0)</f>
        <v>#N/A</v>
      </c>
      <c r="AG148" s="115" t="e">
        <f>VLOOKUP($A148,'S47'!$C:$BQ,29,0)</f>
        <v>#N/A</v>
      </c>
      <c r="AH148" s="115" t="e">
        <f>VLOOKUP($A148,'S47'!$C:$BQ,30,0)</f>
        <v>#N/A</v>
      </c>
      <c r="AI148" s="115" t="e">
        <f>VLOOKUP($A148,'S47'!$C:$BQ,52,0)</f>
        <v>#N/A</v>
      </c>
      <c r="AJ148" s="115" t="e">
        <f>VLOOKUP($A148,'S47'!$C:$BQ,59,0)</f>
        <v>#N/A</v>
      </c>
      <c r="AK148" s="115" t="e">
        <f>VLOOKUP($A148,'S47'!$C:$BQ,60,0)</f>
        <v>#N/A</v>
      </c>
      <c r="AL148" s="107" t="e">
        <f>VLOOKUP($A148,'S48'!$C:$BQ,32,0)</f>
        <v>#N/A</v>
      </c>
      <c r="AM148" s="107" t="e">
        <f>VLOOKUP($A148,'S48'!$C:$BQ,39,0)</f>
        <v>#N/A</v>
      </c>
      <c r="AN148" s="107" t="e">
        <f>VLOOKUP($A148,'S48'!$C:$BQ,40,0)</f>
        <v>#N/A</v>
      </c>
      <c r="AO148" s="107" t="e">
        <f>VLOOKUP($A148,'S48'!$C:$BQ,22,0)</f>
        <v>#N/A</v>
      </c>
      <c r="AP148" s="115" t="e">
        <f>VLOOKUP($A148,'S48'!$C:$BQ,29,0)</f>
        <v>#N/A</v>
      </c>
      <c r="AQ148" s="115" t="e">
        <f>VLOOKUP($A148,'S48'!$C:$BQ,30,0)</f>
        <v>#N/A</v>
      </c>
      <c r="AR148" s="115" t="e">
        <f>VLOOKUP($A148,'S48'!$C:$BQ,52,0)</f>
        <v>#N/A</v>
      </c>
      <c r="AS148" s="115" t="e">
        <f>VLOOKUP($A148,'S48'!$C:$BQ,59,0)</f>
        <v>#N/A</v>
      </c>
      <c r="AT148" s="115" t="e">
        <f>VLOOKUP($A148,'S48'!$C:$BQ,60,0)</f>
        <v>#N/A</v>
      </c>
      <c r="AU148" s="107" t="e">
        <f>VLOOKUP($A148,'S49'!$C:$BQ,32,0)</f>
        <v>#N/A</v>
      </c>
      <c r="AV148" s="107" t="e">
        <f>VLOOKUP($A148,'S49'!$C:$BQ,39,0)</f>
        <v>#N/A</v>
      </c>
      <c r="AW148" s="107" t="e">
        <f>VLOOKUP($A148,'S49'!$C:$BQ,40,0)</f>
        <v>#N/A</v>
      </c>
      <c r="AX148" s="107" t="e">
        <f>VLOOKUP($A148,'S49'!$C:$BQ,22,0)</f>
        <v>#N/A</v>
      </c>
      <c r="AY148" s="115" t="e">
        <f>VLOOKUP($A148,'S49'!$C:$BQ,29,0)</f>
        <v>#N/A</v>
      </c>
      <c r="AZ148" s="115" t="e">
        <f>VLOOKUP($A148,'S49'!$C:$BQ,30,0)</f>
        <v>#N/A</v>
      </c>
      <c r="BA148" s="115" t="e">
        <f>VLOOKUP($A148,'S49'!$C:$BQ,52,0)</f>
        <v>#N/A</v>
      </c>
      <c r="BB148" s="115" t="e">
        <f>VLOOKUP($A148,'S49'!$C:$BQ,59,0)</f>
        <v>#N/A</v>
      </c>
      <c r="BC148" s="115" t="e">
        <f>VLOOKUP($A148,'S49'!$C:$BQ,60,0)</f>
        <v>#N/A</v>
      </c>
      <c r="BD148" s="107" t="e">
        <f>VLOOKUP($A148,'S50'!$C:$BQ,32,0)</f>
        <v>#N/A</v>
      </c>
      <c r="BE148" s="107" t="e">
        <f>VLOOKUP($A148,'S50'!$C:$BQ,39,0)</f>
        <v>#N/A</v>
      </c>
      <c r="BF148" s="107" t="e">
        <f>VLOOKUP($A148,'S50'!$C:$BQ,40,0)</f>
        <v>#N/A</v>
      </c>
      <c r="BG148" s="107" t="e">
        <f>VLOOKUP($A148,'S50'!$C:$BQ,22,0)</f>
        <v>#N/A</v>
      </c>
      <c r="BH148" s="115" t="e">
        <f>VLOOKUP($A148,'S50'!$C:$BQ,29,0)</f>
        <v>#N/A</v>
      </c>
      <c r="BI148" s="115" t="e">
        <f>VLOOKUP($A148,'S50'!$C:$BQ,30,0)</f>
        <v>#N/A</v>
      </c>
      <c r="BJ148" s="115" t="e">
        <f>VLOOKUP($A148,'S50'!$C:$BQ,52,0)</f>
        <v>#N/A</v>
      </c>
      <c r="BK148" s="115" t="e">
        <f>VLOOKUP($A148,'S50'!$C:$BQ,59,0)</f>
        <v>#N/A</v>
      </c>
      <c r="BL148" s="115" t="e">
        <f>VLOOKUP($A148,'S50'!$C:$BQ,60,0)</f>
        <v>#N/A</v>
      </c>
    </row>
    <row r="149" spans="1:64" x14ac:dyDescent="0.2">
      <c r="A149" s="106" t="s">
        <v>214</v>
      </c>
      <c r="B149" s="107">
        <f>VLOOKUP($A149,'S0 remplacer avec S44'!$C:$BQ,32,0)</f>
        <v>282.8</v>
      </c>
      <c r="C149" s="107">
        <f>VLOOKUP($A149,'S0 remplacer avec S44'!$C:$BQ,39,0)</f>
        <v>217</v>
      </c>
      <c r="D149" s="107">
        <f>VLOOKUP($A149,'S0 remplacer avec S44'!$C:$BQ,40,0)</f>
        <v>317</v>
      </c>
      <c r="E149" s="107">
        <f>VLOOKUP($A149,'S0 remplacer avec S44'!$C:$BQ,22,0)</f>
        <v>2921.1957649999999</v>
      </c>
      <c r="F149" s="115">
        <f>VLOOKUP($A149,'S0 remplacer avec S44'!$C:$BQ,29,0)</f>
        <v>1624</v>
      </c>
      <c r="G149" s="115">
        <f>VLOOKUP($A149,'S0 remplacer avec S44'!$C:$BQ,30,0)</f>
        <v>2533</v>
      </c>
      <c r="H149" s="115">
        <f>VLOOKUP($A149,'S0 remplacer avec S44'!$C:$BQ,52,0)</f>
        <v>242.4</v>
      </c>
      <c r="I149" s="115">
        <f>VLOOKUP($A149,'S0 remplacer avec S44'!$C:$BQ,59,0)</f>
        <v>12</v>
      </c>
      <c r="J149" s="115">
        <f>VLOOKUP($A149,'S0 remplacer avec S44'!$C:$BQ,60,0)</f>
        <v>63</v>
      </c>
      <c r="K149" s="107" t="e">
        <f>VLOOKUP($A149,'S45'!$C:$BQ,32,0)</f>
        <v>#N/A</v>
      </c>
      <c r="L149" s="107" t="e">
        <f>VLOOKUP($A149,'S45'!$C:$BQ,39,0)</f>
        <v>#N/A</v>
      </c>
      <c r="M149" s="107" t="e">
        <f>VLOOKUP($A149,'S45'!$C:$BQ,40,0)</f>
        <v>#N/A</v>
      </c>
      <c r="N149" s="107" t="e">
        <f>VLOOKUP($A149,'S45'!$C:$BQ,22,0)</f>
        <v>#N/A</v>
      </c>
      <c r="O149" s="115" t="e">
        <f>VLOOKUP($A149,'S45'!$C:$BQ,29,0)</f>
        <v>#N/A</v>
      </c>
      <c r="P149" s="115" t="e">
        <f>VLOOKUP($A149,'S45'!$C:$BQ,30,0)</f>
        <v>#N/A</v>
      </c>
      <c r="Q149" s="115" t="e">
        <f>VLOOKUP($A149,'S45'!$C:$BQ,52,0)</f>
        <v>#N/A</v>
      </c>
      <c r="R149" s="115" t="e">
        <f>VLOOKUP($A149,'S45'!$C:$BQ,59,0)</f>
        <v>#N/A</v>
      </c>
      <c r="S149" s="115" t="e">
        <f>VLOOKUP($A149,'S45'!$C:$BQ,60,0)</f>
        <v>#N/A</v>
      </c>
      <c r="T149" s="107" t="e">
        <f>VLOOKUP($A149,'S46'!$C:$BQ,32,0)</f>
        <v>#N/A</v>
      </c>
      <c r="U149" s="107" t="e">
        <f>VLOOKUP($A149,'S46'!$C:$BQ,39,0)</f>
        <v>#N/A</v>
      </c>
      <c r="V149" s="107" t="e">
        <f>VLOOKUP($A149,'S46'!$C:$BQ,40,0)</f>
        <v>#N/A</v>
      </c>
      <c r="W149" s="107" t="e">
        <f>VLOOKUP($A149,'S46'!$C:$BQ,22,0)</f>
        <v>#N/A</v>
      </c>
      <c r="X149" s="115" t="e">
        <f>VLOOKUP($A149,'S46'!$C:$BQ,29,0)</f>
        <v>#N/A</v>
      </c>
      <c r="Y149" s="115" t="e">
        <f>VLOOKUP($A149,'S46'!$C:$BQ,30,0)</f>
        <v>#N/A</v>
      </c>
      <c r="Z149" s="115" t="e">
        <f>VLOOKUP($A149,'S46'!$C:$BQ,52,0)</f>
        <v>#N/A</v>
      </c>
      <c r="AA149" s="115" t="e">
        <f>VLOOKUP($A149,'S46'!$C:$BQ,59,0)</f>
        <v>#N/A</v>
      </c>
      <c r="AB149" s="115" t="e">
        <f>VLOOKUP($A149,'S46'!$C:$BQ,60,0)</f>
        <v>#N/A</v>
      </c>
      <c r="AC149" s="107" t="e">
        <f>VLOOKUP($A149,'S47'!$C:$BQ,32,0)</f>
        <v>#N/A</v>
      </c>
      <c r="AD149" s="107" t="e">
        <f>VLOOKUP($A149,'S47'!$C:$BQ,39,0)</f>
        <v>#N/A</v>
      </c>
      <c r="AE149" s="107" t="e">
        <f>VLOOKUP($A149,'S47'!$C:$BQ,40,0)</f>
        <v>#N/A</v>
      </c>
      <c r="AF149" s="107" t="e">
        <f>VLOOKUP($A149,'S47'!$C:$BQ,22,0)</f>
        <v>#N/A</v>
      </c>
      <c r="AG149" s="115" t="e">
        <f>VLOOKUP($A149,'S47'!$C:$BQ,29,0)</f>
        <v>#N/A</v>
      </c>
      <c r="AH149" s="115" t="e">
        <f>VLOOKUP($A149,'S47'!$C:$BQ,30,0)</f>
        <v>#N/A</v>
      </c>
      <c r="AI149" s="115" t="e">
        <f>VLOOKUP($A149,'S47'!$C:$BQ,52,0)</f>
        <v>#N/A</v>
      </c>
      <c r="AJ149" s="115" t="e">
        <f>VLOOKUP($A149,'S47'!$C:$BQ,59,0)</f>
        <v>#N/A</v>
      </c>
      <c r="AK149" s="115" t="e">
        <f>VLOOKUP($A149,'S47'!$C:$BQ,60,0)</f>
        <v>#N/A</v>
      </c>
      <c r="AL149" s="107" t="e">
        <f>VLOOKUP($A149,'S48'!$C:$BQ,32,0)</f>
        <v>#N/A</v>
      </c>
      <c r="AM149" s="107" t="e">
        <f>VLOOKUP($A149,'S48'!$C:$BQ,39,0)</f>
        <v>#N/A</v>
      </c>
      <c r="AN149" s="107" t="e">
        <f>VLOOKUP($A149,'S48'!$C:$BQ,40,0)</f>
        <v>#N/A</v>
      </c>
      <c r="AO149" s="107" t="e">
        <f>VLOOKUP($A149,'S48'!$C:$BQ,22,0)</f>
        <v>#N/A</v>
      </c>
      <c r="AP149" s="115" t="e">
        <f>VLOOKUP($A149,'S48'!$C:$BQ,29,0)</f>
        <v>#N/A</v>
      </c>
      <c r="AQ149" s="115" t="e">
        <f>VLOOKUP($A149,'S48'!$C:$BQ,30,0)</f>
        <v>#N/A</v>
      </c>
      <c r="AR149" s="115" t="e">
        <f>VLOOKUP($A149,'S48'!$C:$BQ,52,0)</f>
        <v>#N/A</v>
      </c>
      <c r="AS149" s="115" t="e">
        <f>VLOOKUP($A149,'S48'!$C:$BQ,59,0)</f>
        <v>#N/A</v>
      </c>
      <c r="AT149" s="115" t="e">
        <f>VLOOKUP($A149,'S48'!$C:$BQ,60,0)</f>
        <v>#N/A</v>
      </c>
      <c r="AU149" s="107" t="e">
        <f>VLOOKUP($A149,'S49'!$C:$BQ,32,0)</f>
        <v>#N/A</v>
      </c>
      <c r="AV149" s="107" t="e">
        <f>VLOOKUP($A149,'S49'!$C:$BQ,39,0)</f>
        <v>#N/A</v>
      </c>
      <c r="AW149" s="107" t="e">
        <f>VLOOKUP($A149,'S49'!$C:$BQ,40,0)</f>
        <v>#N/A</v>
      </c>
      <c r="AX149" s="107" t="e">
        <f>VLOOKUP($A149,'S49'!$C:$BQ,22,0)</f>
        <v>#N/A</v>
      </c>
      <c r="AY149" s="115" t="e">
        <f>VLOOKUP($A149,'S49'!$C:$BQ,29,0)</f>
        <v>#N/A</v>
      </c>
      <c r="AZ149" s="115" t="e">
        <f>VLOOKUP($A149,'S49'!$C:$BQ,30,0)</f>
        <v>#N/A</v>
      </c>
      <c r="BA149" s="115" t="e">
        <f>VLOOKUP($A149,'S49'!$C:$BQ,52,0)</f>
        <v>#N/A</v>
      </c>
      <c r="BB149" s="115" t="e">
        <f>VLOOKUP($A149,'S49'!$C:$BQ,59,0)</f>
        <v>#N/A</v>
      </c>
      <c r="BC149" s="115" t="e">
        <f>VLOOKUP($A149,'S49'!$C:$BQ,60,0)</f>
        <v>#N/A</v>
      </c>
      <c r="BD149" s="107" t="e">
        <f>VLOOKUP($A149,'S50'!$C:$BQ,32,0)</f>
        <v>#N/A</v>
      </c>
      <c r="BE149" s="107" t="e">
        <f>VLOOKUP($A149,'S50'!$C:$BQ,39,0)</f>
        <v>#N/A</v>
      </c>
      <c r="BF149" s="107" t="e">
        <f>VLOOKUP($A149,'S50'!$C:$BQ,40,0)</f>
        <v>#N/A</v>
      </c>
      <c r="BG149" s="107" t="e">
        <f>VLOOKUP($A149,'S50'!$C:$BQ,22,0)</f>
        <v>#N/A</v>
      </c>
      <c r="BH149" s="115" t="e">
        <f>VLOOKUP($A149,'S50'!$C:$BQ,29,0)</f>
        <v>#N/A</v>
      </c>
      <c r="BI149" s="115" t="e">
        <f>VLOOKUP($A149,'S50'!$C:$BQ,30,0)</f>
        <v>#N/A</v>
      </c>
      <c r="BJ149" s="115" t="e">
        <f>VLOOKUP($A149,'S50'!$C:$BQ,52,0)</f>
        <v>#N/A</v>
      </c>
      <c r="BK149" s="115" t="e">
        <f>VLOOKUP($A149,'S50'!$C:$BQ,59,0)</f>
        <v>#N/A</v>
      </c>
      <c r="BL149" s="115" t="e">
        <f>VLOOKUP($A149,'S50'!$C:$BQ,60,0)</f>
        <v>#N/A</v>
      </c>
    </row>
    <row r="150" spans="1:64" x14ac:dyDescent="0.2">
      <c r="A150" s="106" t="s">
        <v>215</v>
      </c>
      <c r="B150" s="107">
        <f>VLOOKUP($A150,'S0 remplacer avec S44'!$C:$BQ,32,0)</f>
        <v>246.7</v>
      </c>
      <c r="C150" s="107">
        <f>VLOOKUP($A150,'S0 remplacer avec S44'!$C:$BQ,39,0)</f>
        <v>9</v>
      </c>
      <c r="D150" s="107">
        <f>VLOOKUP($A150,'S0 remplacer avec S44'!$C:$BQ,40,0)</f>
        <v>60</v>
      </c>
      <c r="E150" s="107">
        <f>VLOOKUP($A150,'S0 remplacer avec S44'!$C:$BQ,22,0)</f>
        <v>2370.955555</v>
      </c>
      <c r="F150" s="115">
        <f>VLOOKUP($A150,'S0 remplacer avec S44'!$C:$BQ,29,0)</f>
        <v>0</v>
      </c>
      <c r="G150" s="115">
        <f>VLOOKUP($A150,'S0 remplacer avec S44'!$C:$BQ,30,0)</f>
        <v>410</v>
      </c>
      <c r="H150" s="115">
        <f>VLOOKUP($A150,'S0 remplacer avec S44'!$C:$BQ,52,0)</f>
        <v>191.4</v>
      </c>
      <c r="I150" s="115">
        <f>VLOOKUP($A150,'S0 remplacer avec S44'!$C:$BQ,59,0)</f>
        <v>0</v>
      </c>
      <c r="J150" s="115">
        <f>VLOOKUP($A150,'S0 remplacer avec S44'!$C:$BQ,60,0)</f>
        <v>0</v>
      </c>
      <c r="K150" s="107" t="e">
        <f>VLOOKUP($A150,'S45'!$C:$BQ,32,0)</f>
        <v>#N/A</v>
      </c>
      <c r="L150" s="107" t="e">
        <f>VLOOKUP($A150,'S45'!$C:$BQ,39,0)</f>
        <v>#N/A</v>
      </c>
      <c r="M150" s="107" t="e">
        <f>VLOOKUP($A150,'S45'!$C:$BQ,40,0)</f>
        <v>#N/A</v>
      </c>
      <c r="N150" s="107" t="e">
        <f>VLOOKUP($A150,'S45'!$C:$BQ,22,0)</f>
        <v>#N/A</v>
      </c>
      <c r="O150" s="115" t="e">
        <f>VLOOKUP($A150,'S45'!$C:$BQ,29,0)</f>
        <v>#N/A</v>
      </c>
      <c r="P150" s="115" t="e">
        <f>VLOOKUP($A150,'S45'!$C:$BQ,30,0)</f>
        <v>#N/A</v>
      </c>
      <c r="Q150" s="115" t="e">
        <f>VLOOKUP($A150,'S45'!$C:$BQ,52,0)</f>
        <v>#N/A</v>
      </c>
      <c r="R150" s="115" t="e">
        <f>VLOOKUP($A150,'S45'!$C:$BQ,59,0)</f>
        <v>#N/A</v>
      </c>
      <c r="S150" s="115" t="e">
        <f>VLOOKUP($A150,'S45'!$C:$BQ,60,0)</f>
        <v>#N/A</v>
      </c>
      <c r="T150" s="107" t="e">
        <f>VLOOKUP($A150,'S46'!$C:$BQ,32,0)</f>
        <v>#N/A</v>
      </c>
      <c r="U150" s="107" t="e">
        <f>VLOOKUP($A150,'S46'!$C:$BQ,39,0)</f>
        <v>#N/A</v>
      </c>
      <c r="V150" s="107" t="e">
        <f>VLOOKUP($A150,'S46'!$C:$BQ,40,0)</f>
        <v>#N/A</v>
      </c>
      <c r="W150" s="107" t="e">
        <f>VLOOKUP($A150,'S46'!$C:$BQ,22,0)</f>
        <v>#N/A</v>
      </c>
      <c r="X150" s="115" t="e">
        <f>VLOOKUP($A150,'S46'!$C:$BQ,29,0)</f>
        <v>#N/A</v>
      </c>
      <c r="Y150" s="115" t="e">
        <f>VLOOKUP($A150,'S46'!$C:$BQ,30,0)</f>
        <v>#N/A</v>
      </c>
      <c r="Z150" s="115" t="e">
        <f>VLOOKUP($A150,'S46'!$C:$BQ,52,0)</f>
        <v>#N/A</v>
      </c>
      <c r="AA150" s="115" t="e">
        <f>VLOOKUP($A150,'S46'!$C:$BQ,59,0)</f>
        <v>#N/A</v>
      </c>
      <c r="AB150" s="115" t="e">
        <f>VLOOKUP($A150,'S46'!$C:$BQ,60,0)</f>
        <v>#N/A</v>
      </c>
      <c r="AC150" s="107" t="e">
        <f>VLOOKUP($A150,'S47'!$C:$BQ,32,0)</f>
        <v>#N/A</v>
      </c>
      <c r="AD150" s="107" t="e">
        <f>VLOOKUP($A150,'S47'!$C:$BQ,39,0)</f>
        <v>#N/A</v>
      </c>
      <c r="AE150" s="107" t="e">
        <f>VLOOKUP($A150,'S47'!$C:$BQ,40,0)</f>
        <v>#N/A</v>
      </c>
      <c r="AF150" s="107" t="e">
        <f>VLOOKUP($A150,'S47'!$C:$BQ,22,0)</f>
        <v>#N/A</v>
      </c>
      <c r="AG150" s="115" t="e">
        <f>VLOOKUP($A150,'S47'!$C:$BQ,29,0)</f>
        <v>#N/A</v>
      </c>
      <c r="AH150" s="115" t="e">
        <f>VLOOKUP($A150,'S47'!$C:$BQ,30,0)</f>
        <v>#N/A</v>
      </c>
      <c r="AI150" s="115" t="e">
        <f>VLOOKUP($A150,'S47'!$C:$BQ,52,0)</f>
        <v>#N/A</v>
      </c>
      <c r="AJ150" s="115" t="e">
        <f>VLOOKUP($A150,'S47'!$C:$BQ,59,0)</f>
        <v>#N/A</v>
      </c>
      <c r="AK150" s="115" t="e">
        <f>VLOOKUP($A150,'S47'!$C:$BQ,60,0)</f>
        <v>#N/A</v>
      </c>
      <c r="AL150" s="107" t="e">
        <f>VLOOKUP($A150,'S48'!$C:$BQ,32,0)</f>
        <v>#N/A</v>
      </c>
      <c r="AM150" s="107" t="e">
        <f>VLOOKUP($A150,'S48'!$C:$BQ,39,0)</f>
        <v>#N/A</v>
      </c>
      <c r="AN150" s="107" t="e">
        <f>VLOOKUP($A150,'S48'!$C:$BQ,40,0)</f>
        <v>#N/A</v>
      </c>
      <c r="AO150" s="107" t="e">
        <f>VLOOKUP($A150,'S48'!$C:$BQ,22,0)</f>
        <v>#N/A</v>
      </c>
      <c r="AP150" s="115" t="e">
        <f>VLOOKUP($A150,'S48'!$C:$BQ,29,0)</f>
        <v>#N/A</v>
      </c>
      <c r="AQ150" s="115" t="e">
        <f>VLOOKUP($A150,'S48'!$C:$BQ,30,0)</f>
        <v>#N/A</v>
      </c>
      <c r="AR150" s="115" t="e">
        <f>VLOOKUP($A150,'S48'!$C:$BQ,52,0)</f>
        <v>#N/A</v>
      </c>
      <c r="AS150" s="115" t="e">
        <f>VLOOKUP($A150,'S48'!$C:$BQ,59,0)</f>
        <v>#N/A</v>
      </c>
      <c r="AT150" s="115" t="e">
        <f>VLOOKUP($A150,'S48'!$C:$BQ,60,0)</f>
        <v>#N/A</v>
      </c>
      <c r="AU150" s="107" t="e">
        <f>VLOOKUP($A150,'S49'!$C:$BQ,32,0)</f>
        <v>#N/A</v>
      </c>
      <c r="AV150" s="107" t="e">
        <f>VLOOKUP($A150,'S49'!$C:$BQ,39,0)</f>
        <v>#N/A</v>
      </c>
      <c r="AW150" s="107" t="e">
        <f>VLOOKUP($A150,'S49'!$C:$BQ,40,0)</f>
        <v>#N/A</v>
      </c>
      <c r="AX150" s="107" t="e">
        <f>VLOOKUP($A150,'S49'!$C:$BQ,22,0)</f>
        <v>#N/A</v>
      </c>
      <c r="AY150" s="115" t="e">
        <f>VLOOKUP($A150,'S49'!$C:$BQ,29,0)</f>
        <v>#N/A</v>
      </c>
      <c r="AZ150" s="115" t="e">
        <f>VLOOKUP($A150,'S49'!$C:$BQ,30,0)</f>
        <v>#N/A</v>
      </c>
      <c r="BA150" s="115" t="e">
        <f>VLOOKUP($A150,'S49'!$C:$BQ,52,0)</f>
        <v>#N/A</v>
      </c>
      <c r="BB150" s="115" t="e">
        <f>VLOOKUP($A150,'S49'!$C:$BQ,59,0)</f>
        <v>#N/A</v>
      </c>
      <c r="BC150" s="115" t="e">
        <f>VLOOKUP($A150,'S49'!$C:$BQ,60,0)</f>
        <v>#N/A</v>
      </c>
      <c r="BD150" s="107" t="e">
        <f>VLOOKUP($A150,'S50'!$C:$BQ,32,0)</f>
        <v>#N/A</v>
      </c>
      <c r="BE150" s="107" t="e">
        <f>VLOOKUP($A150,'S50'!$C:$BQ,39,0)</f>
        <v>#N/A</v>
      </c>
      <c r="BF150" s="107" t="e">
        <f>VLOOKUP($A150,'S50'!$C:$BQ,40,0)</f>
        <v>#N/A</v>
      </c>
      <c r="BG150" s="107" t="e">
        <f>VLOOKUP($A150,'S50'!$C:$BQ,22,0)</f>
        <v>#N/A</v>
      </c>
      <c r="BH150" s="115" t="e">
        <f>VLOOKUP($A150,'S50'!$C:$BQ,29,0)</f>
        <v>#N/A</v>
      </c>
      <c r="BI150" s="115" t="e">
        <f>VLOOKUP($A150,'S50'!$C:$BQ,30,0)</f>
        <v>#N/A</v>
      </c>
      <c r="BJ150" s="115" t="e">
        <f>VLOOKUP($A150,'S50'!$C:$BQ,52,0)</f>
        <v>#N/A</v>
      </c>
      <c r="BK150" s="115" t="e">
        <f>VLOOKUP($A150,'S50'!$C:$BQ,59,0)</f>
        <v>#N/A</v>
      </c>
      <c r="BL150" s="115" t="e">
        <f>VLOOKUP($A150,'S50'!$C:$BQ,60,0)</f>
        <v>#N/A</v>
      </c>
    </row>
    <row r="151" spans="1:64" x14ac:dyDescent="0.2">
      <c r="A151" s="106" t="s">
        <v>216</v>
      </c>
      <c r="B151" s="107">
        <f>VLOOKUP($A151,'S0 remplacer avec S44'!$C:$BQ,32,0)</f>
        <v>227.95</v>
      </c>
      <c r="C151" s="107">
        <f>VLOOKUP($A151,'S0 remplacer avec S44'!$C:$BQ,39,0)</f>
        <v>0</v>
      </c>
      <c r="D151" s="107">
        <f>VLOOKUP($A151,'S0 remplacer avec S44'!$C:$BQ,40,0)</f>
        <v>0</v>
      </c>
      <c r="E151" s="107">
        <f>VLOOKUP($A151,'S0 remplacer avec S44'!$C:$BQ,22,0)</f>
        <v>1799.2612999999999</v>
      </c>
      <c r="F151" s="115">
        <f>VLOOKUP($A151,'S0 remplacer avec S44'!$C:$BQ,29,0)</f>
        <v>0</v>
      </c>
      <c r="G151" s="115">
        <f>VLOOKUP($A151,'S0 remplacer avec S44'!$C:$BQ,30,0)</f>
        <v>195</v>
      </c>
      <c r="H151" s="115">
        <f>VLOOKUP($A151,'S0 remplacer avec S44'!$C:$BQ,52,0)</f>
        <v>138.4</v>
      </c>
      <c r="I151" s="115">
        <f>VLOOKUP($A151,'S0 remplacer avec S44'!$C:$BQ,59,0)</f>
        <v>0</v>
      </c>
      <c r="J151" s="115">
        <f>VLOOKUP($A151,'S0 remplacer avec S44'!$C:$BQ,60,0)</f>
        <v>0</v>
      </c>
      <c r="K151" s="107" t="e">
        <f>VLOOKUP($A151,'S45'!$C:$BQ,32,0)</f>
        <v>#N/A</v>
      </c>
      <c r="L151" s="107" t="e">
        <f>VLOOKUP($A151,'S45'!$C:$BQ,39,0)</f>
        <v>#N/A</v>
      </c>
      <c r="M151" s="107" t="e">
        <f>VLOOKUP($A151,'S45'!$C:$BQ,40,0)</f>
        <v>#N/A</v>
      </c>
      <c r="N151" s="107" t="e">
        <f>VLOOKUP($A151,'S45'!$C:$BQ,22,0)</f>
        <v>#N/A</v>
      </c>
      <c r="O151" s="115" t="e">
        <f>VLOOKUP($A151,'S45'!$C:$BQ,29,0)</f>
        <v>#N/A</v>
      </c>
      <c r="P151" s="115" t="e">
        <f>VLOOKUP($A151,'S45'!$C:$BQ,30,0)</f>
        <v>#N/A</v>
      </c>
      <c r="Q151" s="115" t="e">
        <f>VLOOKUP($A151,'S45'!$C:$BQ,52,0)</f>
        <v>#N/A</v>
      </c>
      <c r="R151" s="115" t="e">
        <f>VLOOKUP($A151,'S45'!$C:$BQ,59,0)</f>
        <v>#N/A</v>
      </c>
      <c r="S151" s="115" t="e">
        <f>VLOOKUP($A151,'S45'!$C:$BQ,60,0)</f>
        <v>#N/A</v>
      </c>
      <c r="T151" s="107" t="e">
        <f>VLOOKUP($A151,'S46'!$C:$BQ,32,0)</f>
        <v>#N/A</v>
      </c>
      <c r="U151" s="107" t="e">
        <f>VLOOKUP($A151,'S46'!$C:$BQ,39,0)</f>
        <v>#N/A</v>
      </c>
      <c r="V151" s="107" t="e">
        <f>VLOOKUP($A151,'S46'!$C:$BQ,40,0)</f>
        <v>#N/A</v>
      </c>
      <c r="W151" s="107" t="e">
        <f>VLOOKUP($A151,'S46'!$C:$BQ,22,0)</f>
        <v>#N/A</v>
      </c>
      <c r="X151" s="115" t="e">
        <f>VLOOKUP($A151,'S46'!$C:$BQ,29,0)</f>
        <v>#N/A</v>
      </c>
      <c r="Y151" s="115" t="e">
        <f>VLOOKUP($A151,'S46'!$C:$BQ,30,0)</f>
        <v>#N/A</v>
      </c>
      <c r="Z151" s="115" t="e">
        <f>VLOOKUP($A151,'S46'!$C:$BQ,52,0)</f>
        <v>#N/A</v>
      </c>
      <c r="AA151" s="115" t="e">
        <f>VLOOKUP($A151,'S46'!$C:$BQ,59,0)</f>
        <v>#N/A</v>
      </c>
      <c r="AB151" s="115" t="e">
        <f>VLOOKUP($A151,'S46'!$C:$BQ,60,0)</f>
        <v>#N/A</v>
      </c>
      <c r="AC151" s="107" t="e">
        <f>VLOOKUP($A151,'S47'!$C:$BQ,32,0)</f>
        <v>#N/A</v>
      </c>
      <c r="AD151" s="107" t="e">
        <f>VLOOKUP($A151,'S47'!$C:$BQ,39,0)</f>
        <v>#N/A</v>
      </c>
      <c r="AE151" s="107" t="e">
        <f>VLOOKUP($A151,'S47'!$C:$BQ,40,0)</f>
        <v>#N/A</v>
      </c>
      <c r="AF151" s="107" t="e">
        <f>VLOOKUP($A151,'S47'!$C:$BQ,22,0)</f>
        <v>#N/A</v>
      </c>
      <c r="AG151" s="115" t="e">
        <f>VLOOKUP($A151,'S47'!$C:$BQ,29,0)</f>
        <v>#N/A</v>
      </c>
      <c r="AH151" s="115" t="e">
        <f>VLOOKUP($A151,'S47'!$C:$BQ,30,0)</f>
        <v>#N/A</v>
      </c>
      <c r="AI151" s="115" t="e">
        <f>VLOOKUP($A151,'S47'!$C:$BQ,52,0)</f>
        <v>#N/A</v>
      </c>
      <c r="AJ151" s="115" t="e">
        <f>VLOOKUP($A151,'S47'!$C:$BQ,59,0)</f>
        <v>#N/A</v>
      </c>
      <c r="AK151" s="115" t="e">
        <f>VLOOKUP($A151,'S47'!$C:$BQ,60,0)</f>
        <v>#N/A</v>
      </c>
      <c r="AL151" s="107" t="e">
        <f>VLOOKUP($A151,'S48'!$C:$BQ,32,0)</f>
        <v>#N/A</v>
      </c>
      <c r="AM151" s="107" t="e">
        <f>VLOOKUP($A151,'S48'!$C:$BQ,39,0)</f>
        <v>#N/A</v>
      </c>
      <c r="AN151" s="107" t="e">
        <f>VLOOKUP($A151,'S48'!$C:$BQ,40,0)</f>
        <v>#N/A</v>
      </c>
      <c r="AO151" s="107" t="e">
        <f>VLOOKUP($A151,'S48'!$C:$BQ,22,0)</f>
        <v>#N/A</v>
      </c>
      <c r="AP151" s="115" t="e">
        <f>VLOOKUP($A151,'S48'!$C:$BQ,29,0)</f>
        <v>#N/A</v>
      </c>
      <c r="AQ151" s="115" t="e">
        <f>VLOOKUP($A151,'S48'!$C:$BQ,30,0)</f>
        <v>#N/A</v>
      </c>
      <c r="AR151" s="115" t="e">
        <f>VLOOKUP($A151,'S48'!$C:$BQ,52,0)</f>
        <v>#N/A</v>
      </c>
      <c r="AS151" s="115" t="e">
        <f>VLOOKUP($A151,'S48'!$C:$BQ,59,0)</f>
        <v>#N/A</v>
      </c>
      <c r="AT151" s="115" t="e">
        <f>VLOOKUP($A151,'S48'!$C:$BQ,60,0)</f>
        <v>#N/A</v>
      </c>
      <c r="AU151" s="107" t="e">
        <f>VLOOKUP($A151,'S49'!$C:$BQ,32,0)</f>
        <v>#N/A</v>
      </c>
      <c r="AV151" s="107" t="e">
        <f>VLOOKUP($A151,'S49'!$C:$BQ,39,0)</f>
        <v>#N/A</v>
      </c>
      <c r="AW151" s="107" t="e">
        <f>VLOOKUP($A151,'S49'!$C:$BQ,40,0)</f>
        <v>#N/A</v>
      </c>
      <c r="AX151" s="107" t="e">
        <f>VLOOKUP($A151,'S49'!$C:$BQ,22,0)</f>
        <v>#N/A</v>
      </c>
      <c r="AY151" s="115" t="e">
        <f>VLOOKUP($A151,'S49'!$C:$BQ,29,0)</f>
        <v>#N/A</v>
      </c>
      <c r="AZ151" s="115" t="e">
        <f>VLOOKUP($A151,'S49'!$C:$BQ,30,0)</f>
        <v>#N/A</v>
      </c>
      <c r="BA151" s="115" t="e">
        <f>VLOOKUP($A151,'S49'!$C:$BQ,52,0)</f>
        <v>#N/A</v>
      </c>
      <c r="BB151" s="115" t="e">
        <f>VLOOKUP($A151,'S49'!$C:$BQ,59,0)</f>
        <v>#N/A</v>
      </c>
      <c r="BC151" s="115" t="e">
        <f>VLOOKUP($A151,'S49'!$C:$BQ,60,0)</f>
        <v>#N/A</v>
      </c>
      <c r="BD151" s="107" t="e">
        <f>VLOOKUP($A151,'S50'!$C:$BQ,32,0)</f>
        <v>#N/A</v>
      </c>
      <c r="BE151" s="107" t="e">
        <f>VLOOKUP($A151,'S50'!$C:$BQ,39,0)</f>
        <v>#N/A</v>
      </c>
      <c r="BF151" s="107" t="e">
        <f>VLOOKUP($A151,'S50'!$C:$BQ,40,0)</f>
        <v>#N/A</v>
      </c>
      <c r="BG151" s="107" t="e">
        <f>VLOOKUP($A151,'S50'!$C:$BQ,22,0)</f>
        <v>#N/A</v>
      </c>
      <c r="BH151" s="115" t="e">
        <f>VLOOKUP($A151,'S50'!$C:$BQ,29,0)</f>
        <v>#N/A</v>
      </c>
      <c r="BI151" s="115" t="e">
        <f>VLOOKUP($A151,'S50'!$C:$BQ,30,0)</f>
        <v>#N/A</v>
      </c>
      <c r="BJ151" s="115" t="e">
        <f>VLOOKUP($A151,'S50'!$C:$BQ,52,0)</f>
        <v>#N/A</v>
      </c>
      <c r="BK151" s="115" t="e">
        <f>VLOOKUP($A151,'S50'!$C:$BQ,59,0)</f>
        <v>#N/A</v>
      </c>
      <c r="BL151" s="115" t="e">
        <f>VLOOKUP($A151,'S50'!$C:$BQ,60,0)</f>
        <v>#N/A</v>
      </c>
    </row>
    <row r="152" spans="1:64" x14ac:dyDescent="0.2">
      <c r="A152" s="106" t="s">
        <v>217</v>
      </c>
      <c r="B152" s="107">
        <f>VLOOKUP($A152,'S0 remplacer avec S44'!$C:$BQ,32,0)</f>
        <v>227.1</v>
      </c>
      <c r="C152" s="107">
        <f>VLOOKUP($A152,'S0 remplacer avec S44'!$C:$BQ,39,0)</f>
        <v>83</v>
      </c>
      <c r="D152" s="107">
        <f>VLOOKUP($A152,'S0 remplacer avec S44'!$C:$BQ,40,0)</f>
        <v>145</v>
      </c>
      <c r="E152" s="107">
        <f>VLOOKUP($A152,'S0 remplacer avec S44'!$C:$BQ,22,0)</f>
        <v>2704.2968249999999</v>
      </c>
      <c r="F152" s="115">
        <f>VLOOKUP($A152,'S0 remplacer avec S44'!$C:$BQ,29,0)</f>
        <v>110</v>
      </c>
      <c r="G152" s="115">
        <f>VLOOKUP($A152,'S0 remplacer avec S44'!$C:$BQ,30,0)</f>
        <v>673</v>
      </c>
      <c r="H152" s="115">
        <f>VLOOKUP($A152,'S0 remplacer avec S44'!$C:$BQ,52,0)</f>
        <v>168.4</v>
      </c>
      <c r="I152" s="115">
        <f>VLOOKUP($A152,'S0 remplacer avec S44'!$C:$BQ,59,0)</f>
        <v>0</v>
      </c>
      <c r="J152" s="115">
        <f>VLOOKUP($A152,'S0 remplacer avec S44'!$C:$BQ,60,0)</f>
        <v>21</v>
      </c>
      <c r="K152" s="107" t="e">
        <f>VLOOKUP($A152,'S45'!$C:$BQ,32,0)</f>
        <v>#N/A</v>
      </c>
      <c r="L152" s="107" t="e">
        <f>VLOOKUP($A152,'S45'!$C:$BQ,39,0)</f>
        <v>#N/A</v>
      </c>
      <c r="M152" s="107" t="e">
        <f>VLOOKUP($A152,'S45'!$C:$BQ,40,0)</f>
        <v>#N/A</v>
      </c>
      <c r="N152" s="107" t="e">
        <f>VLOOKUP($A152,'S45'!$C:$BQ,22,0)</f>
        <v>#N/A</v>
      </c>
      <c r="O152" s="115" t="e">
        <f>VLOOKUP($A152,'S45'!$C:$BQ,29,0)</f>
        <v>#N/A</v>
      </c>
      <c r="P152" s="115" t="e">
        <f>VLOOKUP($A152,'S45'!$C:$BQ,30,0)</f>
        <v>#N/A</v>
      </c>
      <c r="Q152" s="115" t="e">
        <f>VLOOKUP($A152,'S45'!$C:$BQ,52,0)</f>
        <v>#N/A</v>
      </c>
      <c r="R152" s="115" t="e">
        <f>VLOOKUP($A152,'S45'!$C:$BQ,59,0)</f>
        <v>#N/A</v>
      </c>
      <c r="S152" s="115" t="e">
        <f>VLOOKUP($A152,'S45'!$C:$BQ,60,0)</f>
        <v>#N/A</v>
      </c>
      <c r="T152" s="107" t="e">
        <f>VLOOKUP($A152,'S46'!$C:$BQ,32,0)</f>
        <v>#N/A</v>
      </c>
      <c r="U152" s="107" t="e">
        <f>VLOOKUP($A152,'S46'!$C:$BQ,39,0)</f>
        <v>#N/A</v>
      </c>
      <c r="V152" s="107" t="e">
        <f>VLOOKUP($A152,'S46'!$C:$BQ,40,0)</f>
        <v>#N/A</v>
      </c>
      <c r="W152" s="107" t="e">
        <f>VLOOKUP($A152,'S46'!$C:$BQ,22,0)</f>
        <v>#N/A</v>
      </c>
      <c r="X152" s="115" t="e">
        <f>VLOOKUP($A152,'S46'!$C:$BQ,29,0)</f>
        <v>#N/A</v>
      </c>
      <c r="Y152" s="115" t="e">
        <f>VLOOKUP($A152,'S46'!$C:$BQ,30,0)</f>
        <v>#N/A</v>
      </c>
      <c r="Z152" s="115" t="e">
        <f>VLOOKUP($A152,'S46'!$C:$BQ,52,0)</f>
        <v>#N/A</v>
      </c>
      <c r="AA152" s="115" t="e">
        <f>VLOOKUP($A152,'S46'!$C:$BQ,59,0)</f>
        <v>#N/A</v>
      </c>
      <c r="AB152" s="115" t="e">
        <f>VLOOKUP($A152,'S46'!$C:$BQ,60,0)</f>
        <v>#N/A</v>
      </c>
      <c r="AC152" s="107" t="e">
        <f>VLOOKUP($A152,'S47'!$C:$BQ,32,0)</f>
        <v>#N/A</v>
      </c>
      <c r="AD152" s="107" t="e">
        <f>VLOOKUP($A152,'S47'!$C:$BQ,39,0)</f>
        <v>#N/A</v>
      </c>
      <c r="AE152" s="107" t="e">
        <f>VLOOKUP($A152,'S47'!$C:$BQ,40,0)</f>
        <v>#N/A</v>
      </c>
      <c r="AF152" s="107" t="e">
        <f>VLOOKUP($A152,'S47'!$C:$BQ,22,0)</f>
        <v>#N/A</v>
      </c>
      <c r="AG152" s="115" t="e">
        <f>VLOOKUP($A152,'S47'!$C:$BQ,29,0)</f>
        <v>#N/A</v>
      </c>
      <c r="AH152" s="115" t="e">
        <f>VLOOKUP($A152,'S47'!$C:$BQ,30,0)</f>
        <v>#N/A</v>
      </c>
      <c r="AI152" s="115" t="e">
        <f>VLOOKUP($A152,'S47'!$C:$BQ,52,0)</f>
        <v>#N/A</v>
      </c>
      <c r="AJ152" s="115" t="e">
        <f>VLOOKUP($A152,'S47'!$C:$BQ,59,0)</f>
        <v>#N/A</v>
      </c>
      <c r="AK152" s="115" t="e">
        <f>VLOOKUP($A152,'S47'!$C:$BQ,60,0)</f>
        <v>#N/A</v>
      </c>
      <c r="AL152" s="107" t="e">
        <f>VLOOKUP($A152,'S48'!$C:$BQ,32,0)</f>
        <v>#N/A</v>
      </c>
      <c r="AM152" s="107" t="e">
        <f>VLOOKUP($A152,'S48'!$C:$BQ,39,0)</f>
        <v>#N/A</v>
      </c>
      <c r="AN152" s="107" t="e">
        <f>VLOOKUP($A152,'S48'!$C:$BQ,40,0)</f>
        <v>#N/A</v>
      </c>
      <c r="AO152" s="107" t="e">
        <f>VLOOKUP($A152,'S48'!$C:$BQ,22,0)</f>
        <v>#N/A</v>
      </c>
      <c r="AP152" s="115" t="e">
        <f>VLOOKUP($A152,'S48'!$C:$BQ,29,0)</f>
        <v>#N/A</v>
      </c>
      <c r="AQ152" s="115" t="e">
        <f>VLOOKUP($A152,'S48'!$C:$BQ,30,0)</f>
        <v>#N/A</v>
      </c>
      <c r="AR152" s="115" t="e">
        <f>VLOOKUP($A152,'S48'!$C:$BQ,52,0)</f>
        <v>#N/A</v>
      </c>
      <c r="AS152" s="115" t="e">
        <f>VLOOKUP($A152,'S48'!$C:$BQ,59,0)</f>
        <v>#N/A</v>
      </c>
      <c r="AT152" s="115" t="e">
        <f>VLOOKUP($A152,'S48'!$C:$BQ,60,0)</f>
        <v>#N/A</v>
      </c>
      <c r="AU152" s="107" t="e">
        <f>VLOOKUP($A152,'S49'!$C:$BQ,32,0)</f>
        <v>#N/A</v>
      </c>
      <c r="AV152" s="107" t="e">
        <f>VLOOKUP($A152,'S49'!$C:$BQ,39,0)</f>
        <v>#N/A</v>
      </c>
      <c r="AW152" s="107" t="e">
        <f>VLOOKUP($A152,'S49'!$C:$BQ,40,0)</f>
        <v>#N/A</v>
      </c>
      <c r="AX152" s="107" t="e">
        <f>VLOOKUP($A152,'S49'!$C:$BQ,22,0)</f>
        <v>#N/A</v>
      </c>
      <c r="AY152" s="115" t="e">
        <f>VLOOKUP($A152,'S49'!$C:$BQ,29,0)</f>
        <v>#N/A</v>
      </c>
      <c r="AZ152" s="115" t="e">
        <f>VLOOKUP($A152,'S49'!$C:$BQ,30,0)</f>
        <v>#N/A</v>
      </c>
      <c r="BA152" s="115" t="e">
        <f>VLOOKUP($A152,'S49'!$C:$BQ,52,0)</f>
        <v>#N/A</v>
      </c>
      <c r="BB152" s="115" t="e">
        <f>VLOOKUP($A152,'S49'!$C:$BQ,59,0)</f>
        <v>#N/A</v>
      </c>
      <c r="BC152" s="115" t="e">
        <f>VLOOKUP($A152,'S49'!$C:$BQ,60,0)</f>
        <v>#N/A</v>
      </c>
      <c r="BD152" s="107" t="e">
        <f>VLOOKUP($A152,'S50'!$C:$BQ,32,0)</f>
        <v>#N/A</v>
      </c>
      <c r="BE152" s="107" t="e">
        <f>VLOOKUP($A152,'S50'!$C:$BQ,39,0)</f>
        <v>#N/A</v>
      </c>
      <c r="BF152" s="107" t="e">
        <f>VLOOKUP($A152,'S50'!$C:$BQ,40,0)</f>
        <v>#N/A</v>
      </c>
      <c r="BG152" s="107" t="e">
        <f>VLOOKUP($A152,'S50'!$C:$BQ,22,0)</f>
        <v>#N/A</v>
      </c>
      <c r="BH152" s="115" t="e">
        <f>VLOOKUP($A152,'S50'!$C:$BQ,29,0)</f>
        <v>#N/A</v>
      </c>
      <c r="BI152" s="115" t="e">
        <f>VLOOKUP($A152,'S50'!$C:$BQ,30,0)</f>
        <v>#N/A</v>
      </c>
      <c r="BJ152" s="115" t="e">
        <f>VLOOKUP($A152,'S50'!$C:$BQ,52,0)</f>
        <v>#N/A</v>
      </c>
      <c r="BK152" s="115" t="e">
        <f>VLOOKUP($A152,'S50'!$C:$BQ,59,0)</f>
        <v>#N/A</v>
      </c>
      <c r="BL152" s="115" t="e">
        <f>VLOOKUP($A152,'S50'!$C:$BQ,60,0)</f>
        <v>#N/A</v>
      </c>
    </row>
    <row r="153" spans="1:64" x14ac:dyDescent="0.2">
      <c r="A153" s="106" t="s">
        <v>218</v>
      </c>
      <c r="B153" s="107">
        <f>VLOOKUP($A153,'S0 remplacer avec S44'!$C:$BQ,32,0)</f>
        <v>159.30000000000001</v>
      </c>
      <c r="C153" s="107">
        <f>VLOOKUP($A153,'S0 remplacer avec S44'!$C:$BQ,39,0)</f>
        <v>18</v>
      </c>
      <c r="D153" s="107">
        <f>VLOOKUP($A153,'S0 remplacer avec S44'!$C:$BQ,40,0)</f>
        <v>53</v>
      </c>
      <c r="E153" s="107">
        <f>VLOOKUP($A153,'S0 remplacer avec S44'!$C:$BQ,22,0)</f>
        <v>1678.0413550000001</v>
      </c>
      <c r="F153" s="115">
        <f>VLOOKUP($A153,'S0 remplacer avec S44'!$C:$BQ,29,0)</f>
        <v>0</v>
      </c>
      <c r="G153" s="115">
        <f>VLOOKUP($A153,'S0 remplacer avec S44'!$C:$BQ,30,0)</f>
        <v>253</v>
      </c>
      <c r="H153" s="115">
        <f>VLOOKUP($A153,'S0 remplacer avec S44'!$C:$BQ,52,0)</f>
        <v>174.2</v>
      </c>
      <c r="I153" s="115">
        <f>VLOOKUP($A153,'S0 remplacer avec S44'!$C:$BQ,59,0)</f>
        <v>0</v>
      </c>
      <c r="J153" s="115">
        <f>VLOOKUP($A153,'S0 remplacer avec S44'!$C:$BQ,60,0)</f>
        <v>0</v>
      </c>
      <c r="K153" s="107" t="e">
        <f>VLOOKUP($A153,'S45'!$C:$BQ,32,0)</f>
        <v>#N/A</v>
      </c>
      <c r="L153" s="107" t="e">
        <f>VLOOKUP($A153,'S45'!$C:$BQ,39,0)</f>
        <v>#N/A</v>
      </c>
      <c r="M153" s="107" t="e">
        <f>VLOOKUP($A153,'S45'!$C:$BQ,40,0)</f>
        <v>#N/A</v>
      </c>
      <c r="N153" s="107" t="e">
        <f>VLOOKUP($A153,'S45'!$C:$BQ,22,0)</f>
        <v>#N/A</v>
      </c>
      <c r="O153" s="115" t="e">
        <f>VLOOKUP($A153,'S45'!$C:$BQ,29,0)</f>
        <v>#N/A</v>
      </c>
      <c r="P153" s="115" t="e">
        <f>VLOOKUP($A153,'S45'!$C:$BQ,30,0)</f>
        <v>#N/A</v>
      </c>
      <c r="Q153" s="115" t="e">
        <f>VLOOKUP($A153,'S45'!$C:$BQ,52,0)</f>
        <v>#N/A</v>
      </c>
      <c r="R153" s="115" t="e">
        <f>VLOOKUP($A153,'S45'!$C:$BQ,59,0)</f>
        <v>#N/A</v>
      </c>
      <c r="S153" s="115" t="e">
        <f>VLOOKUP($A153,'S45'!$C:$BQ,60,0)</f>
        <v>#N/A</v>
      </c>
      <c r="T153" s="107" t="e">
        <f>VLOOKUP($A153,'S46'!$C:$BQ,32,0)</f>
        <v>#N/A</v>
      </c>
      <c r="U153" s="107" t="e">
        <f>VLOOKUP($A153,'S46'!$C:$BQ,39,0)</f>
        <v>#N/A</v>
      </c>
      <c r="V153" s="107" t="e">
        <f>VLOOKUP($A153,'S46'!$C:$BQ,40,0)</f>
        <v>#N/A</v>
      </c>
      <c r="W153" s="107" t="e">
        <f>VLOOKUP($A153,'S46'!$C:$BQ,22,0)</f>
        <v>#N/A</v>
      </c>
      <c r="X153" s="115" t="e">
        <f>VLOOKUP($A153,'S46'!$C:$BQ,29,0)</f>
        <v>#N/A</v>
      </c>
      <c r="Y153" s="115" t="e">
        <f>VLOOKUP($A153,'S46'!$C:$BQ,30,0)</f>
        <v>#N/A</v>
      </c>
      <c r="Z153" s="115" t="e">
        <f>VLOOKUP($A153,'S46'!$C:$BQ,52,0)</f>
        <v>#N/A</v>
      </c>
      <c r="AA153" s="115" t="e">
        <f>VLOOKUP($A153,'S46'!$C:$BQ,59,0)</f>
        <v>#N/A</v>
      </c>
      <c r="AB153" s="115" t="e">
        <f>VLOOKUP($A153,'S46'!$C:$BQ,60,0)</f>
        <v>#N/A</v>
      </c>
      <c r="AC153" s="107" t="e">
        <f>VLOOKUP($A153,'S47'!$C:$BQ,32,0)</f>
        <v>#N/A</v>
      </c>
      <c r="AD153" s="107" t="e">
        <f>VLOOKUP($A153,'S47'!$C:$BQ,39,0)</f>
        <v>#N/A</v>
      </c>
      <c r="AE153" s="107" t="e">
        <f>VLOOKUP($A153,'S47'!$C:$BQ,40,0)</f>
        <v>#N/A</v>
      </c>
      <c r="AF153" s="107" t="e">
        <f>VLOOKUP($A153,'S47'!$C:$BQ,22,0)</f>
        <v>#N/A</v>
      </c>
      <c r="AG153" s="115" t="e">
        <f>VLOOKUP($A153,'S47'!$C:$BQ,29,0)</f>
        <v>#N/A</v>
      </c>
      <c r="AH153" s="115" t="e">
        <f>VLOOKUP($A153,'S47'!$C:$BQ,30,0)</f>
        <v>#N/A</v>
      </c>
      <c r="AI153" s="115" t="e">
        <f>VLOOKUP($A153,'S47'!$C:$BQ,52,0)</f>
        <v>#N/A</v>
      </c>
      <c r="AJ153" s="115" t="e">
        <f>VLOOKUP($A153,'S47'!$C:$BQ,59,0)</f>
        <v>#N/A</v>
      </c>
      <c r="AK153" s="115" t="e">
        <f>VLOOKUP($A153,'S47'!$C:$BQ,60,0)</f>
        <v>#N/A</v>
      </c>
      <c r="AL153" s="107" t="e">
        <f>VLOOKUP($A153,'S48'!$C:$BQ,32,0)</f>
        <v>#N/A</v>
      </c>
      <c r="AM153" s="107" t="e">
        <f>VLOOKUP($A153,'S48'!$C:$BQ,39,0)</f>
        <v>#N/A</v>
      </c>
      <c r="AN153" s="107" t="e">
        <f>VLOOKUP($A153,'S48'!$C:$BQ,40,0)</f>
        <v>#N/A</v>
      </c>
      <c r="AO153" s="107" t="e">
        <f>VLOOKUP($A153,'S48'!$C:$BQ,22,0)</f>
        <v>#N/A</v>
      </c>
      <c r="AP153" s="115" t="e">
        <f>VLOOKUP($A153,'S48'!$C:$BQ,29,0)</f>
        <v>#N/A</v>
      </c>
      <c r="AQ153" s="115" t="e">
        <f>VLOOKUP($A153,'S48'!$C:$BQ,30,0)</f>
        <v>#N/A</v>
      </c>
      <c r="AR153" s="115" t="e">
        <f>VLOOKUP($A153,'S48'!$C:$BQ,52,0)</f>
        <v>#N/A</v>
      </c>
      <c r="AS153" s="115" t="e">
        <f>VLOOKUP($A153,'S48'!$C:$BQ,59,0)</f>
        <v>#N/A</v>
      </c>
      <c r="AT153" s="115" t="e">
        <f>VLOOKUP($A153,'S48'!$C:$BQ,60,0)</f>
        <v>#N/A</v>
      </c>
      <c r="AU153" s="107" t="e">
        <f>VLOOKUP($A153,'S49'!$C:$BQ,32,0)</f>
        <v>#N/A</v>
      </c>
      <c r="AV153" s="107" t="e">
        <f>VLOOKUP($A153,'S49'!$C:$BQ,39,0)</f>
        <v>#N/A</v>
      </c>
      <c r="AW153" s="107" t="e">
        <f>VLOOKUP($A153,'S49'!$C:$BQ,40,0)</f>
        <v>#N/A</v>
      </c>
      <c r="AX153" s="107" t="e">
        <f>VLOOKUP($A153,'S49'!$C:$BQ,22,0)</f>
        <v>#N/A</v>
      </c>
      <c r="AY153" s="115" t="e">
        <f>VLOOKUP($A153,'S49'!$C:$BQ,29,0)</f>
        <v>#N/A</v>
      </c>
      <c r="AZ153" s="115" t="e">
        <f>VLOOKUP($A153,'S49'!$C:$BQ,30,0)</f>
        <v>#N/A</v>
      </c>
      <c r="BA153" s="115" t="e">
        <f>VLOOKUP($A153,'S49'!$C:$BQ,52,0)</f>
        <v>#N/A</v>
      </c>
      <c r="BB153" s="115" t="e">
        <f>VLOOKUP($A153,'S49'!$C:$BQ,59,0)</f>
        <v>#N/A</v>
      </c>
      <c r="BC153" s="115" t="e">
        <f>VLOOKUP($A153,'S49'!$C:$BQ,60,0)</f>
        <v>#N/A</v>
      </c>
      <c r="BD153" s="107" t="e">
        <f>VLOOKUP($A153,'S50'!$C:$BQ,32,0)</f>
        <v>#N/A</v>
      </c>
      <c r="BE153" s="107" t="e">
        <f>VLOOKUP($A153,'S50'!$C:$BQ,39,0)</f>
        <v>#N/A</v>
      </c>
      <c r="BF153" s="107" t="e">
        <f>VLOOKUP($A153,'S50'!$C:$BQ,40,0)</f>
        <v>#N/A</v>
      </c>
      <c r="BG153" s="107" t="e">
        <f>VLOOKUP($A153,'S50'!$C:$BQ,22,0)</f>
        <v>#N/A</v>
      </c>
      <c r="BH153" s="115" t="e">
        <f>VLOOKUP($A153,'S50'!$C:$BQ,29,0)</f>
        <v>#N/A</v>
      </c>
      <c r="BI153" s="115" t="e">
        <f>VLOOKUP($A153,'S50'!$C:$BQ,30,0)</f>
        <v>#N/A</v>
      </c>
      <c r="BJ153" s="115" t="e">
        <f>VLOOKUP($A153,'S50'!$C:$BQ,52,0)</f>
        <v>#N/A</v>
      </c>
      <c r="BK153" s="115" t="e">
        <f>VLOOKUP($A153,'S50'!$C:$BQ,59,0)</f>
        <v>#N/A</v>
      </c>
      <c r="BL153" s="115" t="e">
        <f>VLOOKUP($A153,'S50'!$C:$BQ,60,0)</f>
        <v>#N/A</v>
      </c>
    </row>
    <row r="154" spans="1:64" x14ac:dyDescent="0.2">
      <c r="A154" s="106" t="s">
        <v>219</v>
      </c>
      <c r="B154" s="107">
        <f>VLOOKUP($A154,'S0 remplacer avec S44'!$C:$BQ,32,0)</f>
        <v>450.8</v>
      </c>
      <c r="C154" s="107">
        <f>VLOOKUP($A154,'S0 remplacer avec S44'!$C:$BQ,39,0)</f>
        <v>63</v>
      </c>
      <c r="D154" s="107">
        <f>VLOOKUP($A154,'S0 remplacer avec S44'!$C:$BQ,40,0)</f>
        <v>165</v>
      </c>
      <c r="E154" s="107">
        <f>VLOOKUP($A154,'S0 remplacer avec S44'!$C:$BQ,22,0)</f>
        <v>4645.95856</v>
      </c>
      <c r="F154" s="115">
        <f>VLOOKUP($A154,'S0 remplacer avec S44'!$C:$BQ,29,0)</f>
        <v>22</v>
      </c>
      <c r="G154" s="115">
        <f>VLOOKUP($A154,'S0 remplacer avec S44'!$C:$BQ,30,0)</f>
        <v>955</v>
      </c>
      <c r="H154" s="115">
        <f>VLOOKUP($A154,'S0 remplacer avec S44'!$C:$BQ,52,0)</f>
        <v>310.2</v>
      </c>
      <c r="I154" s="115">
        <f>VLOOKUP($A154,'S0 remplacer avec S44'!$C:$BQ,59,0)</f>
        <v>0</v>
      </c>
      <c r="J154" s="115">
        <f>VLOOKUP($A154,'S0 remplacer avec S44'!$C:$BQ,60,0)</f>
        <v>3</v>
      </c>
      <c r="K154" s="107" t="e">
        <f>VLOOKUP($A154,'S45'!$C:$BQ,32,0)</f>
        <v>#N/A</v>
      </c>
      <c r="L154" s="107" t="e">
        <f>VLOOKUP($A154,'S45'!$C:$BQ,39,0)</f>
        <v>#N/A</v>
      </c>
      <c r="M154" s="107" t="e">
        <f>VLOOKUP($A154,'S45'!$C:$BQ,40,0)</f>
        <v>#N/A</v>
      </c>
      <c r="N154" s="107" t="e">
        <f>VLOOKUP($A154,'S45'!$C:$BQ,22,0)</f>
        <v>#N/A</v>
      </c>
      <c r="O154" s="115" t="e">
        <f>VLOOKUP($A154,'S45'!$C:$BQ,29,0)</f>
        <v>#N/A</v>
      </c>
      <c r="P154" s="115" t="e">
        <f>VLOOKUP($A154,'S45'!$C:$BQ,30,0)</f>
        <v>#N/A</v>
      </c>
      <c r="Q154" s="115" t="e">
        <f>VLOOKUP($A154,'S45'!$C:$BQ,52,0)</f>
        <v>#N/A</v>
      </c>
      <c r="R154" s="115" t="e">
        <f>VLOOKUP($A154,'S45'!$C:$BQ,59,0)</f>
        <v>#N/A</v>
      </c>
      <c r="S154" s="115" t="e">
        <f>VLOOKUP($A154,'S45'!$C:$BQ,60,0)</f>
        <v>#N/A</v>
      </c>
      <c r="T154" s="107" t="e">
        <f>VLOOKUP($A154,'S46'!$C:$BQ,32,0)</f>
        <v>#N/A</v>
      </c>
      <c r="U154" s="107" t="e">
        <f>VLOOKUP($A154,'S46'!$C:$BQ,39,0)</f>
        <v>#N/A</v>
      </c>
      <c r="V154" s="107" t="e">
        <f>VLOOKUP($A154,'S46'!$C:$BQ,40,0)</f>
        <v>#N/A</v>
      </c>
      <c r="W154" s="107" t="e">
        <f>VLOOKUP($A154,'S46'!$C:$BQ,22,0)</f>
        <v>#N/A</v>
      </c>
      <c r="X154" s="115" t="e">
        <f>VLOOKUP($A154,'S46'!$C:$BQ,29,0)</f>
        <v>#N/A</v>
      </c>
      <c r="Y154" s="115" t="e">
        <f>VLOOKUP($A154,'S46'!$C:$BQ,30,0)</f>
        <v>#N/A</v>
      </c>
      <c r="Z154" s="115" t="e">
        <f>VLOOKUP($A154,'S46'!$C:$BQ,52,0)</f>
        <v>#N/A</v>
      </c>
      <c r="AA154" s="115" t="e">
        <f>VLOOKUP($A154,'S46'!$C:$BQ,59,0)</f>
        <v>#N/A</v>
      </c>
      <c r="AB154" s="115" t="e">
        <f>VLOOKUP($A154,'S46'!$C:$BQ,60,0)</f>
        <v>#N/A</v>
      </c>
      <c r="AC154" s="107" t="e">
        <f>VLOOKUP($A154,'S47'!$C:$BQ,32,0)</f>
        <v>#N/A</v>
      </c>
      <c r="AD154" s="107" t="e">
        <f>VLOOKUP($A154,'S47'!$C:$BQ,39,0)</f>
        <v>#N/A</v>
      </c>
      <c r="AE154" s="107" t="e">
        <f>VLOOKUP($A154,'S47'!$C:$BQ,40,0)</f>
        <v>#N/A</v>
      </c>
      <c r="AF154" s="107" t="e">
        <f>VLOOKUP($A154,'S47'!$C:$BQ,22,0)</f>
        <v>#N/A</v>
      </c>
      <c r="AG154" s="115" t="e">
        <f>VLOOKUP($A154,'S47'!$C:$BQ,29,0)</f>
        <v>#N/A</v>
      </c>
      <c r="AH154" s="115" t="e">
        <f>VLOOKUP($A154,'S47'!$C:$BQ,30,0)</f>
        <v>#N/A</v>
      </c>
      <c r="AI154" s="115" t="e">
        <f>VLOOKUP($A154,'S47'!$C:$BQ,52,0)</f>
        <v>#N/A</v>
      </c>
      <c r="AJ154" s="115" t="e">
        <f>VLOOKUP($A154,'S47'!$C:$BQ,59,0)</f>
        <v>#N/A</v>
      </c>
      <c r="AK154" s="115" t="e">
        <f>VLOOKUP($A154,'S47'!$C:$BQ,60,0)</f>
        <v>#N/A</v>
      </c>
      <c r="AL154" s="107" t="e">
        <f>VLOOKUP($A154,'S48'!$C:$BQ,32,0)</f>
        <v>#N/A</v>
      </c>
      <c r="AM154" s="107" t="e">
        <f>VLOOKUP($A154,'S48'!$C:$BQ,39,0)</f>
        <v>#N/A</v>
      </c>
      <c r="AN154" s="107" t="e">
        <f>VLOOKUP($A154,'S48'!$C:$BQ,40,0)</f>
        <v>#N/A</v>
      </c>
      <c r="AO154" s="107" t="e">
        <f>VLOOKUP($A154,'S48'!$C:$BQ,22,0)</f>
        <v>#N/A</v>
      </c>
      <c r="AP154" s="115" t="e">
        <f>VLOOKUP($A154,'S48'!$C:$BQ,29,0)</f>
        <v>#N/A</v>
      </c>
      <c r="AQ154" s="115" t="e">
        <f>VLOOKUP($A154,'S48'!$C:$BQ,30,0)</f>
        <v>#N/A</v>
      </c>
      <c r="AR154" s="115" t="e">
        <f>VLOOKUP($A154,'S48'!$C:$BQ,52,0)</f>
        <v>#N/A</v>
      </c>
      <c r="AS154" s="115" t="e">
        <f>VLOOKUP($A154,'S48'!$C:$BQ,59,0)</f>
        <v>#N/A</v>
      </c>
      <c r="AT154" s="115" t="e">
        <f>VLOOKUP($A154,'S48'!$C:$BQ,60,0)</f>
        <v>#N/A</v>
      </c>
      <c r="AU154" s="107" t="e">
        <f>VLOOKUP($A154,'S49'!$C:$BQ,32,0)</f>
        <v>#N/A</v>
      </c>
      <c r="AV154" s="107" t="e">
        <f>VLOOKUP($A154,'S49'!$C:$BQ,39,0)</f>
        <v>#N/A</v>
      </c>
      <c r="AW154" s="107" t="e">
        <f>VLOOKUP($A154,'S49'!$C:$BQ,40,0)</f>
        <v>#N/A</v>
      </c>
      <c r="AX154" s="107" t="e">
        <f>VLOOKUP($A154,'S49'!$C:$BQ,22,0)</f>
        <v>#N/A</v>
      </c>
      <c r="AY154" s="115" t="e">
        <f>VLOOKUP($A154,'S49'!$C:$BQ,29,0)</f>
        <v>#N/A</v>
      </c>
      <c r="AZ154" s="115" t="e">
        <f>VLOOKUP($A154,'S49'!$C:$BQ,30,0)</f>
        <v>#N/A</v>
      </c>
      <c r="BA154" s="115" t="e">
        <f>VLOOKUP($A154,'S49'!$C:$BQ,52,0)</f>
        <v>#N/A</v>
      </c>
      <c r="BB154" s="115" t="e">
        <f>VLOOKUP($A154,'S49'!$C:$BQ,59,0)</f>
        <v>#N/A</v>
      </c>
      <c r="BC154" s="115" t="e">
        <f>VLOOKUP($A154,'S49'!$C:$BQ,60,0)</f>
        <v>#N/A</v>
      </c>
      <c r="BD154" s="107" t="e">
        <f>VLOOKUP($A154,'S50'!$C:$BQ,32,0)</f>
        <v>#N/A</v>
      </c>
      <c r="BE154" s="107" t="e">
        <f>VLOOKUP($A154,'S50'!$C:$BQ,39,0)</f>
        <v>#N/A</v>
      </c>
      <c r="BF154" s="107" t="e">
        <f>VLOOKUP($A154,'S50'!$C:$BQ,40,0)</f>
        <v>#N/A</v>
      </c>
      <c r="BG154" s="107" t="e">
        <f>VLOOKUP($A154,'S50'!$C:$BQ,22,0)</f>
        <v>#N/A</v>
      </c>
      <c r="BH154" s="115" t="e">
        <f>VLOOKUP($A154,'S50'!$C:$BQ,29,0)</f>
        <v>#N/A</v>
      </c>
      <c r="BI154" s="115" t="e">
        <f>VLOOKUP($A154,'S50'!$C:$BQ,30,0)</f>
        <v>#N/A</v>
      </c>
      <c r="BJ154" s="115" t="e">
        <f>VLOOKUP($A154,'S50'!$C:$BQ,52,0)</f>
        <v>#N/A</v>
      </c>
      <c r="BK154" s="115" t="e">
        <f>VLOOKUP($A154,'S50'!$C:$BQ,59,0)</f>
        <v>#N/A</v>
      </c>
      <c r="BL154" s="115" t="e">
        <f>VLOOKUP($A154,'S50'!$C:$BQ,60,0)</f>
        <v>#N/A</v>
      </c>
    </row>
    <row r="155" spans="1:64" x14ac:dyDescent="0.2">
      <c r="A155" s="106" t="s">
        <v>220</v>
      </c>
      <c r="B155" s="107">
        <f>VLOOKUP($A155,'S0 remplacer avec S44'!$C:$BQ,32,0)</f>
        <v>265.10000000000002</v>
      </c>
      <c r="C155" s="107">
        <f>VLOOKUP($A155,'S0 remplacer avec S44'!$C:$BQ,39,0)</f>
        <v>50</v>
      </c>
      <c r="D155" s="107">
        <f>VLOOKUP($A155,'S0 remplacer avec S44'!$C:$BQ,40,0)</f>
        <v>113</v>
      </c>
      <c r="E155" s="107">
        <f>VLOOKUP($A155,'S0 remplacer avec S44'!$C:$BQ,22,0)</f>
        <v>3229.49251</v>
      </c>
      <c r="F155" s="115">
        <f>VLOOKUP($A155,'S0 remplacer avec S44'!$C:$BQ,29,0)</f>
        <v>0</v>
      </c>
      <c r="G155" s="115">
        <f>VLOOKUP($A155,'S0 remplacer avec S44'!$C:$BQ,30,0)</f>
        <v>203</v>
      </c>
      <c r="H155" s="115">
        <f>VLOOKUP($A155,'S0 remplacer avec S44'!$C:$BQ,52,0)</f>
        <v>224</v>
      </c>
      <c r="I155" s="115">
        <f>VLOOKUP($A155,'S0 remplacer avec S44'!$C:$BQ,59,0)</f>
        <v>0</v>
      </c>
      <c r="J155" s="115">
        <f>VLOOKUP($A155,'S0 remplacer avec S44'!$C:$BQ,60,0)</f>
        <v>0</v>
      </c>
      <c r="K155" s="107" t="e">
        <f>VLOOKUP($A155,'S45'!$C:$BQ,32,0)</f>
        <v>#N/A</v>
      </c>
      <c r="L155" s="107" t="e">
        <f>VLOOKUP($A155,'S45'!$C:$BQ,39,0)</f>
        <v>#N/A</v>
      </c>
      <c r="M155" s="107" t="e">
        <f>VLOOKUP($A155,'S45'!$C:$BQ,40,0)</f>
        <v>#N/A</v>
      </c>
      <c r="N155" s="107" t="e">
        <f>VLOOKUP($A155,'S45'!$C:$BQ,22,0)</f>
        <v>#N/A</v>
      </c>
      <c r="O155" s="115" t="e">
        <f>VLOOKUP($A155,'S45'!$C:$BQ,29,0)</f>
        <v>#N/A</v>
      </c>
      <c r="P155" s="115" t="e">
        <f>VLOOKUP($A155,'S45'!$C:$BQ,30,0)</f>
        <v>#N/A</v>
      </c>
      <c r="Q155" s="115" t="e">
        <f>VLOOKUP($A155,'S45'!$C:$BQ,52,0)</f>
        <v>#N/A</v>
      </c>
      <c r="R155" s="115" t="e">
        <f>VLOOKUP($A155,'S45'!$C:$BQ,59,0)</f>
        <v>#N/A</v>
      </c>
      <c r="S155" s="115" t="e">
        <f>VLOOKUP($A155,'S45'!$C:$BQ,60,0)</f>
        <v>#N/A</v>
      </c>
      <c r="T155" s="107" t="e">
        <f>VLOOKUP($A155,'S46'!$C:$BQ,32,0)</f>
        <v>#N/A</v>
      </c>
      <c r="U155" s="107" t="e">
        <f>VLOOKUP($A155,'S46'!$C:$BQ,39,0)</f>
        <v>#N/A</v>
      </c>
      <c r="V155" s="107" t="e">
        <f>VLOOKUP($A155,'S46'!$C:$BQ,40,0)</f>
        <v>#N/A</v>
      </c>
      <c r="W155" s="107" t="e">
        <f>VLOOKUP($A155,'S46'!$C:$BQ,22,0)</f>
        <v>#N/A</v>
      </c>
      <c r="X155" s="115" t="e">
        <f>VLOOKUP($A155,'S46'!$C:$BQ,29,0)</f>
        <v>#N/A</v>
      </c>
      <c r="Y155" s="115" t="e">
        <f>VLOOKUP($A155,'S46'!$C:$BQ,30,0)</f>
        <v>#N/A</v>
      </c>
      <c r="Z155" s="115" t="e">
        <f>VLOOKUP($A155,'S46'!$C:$BQ,52,0)</f>
        <v>#N/A</v>
      </c>
      <c r="AA155" s="115" t="e">
        <f>VLOOKUP($A155,'S46'!$C:$BQ,59,0)</f>
        <v>#N/A</v>
      </c>
      <c r="AB155" s="115" t="e">
        <f>VLOOKUP($A155,'S46'!$C:$BQ,60,0)</f>
        <v>#N/A</v>
      </c>
      <c r="AC155" s="107" t="e">
        <f>VLOOKUP($A155,'S47'!$C:$BQ,32,0)</f>
        <v>#N/A</v>
      </c>
      <c r="AD155" s="107" t="e">
        <f>VLOOKUP($A155,'S47'!$C:$BQ,39,0)</f>
        <v>#N/A</v>
      </c>
      <c r="AE155" s="107" t="e">
        <f>VLOOKUP($A155,'S47'!$C:$BQ,40,0)</f>
        <v>#N/A</v>
      </c>
      <c r="AF155" s="107" t="e">
        <f>VLOOKUP($A155,'S47'!$C:$BQ,22,0)</f>
        <v>#N/A</v>
      </c>
      <c r="AG155" s="115" t="e">
        <f>VLOOKUP($A155,'S47'!$C:$BQ,29,0)</f>
        <v>#N/A</v>
      </c>
      <c r="AH155" s="115" t="e">
        <f>VLOOKUP($A155,'S47'!$C:$BQ,30,0)</f>
        <v>#N/A</v>
      </c>
      <c r="AI155" s="115" t="e">
        <f>VLOOKUP($A155,'S47'!$C:$BQ,52,0)</f>
        <v>#N/A</v>
      </c>
      <c r="AJ155" s="115" t="e">
        <f>VLOOKUP($A155,'S47'!$C:$BQ,59,0)</f>
        <v>#N/A</v>
      </c>
      <c r="AK155" s="115" t="e">
        <f>VLOOKUP($A155,'S47'!$C:$BQ,60,0)</f>
        <v>#N/A</v>
      </c>
      <c r="AL155" s="107" t="e">
        <f>VLOOKUP($A155,'S48'!$C:$BQ,32,0)</f>
        <v>#N/A</v>
      </c>
      <c r="AM155" s="107" t="e">
        <f>VLOOKUP($A155,'S48'!$C:$BQ,39,0)</f>
        <v>#N/A</v>
      </c>
      <c r="AN155" s="107" t="e">
        <f>VLOOKUP($A155,'S48'!$C:$BQ,40,0)</f>
        <v>#N/A</v>
      </c>
      <c r="AO155" s="107" t="e">
        <f>VLOOKUP($A155,'S48'!$C:$BQ,22,0)</f>
        <v>#N/A</v>
      </c>
      <c r="AP155" s="115" t="e">
        <f>VLOOKUP($A155,'S48'!$C:$BQ,29,0)</f>
        <v>#N/A</v>
      </c>
      <c r="AQ155" s="115" t="e">
        <f>VLOOKUP($A155,'S48'!$C:$BQ,30,0)</f>
        <v>#N/A</v>
      </c>
      <c r="AR155" s="115" t="e">
        <f>VLOOKUP($A155,'S48'!$C:$BQ,52,0)</f>
        <v>#N/A</v>
      </c>
      <c r="AS155" s="115" t="e">
        <f>VLOOKUP($A155,'S48'!$C:$BQ,59,0)</f>
        <v>#N/A</v>
      </c>
      <c r="AT155" s="115" t="e">
        <f>VLOOKUP($A155,'S48'!$C:$BQ,60,0)</f>
        <v>#N/A</v>
      </c>
      <c r="AU155" s="107" t="e">
        <f>VLOOKUP($A155,'S49'!$C:$BQ,32,0)</f>
        <v>#N/A</v>
      </c>
      <c r="AV155" s="107" t="e">
        <f>VLOOKUP($A155,'S49'!$C:$BQ,39,0)</f>
        <v>#N/A</v>
      </c>
      <c r="AW155" s="107" t="e">
        <f>VLOOKUP($A155,'S49'!$C:$BQ,40,0)</f>
        <v>#N/A</v>
      </c>
      <c r="AX155" s="107" t="e">
        <f>VLOOKUP($A155,'S49'!$C:$BQ,22,0)</f>
        <v>#N/A</v>
      </c>
      <c r="AY155" s="115" t="e">
        <f>VLOOKUP($A155,'S49'!$C:$BQ,29,0)</f>
        <v>#N/A</v>
      </c>
      <c r="AZ155" s="115" t="e">
        <f>VLOOKUP($A155,'S49'!$C:$BQ,30,0)</f>
        <v>#N/A</v>
      </c>
      <c r="BA155" s="115" t="e">
        <f>VLOOKUP($A155,'S49'!$C:$BQ,52,0)</f>
        <v>#N/A</v>
      </c>
      <c r="BB155" s="115" t="e">
        <f>VLOOKUP($A155,'S49'!$C:$BQ,59,0)</f>
        <v>#N/A</v>
      </c>
      <c r="BC155" s="115" t="e">
        <f>VLOOKUP($A155,'S49'!$C:$BQ,60,0)</f>
        <v>#N/A</v>
      </c>
      <c r="BD155" s="107" t="e">
        <f>VLOOKUP($A155,'S50'!$C:$BQ,32,0)</f>
        <v>#N/A</v>
      </c>
      <c r="BE155" s="107" t="e">
        <f>VLOOKUP($A155,'S50'!$C:$BQ,39,0)</f>
        <v>#N/A</v>
      </c>
      <c r="BF155" s="107" t="e">
        <f>VLOOKUP($A155,'S50'!$C:$BQ,40,0)</f>
        <v>#N/A</v>
      </c>
      <c r="BG155" s="107" t="e">
        <f>VLOOKUP($A155,'S50'!$C:$BQ,22,0)</f>
        <v>#N/A</v>
      </c>
      <c r="BH155" s="115" t="e">
        <f>VLOOKUP($A155,'S50'!$C:$BQ,29,0)</f>
        <v>#N/A</v>
      </c>
      <c r="BI155" s="115" t="e">
        <f>VLOOKUP($A155,'S50'!$C:$BQ,30,0)</f>
        <v>#N/A</v>
      </c>
      <c r="BJ155" s="115" t="e">
        <f>VLOOKUP($A155,'S50'!$C:$BQ,52,0)</f>
        <v>#N/A</v>
      </c>
      <c r="BK155" s="115" t="e">
        <f>VLOOKUP($A155,'S50'!$C:$BQ,59,0)</f>
        <v>#N/A</v>
      </c>
      <c r="BL155" s="115" t="e">
        <f>VLOOKUP($A155,'S50'!$C:$BQ,60,0)</f>
        <v>#N/A</v>
      </c>
    </row>
    <row r="156" spans="1:64" x14ac:dyDescent="0.2">
      <c r="A156" s="106" t="s">
        <v>223</v>
      </c>
      <c r="B156" s="107">
        <f>VLOOKUP($A156,'S0 remplacer avec S44'!$C:$BQ,32,0)</f>
        <v>116.7</v>
      </c>
      <c r="C156" s="107">
        <f>VLOOKUP($A156,'S0 remplacer avec S44'!$C:$BQ,39,0)</f>
        <v>41</v>
      </c>
      <c r="D156" s="107">
        <f>VLOOKUP($A156,'S0 remplacer avec S44'!$C:$BQ,40,0)</f>
        <v>73</v>
      </c>
      <c r="E156" s="107">
        <f>VLOOKUP($A156,'S0 remplacer avec S44'!$C:$BQ,22,0)</f>
        <v>1372.22606</v>
      </c>
      <c r="F156" s="115">
        <f>VLOOKUP($A156,'S0 remplacer avec S44'!$C:$BQ,29,0)</f>
        <v>62</v>
      </c>
      <c r="G156" s="115">
        <f>VLOOKUP($A156,'S0 remplacer avec S44'!$C:$BQ,30,0)</f>
        <v>349</v>
      </c>
      <c r="H156" s="115">
        <f>VLOOKUP($A156,'S0 remplacer avec S44'!$C:$BQ,52,0)</f>
        <v>54</v>
      </c>
      <c r="I156" s="115">
        <f>VLOOKUP($A156,'S0 remplacer avec S44'!$C:$BQ,59,0)</f>
        <v>27</v>
      </c>
      <c r="J156" s="115">
        <f>VLOOKUP($A156,'S0 remplacer avec S44'!$C:$BQ,60,0)</f>
        <v>43</v>
      </c>
      <c r="K156" s="107" t="e">
        <f>VLOOKUP($A156,'S45'!$C:$BQ,32,0)</f>
        <v>#N/A</v>
      </c>
      <c r="L156" s="107" t="e">
        <f>VLOOKUP($A156,'S45'!$C:$BQ,39,0)</f>
        <v>#N/A</v>
      </c>
      <c r="M156" s="107" t="e">
        <f>VLOOKUP($A156,'S45'!$C:$BQ,40,0)</f>
        <v>#N/A</v>
      </c>
      <c r="N156" s="107" t="e">
        <f>VLOOKUP($A156,'S45'!$C:$BQ,22,0)</f>
        <v>#N/A</v>
      </c>
      <c r="O156" s="115" t="e">
        <f>VLOOKUP($A156,'S45'!$C:$BQ,29,0)</f>
        <v>#N/A</v>
      </c>
      <c r="P156" s="115" t="e">
        <f>VLOOKUP($A156,'S45'!$C:$BQ,30,0)</f>
        <v>#N/A</v>
      </c>
      <c r="Q156" s="115" t="e">
        <f>VLOOKUP($A156,'S45'!$C:$BQ,52,0)</f>
        <v>#N/A</v>
      </c>
      <c r="R156" s="115" t="e">
        <f>VLOOKUP($A156,'S45'!$C:$BQ,59,0)</f>
        <v>#N/A</v>
      </c>
      <c r="S156" s="115" t="e">
        <f>VLOOKUP($A156,'S45'!$C:$BQ,60,0)</f>
        <v>#N/A</v>
      </c>
      <c r="T156" s="107" t="e">
        <f>VLOOKUP($A156,'S46'!$C:$BQ,32,0)</f>
        <v>#N/A</v>
      </c>
      <c r="U156" s="107" t="e">
        <f>VLOOKUP($A156,'S46'!$C:$BQ,39,0)</f>
        <v>#N/A</v>
      </c>
      <c r="V156" s="107" t="e">
        <f>VLOOKUP($A156,'S46'!$C:$BQ,40,0)</f>
        <v>#N/A</v>
      </c>
      <c r="W156" s="107" t="e">
        <f>VLOOKUP($A156,'S46'!$C:$BQ,22,0)</f>
        <v>#N/A</v>
      </c>
      <c r="X156" s="115" t="e">
        <f>VLOOKUP($A156,'S46'!$C:$BQ,29,0)</f>
        <v>#N/A</v>
      </c>
      <c r="Y156" s="115" t="e">
        <f>VLOOKUP($A156,'S46'!$C:$BQ,30,0)</f>
        <v>#N/A</v>
      </c>
      <c r="Z156" s="115" t="e">
        <f>VLOOKUP($A156,'S46'!$C:$BQ,52,0)</f>
        <v>#N/A</v>
      </c>
      <c r="AA156" s="115" t="e">
        <f>VLOOKUP($A156,'S46'!$C:$BQ,59,0)</f>
        <v>#N/A</v>
      </c>
      <c r="AB156" s="115" t="e">
        <f>VLOOKUP($A156,'S46'!$C:$BQ,60,0)</f>
        <v>#N/A</v>
      </c>
      <c r="AC156" s="107" t="e">
        <f>VLOOKUP($A156,'S47'!$C:$BQ,32,0)</f>
        <v>#N/A</v>
      </c>
      <c r="AD156" s="107" t="e">
        <f>VLOOKUP($A156,'S47'!$C:$BQ,39,0)</f>
        <v>#N/A</v>
      </c>
      <c r="AE156" s="107" t="e">
        <f>VLOOKUP($A156,'S47'!$C:$BQ,40,0)</f>
        <v>#N/A</v>
      </c>
      <c r="AF156" s="107" t="e">
        <f>VLOOKUP($A156,'S47'!$C:$BQ,22,0)</f>
        <v>#N/A</v>
      </c>
      <c r="AG156" s="115" t="e">
        <f>VLOOKUP($A156,'S47'!$C:$BQ,29,0)</f>
        <v>#N/A</v>
      </c>
      <c r="AH156" s="115" t="e">
        <f>VLOOKUP($A156,'S47'!$C:$BQ,30,0)</f>
        <v>#N/A</v>
      </c>
      <c r="AI156" s="115" t="e">
        <f>VLOOKUP($A156,'S47'!$C:$BQ,52,0)</f>
        <v>#N/A</v>
      </c>
      <c r="AJ156" s="115" t="e">
        <f>VLOOKUP($A156,'S47'!$C:$BQ,59,0)</f>
        <v>#N/A</v>
      </c>
      <c r="AK156" s="115" t="e">
        <f>VLOOKUP($A156,'S47'!$C:$BQ,60,0)</f>
        <v>#N/A</v>
      </c>
      <c r="AL156" s="107" t="e">
        <f>VLOOKUP($A156,'S48'!$C:$BQ,32,0)</f>
        <v>#N/A</v>
      </c>
      <c r="AM156" s="107" t="e">
        <f>VLOOKUP($A156,'S48'!$C:$BQ,39,0)</f>
        <v>#N/A</v>
      </c>
      <c r="AN156" s="107" t="e">
        <f>VLOOKUP($A156,'S48'!$C:$BQ,40,0)</f>
        <v>#N/A</v>
      </c>
      <c r="AO156" s="107" t="e">
        <f>VLOOKUP($A156,'S48'!$C:$BQ,22,0)</f>
        <v>#N/A</v>
      </c>
      <c r="AP156" s="115" t="e">
        <f>VLOOKUP($A156,'S48'!$C:$BQ,29,0)</f>
        <v>#N/A</v>
      </c>
      <c r="AQ156" s="115" t="e">
        <f>VLOOKUP($A156,'S48'!$C:$BQ,30,0)</f>
        <v>#N/A</v>
      </c>
      <c r="AR156" s="115" t="e">
        <f>VLOOKUP($A156,'S48'!$C:$BQ,52,0)</f>
        <v>#N/A</v>
      </c>
      <c r="AS156" s="115" t="e">
        <f>VLOOKUP($A156,'S48'!$C:$BQ,59,0)</f>
        <v>#N/A</v>
      </c>
      <c r="AT156" s="115" t="e">
        <f>VLOOKUP($A156,'S48'!$C:$BQ,60,0)</f>
        <v>#N/A</v>
      </c>
      <c r="AU156" s="107" t="e">
        <f>VLOOKUP($A156,'S49'!$C:$BQ,32,0)</f>
        <v>#N/A</v>
      </c>
      <c r="AV156" s="107" t="e">
        <f>VLOOKUP($A156,'S49'!$C:$BQ,39,0)</f>
        <v>#N/A</v>
      </c>
      <c r="AW156" s="107" t="e">
        <f>VLOOKUP($A156,'S49'!$C:$BQ,40,0)</f>
        <v>#N/A</v>
      </c>
      <c r="AX156" s="107" t="e">
        <f>VLOOKUP($A156,'S49'!$C:$BQ,22,0)</f>
        <v>#N/A</v>
      </c>
      <c r="AY156" s="115" t="e">
        <f>VLOOKUP($A156,'S49'!$C:$BQ,29,0)</f>
        <v>#N/A</v>
      </c>
      <c r="AZ156" s="115" t="e">
        <f>VLOOKUP($A156,'S49'!$C:$BQ,30,0)</f>
        <v>#N/A</v>
      </c>
      <c r="BA156" s="115" t="e">
        <f>VLOOKUP($A156,'S49'!$C:$BQ,52,0)</f>
        <v>#N/A</v>
      </c>
      <c r="BB156" s="115" t="e">
        <f>VLOOKUP($A156,'S49'!$C:$BQ,59,0)</f>
        <v>#N/A</v>
      </c>
      <c r="BC156" s="115" t="e">
        <f>VLOOKUP($A156,'S49'!$C:$BQ,60,0)</f>
        <v>#N/A</v>
      </c>
      <c r="BD156" s="107" t="e">
        <f>VLOOKUP($A156,'S50'!$C:$BQ,32,0)</f>
        <v>#N/A</v>
      </c>
      <c r="BE156" s="107" t="e">
        <f>VLOOKUP($A156,'S50'!$C:$BQ,39,0)</f>
        <v>#N/A</v>
      </c>
      <c r="BF156" s="107" t="e">
        <f>VLOOKUP($A156,'S50'!$C:$BQ,40,0)</f>
        <v>#N/A</v>
      </c>
      <c r="BG156" s="107" t="e">
        <f>VLOOKUP($A156,'S50'!$C:$BQ,22,0)</f>
        <v>#N/A</v>
      </c>
      <c r="BH156" s="115" t="e">
        <f>VLOOKUP($A156,'S50'!$C:$BQ,29,0)</f>
        <v>#N/A</v>
      </c>
      <c r="BI156" s="115" t="e">
        <f>VLOOKUP($A156,'S50'!$C:$BQ,30,0)</f>
        <v>#N/A</v>
      </c>
      <c r="BJ156" s="115" t="e">
        <f>VLOOKUP($A156,'S50'!$C:$BQ,52,0)</f>
        <v>#N/A</v>
      </c>
      <c r="BK156" s="115" t="e">
        <f>VLOOKUP($A156,'S50'!$C:$BQ,59,0)</f>
        <v>#N/A</v>
      </c>
      <c r="BL156" s="115" t="e">
        <f>VLOOKUP($A156,'S50'!$C:$BQ,60,0)</f>
        <v>#N/A</v>
      </c>
    </row>
    <row r="157" spans="1:64" x14ac:dyDescent="0.2">
      <c r="A157" s="106" t="s">
        <v>224</v>
      </c>
      <c r="B157" s="107">
        <f>VLOOKUP($A157,'S0 remplacer avec S44'!$C:$BQ,32,0)</f>
        <v>71.7</v>
      </c>
      <c r="C157" s="107">
        <f>VLOOKUP($A157,'S0 remplacer avec S44'!$C:$BQ,39,0)</f>
        <v>15</v>
      </c>
      <c r="D157" s="107">
        <f>VLOOKUP($A157,'S0 remplacer avec S44'!$C:$BQ,40,0)</f>
        <v>33</v>
      </c>
      <c r="E157" s="107">
        <f>VLOOKUP($A157,'S0 remplacer avec S44'!$C:$BQ,22,0)</f>
        <v>818.984105</v>
      </c>
      <c r="F157" s="115">
        <f>VLOOKUP($A157,'S0 remplacer avec S44'!$C:$BQ,29,0)</f>
        <v>0</v>
      </c>
      <c r="G157" s="115">
        <f>VLOOKUP($A157,'S0 remplacer avec S44'!$C:$BQ,30,0)</f>
        <v>127</v>
      </c>
      <c r="H157" s="115">
        <f>VLOOKUP($A157,'S0 remplacer avec S44'!$C:$BQ,52,0)</f>
        <v>31.8</v>
      </c>
      <c r="I157" s="115">
        <f>VLOOKUP($A157,'S0 remplacer avec S44'!$C:$BQ,59,0)</f>
        <v>13</v>
      </c>
      <c r="J157" s="115">
        <f>VLOOKUP($A157,'S0 remplacer avec S44'!$C:$BQ,60,0)</f>
        <v>21</v>
      </c>
      <c r="K157" s="107" t="e">
        <f>VLOOKUP($A157,'S45'!$C:$BQ,32,0)</f>
        <v>#N/A</v>
      </c>
      <c r="L157" s="107" t="e">
        <f>VLOOKUP($A157,'S45'!$C:$BQ,39,0)</f>
        <v>#N/A</v>
      </c>
      <c r="M157" s="107" t="e">
        <f>VLOOKUP($A157,'S45'!$C:$BQ,40,0)</f>
        <v>#N/A</v>
      </c>
      <c r="N157" s="107" t="e">
        <f>VLOOKUP($A157,'S45'!$C:$BQ,22,0)</f>
        <v>#N/A</v>
      </c>
      <c r="O157" s="115" t="e">
        <f>VLOOKUP($A157,'S45'!$C:$BQ,29,0)</f>
        <v>#N/A</v>
      </c>
      <c r="P157" s="115" t="e">
        <f>VLOOKUP($A157,'S45'!$C:$BQ,30,0)</f>
        <v>#N/A</v>
      </c>
      <c r="Q157" s="115" t="e">
        <f>VLOOKUP($A157,'S45'!$C:$BQ,52,0)</f>
        <v>#N/A</v>
      </c>
      <c r="R157" s="115" t="e">
        <f>VLOOKUP($A157,'S45'!$C:$BQ,59,0)</f>
        <v>#N/A</v>
      </c>
      <c r="S157" s="115" t="e">
        <f>VLOOKUP($A157,'S45'!$C:$BQ,60,0)</f>
        <v>#N/A</v>
      </c>
      <c r="T157" s="107" t="e">
        <f>VLOOKUP($A157,'S46'!$C:$BQ,32,0)</f>
        <v>#N/A</v>
      </c>
      <c r="U157" s="107" t="e">
        <f>VLOOKUP($A157,'S46'!$C:$BQ,39,0)</f>
        <v>#N/A</v>
      </c>
      <c r="V157" s="107" t="e">
        <f>VLOOKUP($A157,'S46'!$C:$BQ,40,0)</f>
        <v>#N/A</v>
      </c>
      <c r="W157" s="107" t="e">
        <f>VLOOKUP($A157,'S46'!$C:$BQ,22,0)</f>
        <v>#N/A</v>
      </c>
      <c r="X157" s="115" t="e">
        <f>VLOOKUP($A157,'S46'!$C:$BQ,29,0)</f>
        <v>#N/A</v>
      </c>
      <c r="Y157" s="115" t="e">
        <f>VLOOKUP($A157,'S46'!$C:$BQ,30,0)</f>
        <v>#N/A</v>
      </c>
      <c r="Z157" s="115" t="e">
        <f>VLOOKUP($A157,'S46'!$C:$BQ,52,0)</f>
        <v>#N/A</v>
      </c>
      <c r="AA157" s="115" t="e">
        <f>VLOOKUP($A157,'S46'!$C:$BQ,59,0)</f>
        <v>#N/A</v>
      </c>
      <c r="AB157" s="115" t="e">
        <f>VLOOKUP($A157,'S46'!$C:$BQ,60,0)</f>
        <v>#N/A</v>
      </c>
      <c r="AC157" s="107" t="e">
        <f>VLOOKUP($A157,'S47'!$C:$BQ,32,0)</f>
        <v>#N/A</v>
      </c>
      <c r="AD157" s="107" t="e">
        <f>VLOOKUP($A157,'S47'!$C:$BQ,39,0)</f>
        <v>#N/A</v>
      </c>
      <c r="AE157" s="107" t="e">
        <f>VLOOKUP($A157,'S47'!$C:$BQ,40,0)</f>
        <v>#N/A</v>
      </c>
      <c r="AF157" s="107" t="e">
        <f>VLOOKUP($A157,'S47'!$C:$BQ,22,0)</f>
        <v>#N/A</v>
      </c>
      <c r="AG157" s="115" t="e">
        <f>VLOOKUP($A157,'S47'!$C:$BQ,29,0)</f>
        <v>#N/A</v>
      </c>
      <c r="AH157" s="115" t="e">
        <f>VLOOKUP($A157,'S47'!$C:$BQ,30,0)</f>
        <v>#N/A</v>
      </c>
      <c r="AI157" s="115" t="e">
        <f>VLOOKUP($A157,'S47'!$C:$BQ,52,0)</f>
        <v>#N/A</v>
      </c>
      <c r="AJ157" s="115" t="e">
        <f>VLOOKUP($A157,'S47'!$C:$BQ,59,0)</f>
        <v>#N/A</v>
      </c>
      <c r="AK157" s="115" t="e">
        <f>VLOOKUP($A157,'S47'!$C:$BQ,60,0)</f>
        <v>#N/A</v>
      </c>
      <c r="AL157" s="107" t="e">
        <f>VLOOKUP($A157,'S48'!$C:$BQ,32,0)</f>
        <v>#N/A</v>
      </c>
      <c r="AM157" s="107" t="e">
        <f>VLOOKUP($A157,'S48'!$C:$BQ,39,0)</f>
        <v>#N/A</v>
      </c>
      <c r="AN157" s="107" t="e">
        <f>VLOOKUP($A157,'S48'!$C:$BQ,40,0)</f>
        <v>#N/A</v>
      </c>
      <c r="AO157" s="107" t="e">
        <f>VLOOKUP($A157,'S48'!$C:$BQ,22,0)</f>
        <v>#N/A</v>
      </c>
      <c r="AP157" s="115" t="e">
        <f>VLOOKUP($A157,'S48'!$C:$BQ,29,0)</f>
        <v>#N/A</v>
      </c>
      <c r="AQ157" s="115" t="e">
        <f>VLOOKUP($A157,'S48'!$C:$BQ,30,0)</f>
        <v>#N/A</v>
      </c>
      <c r="AR157" s="115" t="e">
        <f>VLOOKUP($A157,'S48'!$C:$BQ,52,0)</f>
        <v>#N/A</v>
      </c>
      <c r="AS157" s="115" t="e">
        <f>VLOOKUP($A157,'S48'!$C:$BQ,59,0)</f>
        <v>#N/A</v>
      </c>
      <c r="AT157" s="115" t="e">
        <f>VLOOKUP($A157,'S48'!$C:$BQ,60,0)</f>
        <v>#N/A</v>
      </c>
      <c r="AU157" s="107" t="e">
        <f>VLOOKUP($A157,'S49'!$C:$BQ,32,0)</f>
        <v>#N/A</v>
      </c>
      <c r="AV157" s="107" t="e">
        <f>VLOOKUP($A157,'S49'!$C:$BQ,39,0)</f>
        <v>#N/A</v>
      </c>
      <c r="AW157" s="107" t="e">
        <f>VLOOKUP($A157,'S49'!$C:$BQ,40,0)</f>
        <v>#N/A</v>
      </c>
      <c r="AX157" s="107" t="e">
        <f>VLOOKUP($A157,'S49'!$C:$BQ,22,0)</f>
        <v>#N/A</v>
      </c>
      <c r="AY157" s="115" t="e">
        <f>VLOOKUP($A157,'S49'!$C:$BQ,29,0)</f>
        <v>#N/A</v>
      </c>
      <c r="AZ157" s="115" t="e">
        <f>VLOOKUP($A157,'S49'!$C:$BQ,30,0)</f>
        <v>#N/A</v>
      </c>
      <c r="BA157" s="115" t="e">
        <f>VLOOKUP($A157,'S49'!$C:$BQ,52,0)</f>
        <v>#N/A</v>
      </c>
      <c r="BB157" s="115" t="e">
        <f>VLOOKUP($A157,'S49'!$C:$BQ,59,0)</f>
        <v>#N/A</v>
      </c>
      <c r="BC157" s="115" t="e">
        <f>VLOOKUP($A157,'S49'!$C:$BQ,60,0)</f>
        <v>#N/A</v>
      </c>
      <c r="BD157" s="107" t="e">
        <f>VLOOKUP($A157,'S50'!$C:$BQ,32,0)</f>
        <v>#N/A</v>
      </c>
      <c r="BE157" s="107" t="e">
        <f>VLOOKUP($A157,'S50'!$C:$BQ,39,0)</f>
        <v>#N/A</v>
      </c>
      <c r="BF157" s="107" t="e">
        <f>VLOOKUP($A157,'S50'!$C:$BQ,40,0)</f>
        <v>#N/A</v>
      </c>
      <c r="BG157" s="107" t="e">
        <f>VLOOKUP($A157,'S50'!$C:$BQ,22,0)</f>
        <v>#N/A</v>
      </c>
      <c r="BH157" s="115" t="e">
        <f>VLOOKUP($A157,'S50'!$C:$BQ,29,0)</f>
        <v>#N/A</v>
      </c>
      <c r="BI157" s="115" t="e">
        <f>VLOOKUP($A157,'S50'!$C:$BQ,30,0)</f>
        <v>#N/A</v>
      </c>
      <c r="BJ157" s="115" t="e">
        <f>VLOOKUP($A157,'S50'!$C:$BQ,52,0)</f>
        <v>#N/A</v>
      </c>
      <c r="BK157" s="115" t="e">
        <f>VLOOKUP($A157,'S50'!$C:$BQ,59,0)</f>
        <v>#N/A</v>
      </c>
      <c r="BL157" s="115" t="e">
        <f>VLOOKUP($A157,'S50'!$C:$BQ,60,0)</f>
        <v>#N/A</v>
      </c>
    </row>
    <row r="158" spans="1:64" x14ac:dyDescent="0.2">
      <c r="A158" s="106" t="s">
        <v>225</v>
      </c>
      <c r="B158" s="107">
        <f>VLOOKUP($A158,'S0 remplacer avec S44'!$C:$BQ,32,0)</f>
        <v>72.7</v>
      </c>
      <c r="C158" s="107">
        <f>VLOOKUP($A158,'S0 remplacer avec S44'!$C:$BQ,39,0)</f>
        <v>100</v>
      </c>
      <c r="D158" s="107">
        <f>VLOOKUP($A158,'S0 remplacer avec S44'!$C:$BQ,40,0)</f>
        <v>134</v>
      </c>
      <c r="E158" s="107">
        <f>VLOOKUP($A158,'S0 remplacer avec S44'!$C:$BQ,22,0)</f>
        <v>1627.2174749999999</v>
      </c>
      <c r="F158" s="115">
        <f>VLOOKUP($A158,'S0 remplacer avec S44'!$C:$BQ,29,0)</f>
        <v>0</v>
      </c>
      <c r="G158" s="115">
        <f>VLOOKUP($A158,'S0 remplacer avec S44'!$C:$BQ,30,0)</f>
        <v>250</v>
      </c>
      <c r="H158" s="115">
        <f>VLOOKUP($A158,'S0 remplacer avec S44'!$C:$BQ,52,0)</f>
        <v>81.599999999999994</v>
      </c>
      <c r="I158" s="115">
        <f>VLOOKUP($A158,'S0 remplacer avec S44'!$C:$BQ,59,0)</f>
        <v>6</v>
      </c>
      <c r="J158" s="115">
        <f>VLOOKUP($A158,'S0 remplacer avec S44'!$C:$BQ,60,0)</f>
        <v>24</v>
      </c>
      <c r="K158" s="107" t="e">
        <f>VLOOKUP($A158,'S45'!$C:$BQ,32,0)</f>
        <v>#N/A</v>
      </c>
      <c r="L158" s="107" t="e">
        <f>VLOOKUP($A158,'S45'!$C:$BQ,39,0)</f>
        <v>#N/A</v>
      </c>
      <c r="M158" s="107" t="e">
        <f>VLOOKUP($A158,'S45'!$C:$BQ,40,0)</f>
        <v>#N/A</v>
      </c>
      <c r="N158" s="107" t="e">
        <f>VLOOKUP($A158,'S45'!$C:$BQ,22,0)</f>
        <v>#N/A</v>
      </c>
      <c r="O158" s="115" t="e">
        <f>VLOOKUP($A158,'S45'!$C:$BQ,29,0)</f>
        <v>#N/A</v>
      </c>
      <c r="P158" s="115" t="e">
        <f>VLOOKUP($A158,'S45'!$C:$BQ,30,0)</f>
        <v>#N/A</v>
      </c>
      <c r="Q158" s="115" t="e">
        <f>VLOOKUP($A158,'S45'!$C:$BQ,52,0)</f>
        <v>#N/A</v>
      </c>
      <c r="R158" s="115" t="e">
        <f>VLOOKUP($A158,'S45'!$C:$BQ,59,0)</f>
        <v>#N/A</v>
      </c>
      <c r="S158" s="115" t="e">
        <f>VLOOKUP($A158,'S45'!$C:$BQ,60,0)</f>
        <v>#N/A</v>
      </c>
      <c r="T158" s="107" t="e">
        <f>VLOOKUP($A158,'S46'!$C:$BQ,32,0)</f>
        <v>#N/A</v>
      </c>
      <c r="U158" s="107" t="e">
        <f>VLOOKUP($A158,'S46'!$C:$BQ,39,0)</f>
        <v>#N/A</v>
      </c>
      <c r="V158" s="107" t="e">
        <f>VLOOKUP($A158,'S46'!$C:$BQ,40,0)</f>
        <v>#N/A</v>
      </c>
      <c r="W158" s="107" t="e">
        <f>VLOOKUP($A158,'S46'!$C:$BQ,22,0)</f>
        <v>#N/A</v>
      </c>
      <c r="X158" s="115" t="e">
        <f>VLOOKUP($A158,'S46'!$C:$BQ,29,0)</f>
        <v>#N/A</v>
      </c>
      <c r="Y158" s="115" t="e">
        <f>VLOOKUP($A158,'S46'!$C:$BQ,30,0)</f>
        <v>#N/A</v>
      </c>
      <c r="Z158" s="115" t="e">
        <f>VLOOKUP($A158,'S46'!$C:$BQ,52,0)</f>
        <v>#N/A</v>
      </c>
      <c r="AA158" s="115" t="e">
        <f>VLOOKUP($A158,'S46'!$C:$BQ,59,0)</f>
        <v>#N/A</v>
      </c>
      <c r="AB158" s="115" t="e">
        <f>VLOOKUP($A158,'S46'!$C:$BQ,60,0)</f>
        <v>#N/A</v>
      </c>
      <c r="AC158" s="107" t="e">
        <f>VLOOKUP($A158,'S47'!$C:$BQ,32,0)</f>
        <v>#N/A</v>
      </c>
      <c r="AD158" s="107" t="e">
        <f>VLOOKUP($A158,'S47'!$C:$BQ,39,0)</f>
        <v>#N/A</v>
      </c>
      <c r="AE158" s="107" t="e">
        <f>VLOOKUP($A158,'S47'!$C:$BQ,40,0)</f>
        <v>#N/A</v>
      </c>
      <c r="AF158" s="107" t="e">
        <f>VLOOKUP($A158,'S47'!$C:$BQ,22,0)</f>
        <v>#N/A</v>
      </c>
      <c r="AG158" s="115" t="e">
        <f>VLOOKUP($A158,'S47'!$C:$BQ,29,0)</f>
        <v>#N/A</v>
      </c>
      <c r="AH158" s="115" t="e">
        <f>VLOOKUP($A158,'S47'!$C:$BQ,30,0)</f>
        <v>#N/A</v>
      </c>
      <c r="AI158" s="115" t="e">
        <f>VLOOKUP($A158,'S47'!$C:$BQ,52,0)</f>
        <v>#N/A</v>
      </c>
      <c r="AJ158" s="115" t="e">
        <f>VLOOKUP($A158,'S47'!$C:$BQ,59,0)</f>
        <v>#N/A</v>
      </c>
      <c r="AK158" s="115" t="e">
        <f>VLOOKUP($A158,'S47'!$C:$BQ,60,0)</f>
        <v>#N/A</v>
      </c>
      <c r="AL158" s="107" t="e">
        <f>VLOOKUP($A158,'S48'!$C:$BQ,32,0)</f>
        <v>#N/A</v>
      </c>
      <c r="AM158" s="107" t="e">
        <f>VLOOKUP($A158,'S48'!$C:$BQ,39,0)</f>
        <v>#N/A</v>
      </c>
      <c r="AN158" s="107" t="e">
        <f>VLOOKUP($A158,'S48'!$C:$BQ,40,0)</f>
        <v>#N/A</v>
      </c>
      <c r="AO158" s="107" t="e">
        <f>VLOOKUP($A158,'S48'!$C:$BQ,22,0)</f>
        <v>#N/A</v>
      </c>
      <c r="AP158" s="115" t="e">
        <f>VLOOKUP($A158,'S48'!$C:$BQ,29,0)</f>
        <v>#N/A</v>
      </c>
      <c r="AQ158" s="115" t="e">
        <f>VLOOKUP($A158,'S48'!$C:$BQ,30,0)</f>
        <v>#N/A</v>
      </c>
      <c r="AR158" s="115" t="e">
        <f>VLOOKUP($A158,'S48'!$C:$BQ,52,0)</f>
        <v>#N/A</v>
      </c>
      <c r="AS158" s="115" t="e">
        <f>VLOOKUP($A158,'S48'!$C:$BQ,59,0)</f>
        <v>#N/A</v>
      </c>
      <c r="AT158" s="115" t="e">
        <f>VLOOKUP($A158,'S48'!$C:$BQ,60,0)</f>
        <v>#N/A</v>
      </c>
      <c r="AU158" s="107" t="e">
        <f>VLOOKUP($A158,'S49'!$C:$BQ,32,0)</f>
        <v>#N/A</v>
      </c>
      <c r="AV158" s="107" t="e">
        <f>VLOOKUP($A158,'S49'!$C:$BQ,39,0)</f>
        <v>#N/A</v>
      </c>
      <c r="AW158" s="107" t="e">
        <f>VLOOKUP($A158,'S49'!$C:$BQ,40,0)</f>
        <v>#N/A</v>
      </c>
      <c r="AX158" s="107" t="e">
        <f>VLOOKUP($A158,'S49'!$C:$BQ,22,0)</f>
        <v>#N/A</v>
      </c>
      <c r="AY158" s="115" t="e">
        <f>VLOOKUP($A158,'S49'!$C:$BQ,29,0)</f>
        <v>#N/A</v>
      </c>
      <c r="AZ158" s="115" t="e">
        <f>VLOOKUP($A158,'S49'!$C:$BQ,30,0)</f>
        <v>#N/A</v>
      </c>
      <c r="BA158" s="115" t="e">
        <f>VLOOKUP($A158,'S49'!$C:$BQ,52,0)</f>
        <v>#N/A</v>
      </c>
      <c r="BB158" s="115" t="e">
        <f>VLOOKUP($A158,'S49'!$C:$BQ,59,0)</f>
        <v>#N/A</v>
      </c>
      <c r="BC158" s="115" t="e">
        <f>VLOOKUP($A158,'S49'!$C:$BQ,60,0)</f>
        <v>#N/A</v>
      </c>
      <c r="BD158" s="107" t="e">
        <f>VLOOKUP($A158,'S50'!$C:$BQ,32,0)</f>
        <v>#N/A</v>
      </c>
      <c r="BE158" s="107" t="e">
        <f>VLOOKUP($A158,'S50'!$C:$BQ,39,0)</f>
        <v>#N/A</v>
      </c>
      <c r="BF158" s="107" t="e">
        <f>VLOOKUP($A158,'S50'!$C:$BQ,40,0)</f>
        <v>#N/A</v>
      </c>
      <c r="BG158" s="107" t="e">
        <f>VLOOKUP($A158,'S50'!$C:$BQ,22,0)</f>
        <v>#N/A</v>
      </c>
      <c r="BH158" s="115" t="e">
        <f>VLOOKUP($A158,'S50'!$C:$BQ,29,0)</f>
        <v>#N/A</v>
      </c>
      <c r="BI158" s="115" t="e">
        <f>VLOOKUP($A158,'S50'!$C:$BQ,30,0)</f>
        <v>#N/A</v>
      </c>
      <c r="BJ158" s="115" t="e">
        <f>VLOOKUP($A158,'S50'!$C:$BQ,52,0)</f>
        <v>#N/A</v>
      </c>
      <c r="BK158" s="115" t="e">
        <f>VLOOKUP($A158,'S50'!$C:$BQ,59,0)</f>
        <v>#N/A</v>
      </c>
      <c r="BL158" s="115" t="e">
        <f>VLOOKUP($A158,'S50'!$C:$BQ,60,0)</f>
        <v>#N/A</v>
      </c>
    </row>
    <row r="159" spans="1:64" x14ac:dyDescent="0.2">
      <c r="A159" s="106" t="s">
        <v>226</v>
      </c>
      <c r="B159" s="107">
        <f>VLOOKUP($A159,'S0 remplacer avec S44'!$C:$BQ,32,0)</f>
        <v>82.4</v>
      </c>
      <c r="C159" s="107">
        <f>VLOOKUP($A159,'S0 remplacer avec S44'!$C:$BQ,39,0)</f>
        <v>0</v>
      </c>
      <c r="D159" s="107">
        <f>VLOOKUP($A159,'S0 remplacer avec S44'!$C:$BQ,40,0)</f>
        <v>7</v>
      </c>
      <c r="E159" s="107">
        <f>VLOOKUP($A159,'S0 remplacer avec S44'!$C:$BQ,22,0)</f>
        <v>555.42299500000001</v>
      </c>
      <c r="F159" s="115">
        <f>VLOOKUP($A159,'S0 remplacer avec S44'!$C:$BQ,29,0)</f>
        <v>120</v>
      </c>
      <c r="G159" s="115">
        <f>VLOOKUP($A159,'S0 remplacer avec S44'!$C:$BQ,30,0)</f>
        <v>255</v>
      </c>
      <c r="H159" s="115">
        <f>VLOOKUP($A159,'S0 remplacer avec S44'!$C:$BQ,52,0)</f>
        <v>46.4</v>
      </c>
      <c r="I159" s="115">
        <f>VLOOKUP($A159,'S0 remplacer avec S44'!$C:$BQ,59,0)</f>
        <v>0</v>
      </c>
      <c r="J159" s="115">
        <f>VLOOKUP($A159,'S0 remplacer avec S44'!$C:$BQ,60,0)</f>
        <v>0</v>
      </c>
      <c r="K159" s="107" t="e">
        <f>VLOOKUP($A159,'S45'!$C:$BQ,32,0)</f>
        <v>#N/A</v>
      </c>
      <c r="L159" s="107" t="e">
        <f>VLOOKUP($A159,'S45'!$C:$BQ,39,0)</f>
        <v>#N/A</v>
      </c>
      <c r="M159" s="107" t="e">
        <f>VLOOKUP($A159,'S45'!$C:$BQ,40,0)</f>
        <v>#N/A</v>
      </c>
      <c r="N159" s="107" t="e">
        <f>VLOOKUP($A159,'S45'!$C:$BQ,22,0)</f>
        <v>#N/A</v>
      </c>
      <c r="O159" s="115" t="e">
        <f>VLOOKUP($A159,'S45'!$C:$BQ,29,0)</f>
        <v>#N/A</v>
      </c>
      <c r="P159" s="115" t="e">
        <f>VLOOKUP($A159,'S45'!$C:$BQ,30,0)</f>
        <v>#N/A</v>
      </c>
      <c r="Q159" s="115" t="e">
        <f>VLOOKUP($A159,'S45'!$C:$BQ,52,0)</f>
        <v>#N/A</v>
      </c>
      <c r="R159" s="115" t="e">
        <f>VLOOKUP($A159,'S45'!$C:$BQ,59,0)</f>
        <v>#N/A</v>
      </c>
      <c r="S159" s="115" t="e">
        <f>VLOOKUP($A159,'S45'!$C:$BQ,60,0)</f>
        <v>#N/A</v>
      </c>
      <c r="T159" s="107" t="e">
        <f>VLOOKUP($A159,'S46'!$C:$BQ,32,0)</f>
        <v>#N/A</v>
      </c>
      <c r="U159" s="107" t="e">
        <f>VLOOKUP($A159,'S46'!$C:$BQ,39,0)</f>
        <v>#N/A</v>
      </c>
      <c r="V159" s="107" t="e">
        <f>VLOOKUP($A159,'S46'!$C:$BQ,40,0)</f>
        <v>#N/A</v>
      </c>
      <c r="W159" s="107" t="e">
        <f>VLOOKUP($A159,'S46'!$C:$BQ,22,0)</f>
        <v>#N/A</v>
      </c>
      <c r="X159" s="115" t="e">
        <f>VLOOKUP($A159,'S46'!$C:$BQ,29,0)</f>
        <v>#N/A</v>
      </c>
      <c r="Y159" s="115" t="e">
        <f>VLOOKUP($A159,'S46'!$C:$BQ,30,0)</f>
        <v>#N/A</v>
      </c>
      <c r="Z159" s="115" t="e">
        <f>VLOOKUP($A159,'S46'!$C:$BQ,52,0)</f>
        <v>#N/A</v>
      </c>
      <c r="AA159" s="115" t="e">
        <f>VLOOKUP($A159,'S46'!$C:$BQ,59,0)</f>
        <v>#N/A</v>
      </c>
      <c r="AB159" s="115" t="e">
        <f>VLOOKUP($A159,'S46'!$C:$BQ,60,0)</f>
        <v>#N/A</v>
      </c>
      <c r="AC159" s="107" t="e">
        <f>VLOOKUP($A159,'S47'!$C:$BQ,32,0)</f>
        <v>#N/A</v>
      </c>
      <c r="AD159" s="107" t="e">
        <f>VLOOKUP($A159,'S47'!$C:$BQ,39,0)</f>
        <v>#N/A</v>
      </c>
      <c r="AE159" s="107" t="e">
        <f>VLOOKUP($A159,'S47'!$C:$BQ,40,0)</f>
        <v>#N/A</v>
      </c>
      <c r="AF159" s="107" t="e">
        <f>VLOOKUP($A159,'S47'!$C:$BQ,22,0)</f>
        <v>#N/A</v>
      </c>
      <c r="AG159" s="115" t="e">
        <f>VLOOKUP($A159,'S47'!$C:$BQ,29,0)</f>
        <v>#N/A</v>
      </c>
      <c r="AH159" s="115" t="e">
        <f>VLOOKUP($A159,'S47'!$C:$BQ,30,0)</f>
        <v>#N/A</v>
      </c>
      <c r="AI159" s="115" t="e">
        <f>VLOOKUP($A159,'S47'!$C:$BQ,52,0)</f>
        <v>#N/A</v>
      </c>
      <c r="AJ159" s="115" t="e">
        <f>VLOOKUP($A159,'S47'!$C:$BQ,59,0)</f>
        <v>#N/A</v>
      </c>
      <c r="AK159" s="115" t="e">
        <f>VLOOKUP($A159,'S47'!$C:$BQ,60,0)</f>
        <v>#N/A</v>
      </c>
      <c r="AL159" s="107" t="e">
        <f>VLOOKUP($A159,'S48'!$C:$BQ,32,0)</f>
        <v>#N/A</v>
      </c>
      <c r="AM159" s="107" t="e">
        <f>VLOOKUP($A159,'S48'!$C:$BQ,39,0)</f>
        <v>#N/A</v>
      </c>
      <c r="AN159" s="107" t="e">
        <f>VLOOKUP($A159,'S48'!$C:$BQ,40,0)</f>
        <v>#N/A</v>
      </c>
      <c r="AO159" s="107" t="e">
        <f>VLOOKUP($A159,'S48'!$C:$BQ,22,0)</f>
        <v>#N/A</v>
      </c>
      <c r="AP159" s="115" t="e">
        <f>VLOOKUP($A159,'S48'!$C:$BQ,29,0)</f>
        <v>#N/A</v>
      </c>
      <c r="AQ159" s="115" t="e">
        <f>VLOOKUP($A159,'S48'!$C:$BQ,30,0)</f>
        <v>#N/A</v>
      </c>
      <c r="AR159" s="115" t="e">
        <f>VLOOKUP($A159,'S48'!$C:$BQ,52,0)</f>
        <v>#N/A</v>
      </c>
      <c r="AS159" s="115" t="e">
        <f>VLOOKUP($A159,'S48'!$C:$BQ,59,0)</f>
        <v>#N/A</v>
      </c>
      <c r="AT159" s="115" t="e">
        <f>VLOOKUP($A159,'S48'!$C:$BQ,60,0)</f>
        <v>#N/A</v>
      </c>
      <c r="AU159" s="107" t="e">
        <f>VLOOKUP($A159,'S49'!$C:$BQ,32,0)</f>
        <v>#N/A</v>
      </c>
      <c r="AV159" s="107" t="e">
        <f>VLOOKUP($A159,'S49'!$C:$BQ,39,0)</f>
        <v>#N/A</v>
      </c>
      <c r="AW159" s="107" t="e">
        <f>VLOOKUP($A159,'S49'!$C:$BQ,40,0)</f>
        <v>#N/A</v>
      </c>
      <c r="AX159" s="107" t="e">
        <f>VLOOKUP($A159,'S49'!$C:$BQ,22,0)</f>
        <v>#N/A</v>
      </c>
      <c r="AY159" s="115" t="e">
        <f>VLOOKUP($A159,'S49'!$C:$BQ,29,0)</f>
        <v>#N/A</v>
      </c>
      <c r="AZ159" s="115" t="e">
        <f>VLOOKUP($A159,'S49'!$C:$BQ,30,0)</f>
        <v>#N/A</v>
      </c>
      <c r="BA159" s="115" t="e">
        <f>VLOOKUP($A159,'S49'!$C:$BQ,52,0)</f>
        <v>#N/A</v>
      </c>
      <c r="BB159" s="115" t="e">
        <f>VLOOKUP($A159,'S49'!$C:$BQ,59,0)</f>
        <v>#N/A</v>
      </c>
      <c r="BC159" s="115" t="e">
        <f>VLOOKUP($A159,'S49'!$C:$BQ,60,0)</f>
        <v>#N/A</v>
      </c>
      <c r="BD159" s="107" t="e">
        <f>VLOOKUP($A159,'S50'!$C:$BQ,32,0)</f>
        <v>#N/A</v>
      </c>
      <c r="BE159" s="107" t="e">
        <f>VLOOKUP($A159,'S50'!$C:$BQ,39,0)</f>
        <v>#N/A</v>
      </c>
      <c r="BF159" s="107" t="e">
        <f>VLOOKUP($A159,'S50'!$C:$BQ,40,0)</f>
        <v>#N/A</v>
      </c>
      <c r="BG159" s="107" t="e">
        <f>VLOOKUP($A159,'S50'!$C:$BQ,22,0)</f>
        <v>#N/A</v>
      </c>
      <c r="BH159" s="115" t="e">
        <f>VLOOKUP($A159,'S50'!$C:$BQ,29,0)</f>
        <v>#N/A</v>
      </c>
      <c r="BI159" s="115" t="e">
        <f>VLOOKUP($A159,'S50'!$C:$BQ,30,0)</f>
        <v>#N/A</v>
      </c>
      <c r="BJ159" s="115" t="e">
        <f>VLOOKUP($A159,'S50'!$C:$BQ,52,0)</f>
        <v>#N/A</v>
      </c>
      <c r="BK159" s="115" t="e">
        <f>VLOOKUP($A159,'S50'!$C:$BQ,59,0)</f>
        <v>#N/A</v>
      </c>
      <c r="BL159" s="115" t="e">
        <f>VLOOKUP($A159,'S50'!$C:$BQ,60,0)</f>
        <v>#N/A</v>
      </c>
    </row>
    <row r="160" spans="1:64" x14ac:dyDescent="0.2">
      <c r="A160" s="106" t="s">
        <v>227</v>
      </c>
      <c r="B160" s="107">
        <f>VLOOKUP($A160,'S0 remplacer avec S44'!$C:$BQ,32,0)</f>
        <v>295.39999999999998</v>
      </c>
      <c r="C160" s="107">
        <f>VLOOKUP($A160,'S0 remplacer avec S44'!$C:$BQ,39,0)</f>
        <v>0</v>
      </c>
      <c r="D160" s="107">
        <f>VLOOKUP($A160,'S0 remplacer avec S44'!$C:$BQ,40,0)</f>
        <v>0</v>
      </c>
      <c r="E160" s="107">
        <f>VLOOKUP($A160,'S0 remplacer avec S44'!$C:$BQ,22,0)</f>
        <v>2459.3987400000001</v>
      </c>
      <c r="F160" s="115">
        <f>VLOOKUP($A160,'S0 remplacer avec S44'!$C:$BQ,29,0)</f>
        <v>0</v>
      </c>
      <c r="G160" s="115">
        <f>VLOOKUP($A160,'S0 remplacer avec S44'!$C:$BQ,30,0)</f>
        <v>0</v>
      </c>
      <c r="H160" s="115">
        <f>VLOOKUP($A160,'S0 remplacer avec S44'!$C:$BQ,52,0)</f>
        <v>197.2</v>
      </c>
      <c r="I160" s="115">
        <f>VLOOKUP($A160,'S0 remplacer avec S44'!$C:$BQ,59,0)</f>
        <v>0</v>
      </c>
      <c r="J160" s="115">
        <f>VLOOKUP($A160,'S0 remplacer avec S44'!$C:$BQ,60,0)</f>
        <v>0</v>
      </c>
      <c r="K160" s="107" t="e">
        <f>VLOOKUP($A160,'S45'!$C:$BQ,32,0)</f>
        <v>#N/A</v>
      </c>
      <c r="L160" s="107" t="e">
        <f>VLOOKUP($A160,'S45'!$C:$BQ,39,0)</f>
        <v>#N/A</v>
      </c>
      <c r="M160" s="107" t="e">
        <f>VLOOKUP($A160,'S45'!$C:$BQ,40,0)</f>
        <v>#N/A</v>
      </c>
      <c r="N160" s="107" t="e">
        <f>VLOOKUP($A160,'S45'!$C:$BQ,22,0)</f>
        <v>#N/A</v>
      </c>
      <c r="O160" s="115" t="e">
        <f>VLOOKUP($A160,'S45'!$C:$BQ,29,0)</f>
        <v>#N/A</v>
      </c>
      <c r="P160" s="115" t="e">
        <f>VLOOKUP($A160,'S45'!$C:$BQ,30,0)</f>
        <v>#N/A</v>
      </c>
      <c r="Q160" s="115" t="e">
        <f>VLOOKUP($A160,'S45'!$C:$BQ,52,0)</f>
        <v>#N/A</v>
      </c>
      <c r="R160" s="115" t="e">
        <f>VLOOKUP($A160,'S45'!$C:$BQ,59,0)</f>
        <v>#N/A</v>
      </c>
      <c r="S160" s="115" t="e">
        <f>VLOOKUP($A160,'S45'!$C:$BQ,60,0)</f>
        <v>#N/A</v>
      </c>
      <c r="T160" s="107" t="e">
        <f>VLOOKUP($A160,'S46'!$C:$BQ,32,0)</f>
        <v>#N/A</v>
      </c>
      <c r="U160" s="107" t="e">
        <f>VLOOKUP($A160,'S46'!$C:$BQ,39,0)</f>
        <v>#N/A</v>
      </c>
      <c r="V160" s="107" t="e">
        <f>VLOOKUP($A160,'S46'!$C:$BQ,40,0)</f>
        <v>#N/A</v>
      </c>
      <c r="W160" s="107" t="e">
        <f>VLOOKUP($A160,'S46'!$C:$BQ,22,0)</f>
        <v>#N/A</v>
      </c>
      <c r="X160" s="115" t="e">
        <f>VLOOKUP($A160,'S46'!$C:$BQ,29,0)</f>
        <v>#N/A</v>
      </c>
      <c r="Y160" s="115" t="e">
        <f>VLOOKUP($A160,'S46'!$C:$BQ,30,0)</f>
        <v>#N/A</v>
      </c>
      <c r="Z160" s="115" t="e">
        <f>VLOOKUP($A160,'S46'!$C:$BQ,52,0)</f>
        <v>#N/A</v>
      </c>
      <c r="AA160" s="115" t="e">
        <f>VLOOKUP($A160,'S46'!$C:$BQ,59,0)</f>
        <v>#N/A</v>
      </c>
      <c r="AB160" s="115" t="e">
        <f>VLOOKUP($A160,'S46'!$C:$BQ,60,0)</f>
        <v>#N/A</v>
      </c>
      <c r="AC160" s="107" t="e">
        <f>VLOOKUP($A160,'S47'!$C:$BQ,32,0)</f>
        <v>#N/A</v>
      </c>
      <c r="AD160" s="107" t="e">
        <f>VLOOKUP($A160,'S47'!$C:$BQ,39,0)</f>
        <v>#N/A</v>
      </c>
      <c r="AE160" s="107" t="e">
        <f>VLOOKUP($A160,'S47'!$C:$BQ,40,0)</f>
        <v>#N/A</v>
      </c>
      <c r="AF160" s="107" t="e">
        <f>VLOOKUP($A160,'S47'!$C:$BQ,22,0)</f>
        <v>#N/A</v>
      </c>
      <c r="AG160" s="115" t="e">
        <f>VLOOKUP($A160,'S47'!$C:$BQ,29,0)</f>
        <v>#N/A</v>
      </c>
      <c r="AH160" s="115" t="e">
        <f>VLOOKUP($A160,'S47'!$C:$BQ,30,0)</f>
        <v>#N/A</v>
      </c>
      <c r="AI160" s="115" t="e">
        <f>VLOOKUP($A160,'S47'!$C:$BQ,52,0)</f>
        <v>#N/A</v>
      </c>
      <c r="AJ160" s="115" t="e">
        <f>VLOOKUP($A160,'S47'!$C:$BQ,59,0)</f>
        <v>#N/A</v>
      </c>
      <c r="AK160" s="115" t="e">
        <f>VLOOKUP($A160,'S47'!$C:$BQ,60,0)</f>
        <v>#N/A</v>
      </c>
      <c r="AL160" s="107" t="e">
        <f>VLOOKUP($A160,'S48'!$C:$BQ,32,0)</f>
        <v>#N/A</v>
      </c>
      <c r="AM160" s="107" t="e">
        <f>VLOOKUP($A160,'S48'!$C:$BQ,39,0)</f>
        <v>#N/A</v>
      </c>
      <c r="AN160" s="107" t="e">
        <f>VLOOKUP($A160,'S48'!$C:$BQ,40,0)</f>
        <v>#N/A</v>
      </c>
      <c r="AO160" s="107" t="e">
        <f>VLOOKUP($A160,'S48'!$C:$BQ,22,0)</f>
        <v>#N/A</v>
      </c>
      <c r="AP160" s="115" t="e">
        <f>VLOOKUP($A160,'S48'!$C:$BQ,29,0)</f>
        <v>#N/A</v>
      </c>
      <c r="AQ160" s="115" t="e">
        <f>VLOOKUP($A160,'S48'!$C:$BQ,30,0)</f>
        <v>#N/A</v>
      </c>
      <c r="AR160" s="115" t="e">
        <f>VLOOKUP($A160,'S48'!$C:$BQ,52,0)</f>
        <v>#N/A</v>
      </c>
      <c r="AS160" s="115" t="e">
        <f>VLOOKUP($A160,'S48'!$C:$BQ,59,0)</f>
        <v>#N/A</v>
      </c>
      <c r="AT160" s="115" t="e">
        <f>VLOOKUP($A160,'S48'!$C:$BQ,60,0)</f>
        <v>#N/A</v>
      </c>
      <c r="AU160" s="107" t="e">
        <f>VLOOKUP($A160,'S49'!$C:$BQ,32,0)</f>
        <v>#N/A</v>
      </c>
      <c r="AV160" s="107" t="e">
        <f>VLOOKUP($A160,'S49'!$C:$BQ,39,0)</f>
        <v>#N/A</v>
      </c>
      <c r="AW160" s="107" t="e">
        <f>VLOOKUP($A160,'S49'!$C:$BQ,40,0)</f>
        <v>#N/A</v>
      </c>
      <c r="AX160" s="107" t="e">
        <f>VLOOKUP($A160,'S49'!$C:$BQ,22,0)</f>
        <v>#N/A</v>
      </c>
      <c r="AY160" s="115" t="e">
        <f>VLOOKUP($A160,'S49'!$C:$BQ,29,0)</f>
        <v>#N/A</v>
      </c>
      <c r="AZ160" s="115" t="e">
        <f>VLOOKUP($A160,'S49'!$C:$BQ,30,0)</f>
        <v>#N/A</v>
      </c>
      <c r="BA160" s="115" t="e">
        <f>VLOOKUP($A160,'S49'!$C:$BQ,52,0)</f>
        <v>#N/A</v>
      </c>
      <c r="BB160" s="115" t="e">
        <f>VLOOKUP($A160,'S49'!$C:$BQ,59,0)</f>
        <v>#N/A</v>
      </c>
      <c r="BC160" s="115" t="e">
        <f>VLOOKUP($A160,'S49'!$C:$BQ,60,0)</f>
        <v>#N/A</v>
      </c>
      <c r="BD160" s="107" t="e">
        <f>VLOOKUP($A160,'S50'!$C:$BQ,32,0)</f>
        <v>#N/A</v>
      </c>
      <c r="BE160" s="107" t="e">
        <f>VLOOKUP($A160,'S50'!$C:$BQ,39,0)</f>
        <v>#N/A</v>
      </c>
      <c r="BF160" s="107" t="e">
        <f>VLOOKUP($A160,'S50'!$C:$BQ,40,0)</f>
        <v>#N/A</v>
      </c>
      <c r="BG160" s="107" t="e">
        <f>VLOOKUP($A160,'S50'!$C:$BQ,22,0)</f>
        <v>#N/A</v>
      </c>
      <c r="BH160" s="115" t="e">
        <f>VLOOKUP($A160,'S50'!$C:$BQ,29,0)</f>
        <v>#N/A</v>
      </c>
      <c r="BI160" s="115" t="e">
        <f>VLOOKUP($A160,'S50'!$C:$BQ,30,0)</f>
        <v>#N/A</v>
      </c>
      <c r="BJ160" s="115" t="e">
        <f>VLOOKUP($A160,'S50'!$C:$BQ,52,0)</f>
        <v>#N/A</v>
      </c>
      <c r="BK160" s="115" t="e">
        <f>VLOOKUP($A160,'S50'!$C:$BQ,59,0)</f>
        <v>#N/A</v>
      </c>
      <c r="BL160" s="115" t="e">
        <f>VLOOKUP($A160,'S50'!$C:$BQ,60,0)</f>
        <v>#N/A</v>
      </c>
    </row>
    <row r="161" spans="1:64" x14ac:dyDescent="0.2">
      <c r="A161" s="106" t="s">
        <v>228</v>
      </c>
      <c r="B161" s="107">
        <f>VLOOKUP($A161,'S0 remplacer avec S44'!$C:$BQ,32,0)</f>
        <v>94.2</v>
      </c>
      <c r="C161" s="107">
        <f>VLOOKUP($A161,'S0 remplacer avec S44'!$C:$BQ,39,0)</f>
        <v>140</v>
      </c>
      <c r="D161" s="107">
        <f>VLOOKUP($A161,'S0 remplacer avec S44'!$C:$BQ,40,0)</f>
        <v>187</v>
      </c>
      <c r="E161" s="107">
        <f>VLOOKUP($A161,'S0 remplacer avec S44'!$C:$BQ,22,0)</f>
        <v>1841.54764</v>
      </c>
      <c r="F161" s="115">
        <f>VLOOKUP($A161,'S0 remplacer avec S44'!$C:$BQ,29,0)</f>
        <v>283</v>
      </c>
      <c r="G161" s="115">
        <f>VLOOKUP($A161,'S0 remplacer avec S44'!$C:$BQ,30,0)</f>
        <v>708</v>
      </c>
      <c r="H161" s="115">
        <f>VLOOKUP($A161,'S0 remplacer avec S44'!$C:$BQ,52,0)</f>
        <v>121</v>
      </c>
      <c r="I161" s="115">
        <f>VLOOKUP($A161,'S0 remplacer avec S44'!$C:$BQ,59,0)</f>
        <v>0</v>
      </c>
      <c r="J161" s="115">
        <f>VLOOKUP($A161,'S0 remplacer avec S44'!$C:$BQ,60,0)</f>
        <v>22</v>
      </c>
      <c r="K161" s="107" t="e">
        <f>VLOOKUP($A161,'S45'!$C:$BQ,32,0)</f>
        <v>#N/A</v>
      </c>
      <c r="L161" s="107" t="e">
        <f>VLOOKUP($A161,'S45'!$C:$BQ,39,0)</f>
        <v>#N/A</v>
      </c>
      <c r="M161" s="107" t="e">
        <f>VLOOKUP($A161,'S45'!$C:$BQ,40,0)</f>
        <v>#N/A</v>
      </c>
      <c r="N161" s="107" t="e">
        <f>VLOOKUP($A161,'S45'!$C:$BQ,22,0)</f>
        <v>#N/A</v>
      </c>
      <c r="O161" s="115" t="e">
        <f>VLOOKUP($A161,'S45'!$C:$BQ,29,0)</f>
        <v>#N/A</v>
      </c>
      <c r="P161" s="115" t="e">
        <f>VLOOKUP($A161,'S45'!$C:$BQ,30,0)</f>
        <v>#N/A</v>
      </c>
      <c r="Q161" s="115" t="e">
        <f>VLOOKUP($A161,'S45'!$C:$BQ,52,0)</f>
        <v>#N/A</v>
      </c>
      <c r="R161" s="115" t="e">
        <f>VLOOKUP($A161,'S45'!$C:$BQ,59,0)</f>
        <v>#N/A</v>
      </c>
      <c r="S161" s="115" t="e">
        <f>VLOOKUP($A161,'S45'!$C:$BQ,60,0)</f>
        <v>#N/A</v>
      </c>
      <c r="T161" s="107" t="e">
        <f>VLOOKUP($A161,'S46'!$C:$BQ,32,0)</f>
        <v>#N/A</v>
      </c>
      <c r="U161" s="107" t="e">
        <f>VLOOKUP($A161,'S46'!$C:$BQ,39,0)</f>
        <v>#N/A</v>
      </c>
      <c r="V161" s="107" t="e">
        <f>VLOOKUP($A161,'S46'!$C:$BQ,40,0)</f>
        <v>#N/A</v>
      </c>
      <c r="W161" s="107" t="e">
        <f>VLOOKUP($A161,'S46'!$C:$BQ,22,0)</f>
        <v>#N/A</v>
      </c>
      <c r="X161" s="115" t="e">
        <f>VLOOKUP($A161,'S46'!$C:$BQ,29,0)</f>
        <v>#N/A</v>
      </c>
      <c r="Y161" s="115" t="e">
        <f>VLOOKUP($A161,'S46'!$C:$BQ,30,0)</f>
        <v>#N/A</v>
      </c>
      <c r="Z161" s="115" t="e">
        <f>VLOOKUP($A161,'S46'!$C:$BQ,52,0)</f>
        <v>#N/A</v>
      </c>
      <c r="AA161" s="115" t="e">
        <f>VLOOKUP($A161,'S46'!$C:$BQ,59,0)</f>
        <v>#N/A</v>
      </c>
      <c r="AB161" s="115" t="e">
        <f>VLOOKUP($A161,'S46'!$C:$BQ,60,0)</f>
        <v>#N/A</v>
      </c>
      <c r="AC161" s="107" t="e">
        <f>VLOOKUP($A161,'S47'!$C:$BQ,32,0)</f>
        <v>#N/A</v>
      </c>
      <c r="AD161" s="107" t="e">
        <f>VLOOKUP($A161,'S47'!$C:$BQ,39,0)</f>
        <v>#N/A</v>
      </c>
      <c r="AE161" s="107" t="e">
        <f>VLOOKUP($A161,'S47'!$C:$BQ,40,0)</f>
        <v>#N/A</v>
      </c>
      <c r="AF161" s="107" t="e">
        <f>VLOOKUP($A161,'S47'!$C:$BQ,22,0)</f>
        <v>#N/A</v>
      </c>
      <c r="AG161" s="115" t="e">
        <f>VLOOKUP($A161,'S47'!$C:$BQ,29,0)</f>
        <v>#N/A</v>
      </c>
      <c r="AH161" s="115" t="e">
        <f>VLOOKUP($A161,'S47'!$C:$BQ,30,0)</f>
        <v>#N/A</v>
      </c>
      <c r="AI161" s="115" t="e">
        <f>VLOOKUP($A161,'S47'!$C:$BQ,52,0)</f>
        <v>#N/A</v>
      </c>
      <c r="AJ161" s="115" t="e">
        <f>VLOOKUP($A161,'S47'!$C:$BQ,59,0)</f>
        <v>#N/A</v>
      </c>
      <c r="AK161" s="115" t="e">
        <f>VLOOKUP($A161,'S47'!$C:$BQ,60,0)</f>
        <v>#N/A</v>
      </c>
      <c r="AL161" s="107" t="e">
        <f>VLOOKUP($A161,'S48'!$C:$BQ,32,0)</f>
        <v>#N/A</v>
      </c>
      <c r="AM161" s="107" t="e">
        <f>VLOOKUP($A161,'S48'!$C:$BQ,39,0)</f>
        <v>#N/A</v>
      </c>
      <c r="AN161" s="107" t="e">
        <f>VLOOKUP($A161,'S48'!$C:$BQ,40,0)</f>
        <v>#N/A</v>
      </c>
      <c r="AO161" s="107" t="e">
        <f>VLOOKUP($A161,'S48'!$C:$BQ,22,0)</f>
        <v>#N/A</v>
      </c>
      <c r="AP161" s="115" t="e">
        <f>VLOOKUP($A161,'S48'!$C:$BQ,29,0)</f>
        <v>#N/A</v>
      </c>
      <c r="AQ161" s="115" t="e">
        <f>VLOOKUP($A161,'S48'!$C:$BQ,30,0)</f>
        <v>#N/A</v>
      </c>
      <c r="AR161" s="115" t="e">
        <f>VLOOKUP($A161,'S48'!$C:$BQ,52,0)</f>
        <v>#N/A</v>
      </c>
      <c r="AS161" s="115" t="e">
        <f>VLOOKUP($A161,'S48'!$C:$BQ,59,0)</f>
        <v>#N/A</v>
      </c>
      <c r="AT161" s="115" t="e">
        <f>VLOOKUP($A161,'S48'!$C:$BQ,60,0)</f>
        <v>#N/A</v>
      </c>
      <c r="AU161" s="107" t="e">
        <f>VLOOKUP($A161,'S49'!$C:$BQ,32,0)</f>
        <v>#N/A</v>
      </c>
      <c r="AV161" s="107" t="e">
        <f>VLOOKUP($A161,'S49'!$C:$BQ,39,0)</f>
        <v>#N/A</v>
      </c>
      <c r="AW161" s="107" t="e">
        <f>VLOOKUP($A161,'S49'!$C:$BQ,40,0)</f>
        <v>#N/A</v>
      </c>
      <c r="AX161" s="107" t="e">
        <f>VLOOKUP($A161,'S49'!$C:$BQ,22,0)</f>
        <v>#N/A</v>
      </c>
      <c r="AY161" s="115" t="e">
        <f>VLOOKUP($A161,'S49'!$C:$BQ,29,0)</f>
        <v>#N/A</v>
      </c>
      <c r="AZ161" s="115" t="e">
        <f>VLOOKUP($A161,'S49'!$C:$BQ,30,0)</f>
        <v>#N/A</v>
      </c>
      <c r="BA161" s="115" t="e">
        <f>VLOOKUP($A161,'S49'!$C:$BQ,52,0)</f>
        <v>#N/A</v>
      </c>
      <c r="BB161" s="115" t="e">
        <f>VLOOKUP($A161,'S49'!$C:$BQ,59,0)</f>
        <v>#N/A</v>
      </c>
      <c r="BC161" s="115" t="e">
        <f>VLOOKUP($A161,'S49'!$C:$BQ,60,0)</f>
        <v>#N/A</v>
      </c>
      <c r="BD161" s="107" t="e">
        <f>VLOOKUP($A161,'S50'!$C:$BQ,32,0)</f>
        <v>#N/A</v>
      </c>
      <c r="BE161" s="107" t="e">
        <f>VLOOKUP($A161,'S50'!$C:$BQ,39,0)</f>
        <v>#N/A</v>
      </c>
      <c r="BF161" s="107" t="e">
        <f>VLOOKUP($A161,'S50'!$C:$BQ,40,0)</f>
        <v>#N/A</v>
      </c>
      <c r="BG161" s="107" t="e">
        <f>VLOOKUP($A161,'S50'!$C:$BQ,22,0)</f>
        <v>#N/A</v>
      </c>
      <c r="BH161" s="115" t="e">
        <f>VLOOKUP($A161,'S50'!$C:$BQ,29,0)</f>
        <v>#N/A</v>
      </c>
      <c r="BI161" s="115" t="e">
        <f>VLOOKUP($A161,'S50'!$C:$BQ,30,0)</f>
        <v>#N/A</v>
      </c>
      <c r="BJ161" s="115" t="e">
        <f>VLOOKUP($A161,'S50'!$C:$BQ,52,0)</f>
        <v>#N/A</v>
      </c>
      <c r="BK161" s="115" t="e">
        <f>VLOOKUP($A161,'S50'!$C:$BQ,59,0)</f>
        <v>#N/A</v>
      </c>
      <c r="BL161" s="115" t="e">
        <f>VLOOKUP($A161,'S50'!$C:$BQ,60,0)</f>
        <v>#N/A</v>
      </c>
    </row>
    <row r="162" spans="1:64" x14ac:dyDescent="0.2">
      <c r="A162" s="106" t="s">
        <v>229</v>
      </c>
      <c r="B162" s="107">
        <f>VLOOKUP($A162,'S0 remplacer avec S44'!$C:$BQ,32,0)</f>
        <v>160.30000000000001</v>
      </c>
      <c r="C162" s="107">
        <f>VLOOKUP($A162,'S0 remplacer avec S44'!$C:$BQ,39,0)</f>
        <v>66</v>
      </c>
      <c r="D162" s="107">
        <f>VLOOKUP($A162,'S0 remplacer avec S44'!$C:$BQ,40,0)</f>
        <v>112</v>
      </c>
      <c r="E162" s="107">
        <f>VLOOKUP($A162,'S0 remplacer avec S44'!$C:$BQ,22,0)</f>
        <v>1728.7739349999999</v>
      </c>
      <c r="F162" s="115">
        <f>VLOOKUP($A162,'S0 remplacer avec S44'!$C:$BQ,29,0)</f>
        <v>329</v>
      </c>
      <c r="G162" s="115">
        <f>VLOOKUP($A162,'S0 remplacer avec S44'!$C:$BQ,30,0)</f>
        <v>741</v>
      </c>
      <c r="H162" s="115">
        <f>VLOOKUP($A162,'S0 remplacer avec S44'!$C:$BQ,52,0)</f>
        <v>96.6</v>
      </c>
      <c r="I162" s="115">
        <f>VLOOKUP($A162,'S0 remplacer avec S44'!$C:$BQ,59,0)</f>
        <v>19</v>
      </c>
      <c r="J162" s="115">
        <f>VLOOKUP($A162,'S0 remplacer avec S44'!$C:$BQ,60,0)</f>
        <v>42</v>
      </c>
      <c r="K162" s="107" t="e">
        <f>VLOOKUP($A162,'S45'!$C:$BQ,32,0)</f>
        <v>#N/A</v>
      </c>
      <c r="L162" s="107" t="e">
        <f>VLOOKUP($A162,'S45'!$C:$BQ,39,0)</f>
        <v>#N/A</v>
      </c>
      <c r="M162" s="107" t="e">
        <f>VLOOKUP($A162,'S45'!$C:$BQ,40,0)</f>
        <v>#N/A</v>
      </c>
      <c r="N162" s="107" t="e">
        <f>VLOOKUP($A162,'S45'!$C:$BQ,22,0)</f>
        <v>#N/A</v>
      </c>
      <c r="O162" s="115" t="e">
        <f>VLOOKUP($A162,'S45'!$C:$BQ,29,0)</f>
        <v>#N/A</v>
      </c>
      <c r="P162" s="115" t="e">
        <f>VLOOKUP($A162,'S45'!$C:$BQ,30,0)</f>
        <v>#N/A</v>
      </c>
      <c r="Q162" s="115" t="e">
        <f>VLOOKUP($A162,'S45'!$C:$BQ,52,0)</f>
        <v>#N/A</v>
      </c>
      <c r="R162" s="115" t="e">
        <f>VLOOKUP($A162,'S45'!$C:$BQ,59,0)</f>
        <v>#N/A</v>
      </c>
      <c r="S162" s="115" t="e">
        <f>VLOOKUP($A162,'S45'!$C:$BQ,60,0)</f>
        <v>#N/A</v>
      </c>
      <c r="T162" s="107" t="e">
        <f>VLOOKUP($A162,'S46'!$C:$BQ,32,0)</f>
        <v>#N/A</v>
      </c>
      <c r="U162" s="107" t="e">
        <f>VLOOKUP($A162,'S46'!$C:$BQ,39,0)</f>
        <v>#N/A</v>
      </c>
      <c r="V162" s="107" t="e">
        <f>VLOOKUP($A162,'S46'!$C:$BQ,40,0)</f>
        <v>#N/A</v>
      </c>
      <c r="W162" s="107" t="e">
        <f>VLOOKUP($A162,'S46'!$C:$BQ,22,0)</f>
        <v>#N/A</v>
      </c>
      <c r="X162" s="115" t="e">
        <f>VLOOKUP($A162,'S46'!$C:$BQ,29,0)</f>
        <v>#N/A</v>
      </c>
      <c r="Y162" s="115" t="e">
        <f>VLOOKUP($A162,'S46'!$C:$BQ,30,0)</f>
        <v>#N/A</v>
      </c>
      <c r="Z162" s="115" t="e">
        <f>VLOOKUP($A162,'S46'!$C:$BQ,52,0)</f>
        <v>#N/A</v>
      </c>
      <c r="AA162" s="115" t="e">
        <f>VLOOKUP($A162,'S46'!$C:$BQ,59,0)</f>
        <v>#N/A</v>
      </c>
      <c r="AB162" s="115" t="e">
        <f>VLOOKUP($A162,'S46'!$C:$BQ,60,0)</f>
        <v>#N/A</v>
      </c>
      <c r="AC162" s="107" t="e">
        <f>VLOOKUP($A162,'S47'!$C:$BQ,32,0)</f>
        <v>#N/A</v>
      </c>
      <c r="AD162" s="107" t="e">
        <f>VLOOKUP($A162,'S47'!$C:$BQ,39,0)</f>
        <v>#N/A</v>
      </c>
      <c r="AE162" s="107" t="e">
        <f>VLOOKUP($A162,'S47'!$C:$BQ,40,0)</f>
        <v>#N/A</v>
      </c>
      <c r="AF162" s="107" t="e">
        <f>VLOOKUP($A162,'S47'!$C:$BQ,22,0)</f>
        <v>#N/A</v>
      </c>
      <c r="AG162" s="115" t="e">
        <f>VLOOKUP($A162,'S47'!$C:$BQ,29,0)</f>
        <v>#N/A</v>
      </c>
      <c r="AH162" s="115" t="e">
        <f>VLOOKUP($A162,'S47'!$C:$BQ,30,0)</f>
        <v>#N/A</v>
      </c>
      <c r="AI162" s="115" t="e">
        <f>VLOOKUP($A162,'S47'!$C:$BQ,52,0)</f>
        <v>#N/A</v>
      </c>
      <c r="AJ162" s="115" t="e">
        <f>VLOOKUP($A162,'S47'!$C:$BQ,59,0)</f>
        <v>#N/A</v>
      </c>
      <c r="AK162" s="115" t="e">
        <f>VLOOKUP($A162,'S47'!$C:$BQ,60,0)</f>
        <v>#N/A</v>
      </c>
      <c r="AL162" s="107" t="e">
        <f>VLOOKUP($A162,'S48'!$C:$BQ,32,0)</f>
        <v>#N/A</v>
      </c>
      <c r="AM162" s="107" t="e">
        <f>VLOOKUP($A162,'S48'!$C:$BQ,39,0)</f>
        <v>#N/A</v>
      </c>
      <c r="AN162" s="107" t="e">
        <f>VLOOKUP($A162,'S48'!$C:$BQ,40,0)</f>
        <v>#N/A</v>
      </c>
      <c r="AO162" s="107" t="e">
        <f>VLOOKUP($A162,'S48'!$C:$BQ,22,0)</f>
        <v>#N/A</v>
      </c>
      <c r="AP162" s="115" t="e">
        <f>VLOOKUP($A162,'S48'!$C:$BQ,29,0)</f>
        <v>#N/A</v>
      </c>
      <c r="AQ162" s="115" t="e">
        <f>VLOOKUP($A162,'S48'!$C:$BQ,30,0)</f>
        <v>#N/A</v>
      </c>
      <c r="AR162" s="115" t="e">
        <f>VLOOKUP($A162,'S48'!$C:$BQ,52,0)</f>
        <v>#N/A</v>
      </c>
      <c r="AS162" s="115" t="e">
        <f>VLOOKUP($A162,'S48'!$C:$BQ,59,0)</f>
        <v>#N/A</v>
      </c>
      <c r="AT162" s="115" t="e">
        <f>VLOOKUP($A162,'S48'!$C:$BQ,60,0)</f>
        <v>#N/A</v>
      </c>
      <c r="AU162" s="107" t="e">
        <f>VLOOKUP($A162,'S49'!$C:$BQ,32,0)</f>
        <v>#N/A</v>
      </c>
      <c r="AV162" s="107" t="e">
        <f>VLOOKUP($A162,'S49'!$C:$BQ,39,0)</f>
        <v>#N/A</v>
      </c>
      <c r="AW162" s="107" t="e">
        <f>VLOOKUP($A162,'S49'!$C:$BQ,40,0)</f>
        <v>#N/A</v>
      </c>
      <c r="AX162" s="107" t="e">
        <f>VLOOKUP($A162,'S49'!$C:$BQ,22,0)</f>
        <v>#N/A</v>
      </c>
      <c r="AY162" s="115" t="e">
        <f>VLOOKUP($A162,'S49'!$C:$BQ,29,0)</f>
        <v>#N/A</v>
      </c>
      <c r="AZ162" s="115" t="e">
        <f>VLOOKUP($A162,'S49'!$C:$BQ,30,0)</f>
        <v>#N/A</v>
      </c>
      <c r="BA162" s="115" t="e">
        <f>VLOOKUP($A162,'S49'!$C:$BQ,52,0)</f>
        <v>#N/A</v>
      </c>
      <c r="BB162" s="115" t="e">
        <f>VLOOKUP($A162,'S49'!$C:$BQ,59,0)</f>
        <v>#N/A</v>
      </c>
      <c r="BC162" s="115" t="e">
        <f>VLOOKUP($A162,'S49'!$C:$BQ,60,0)</f>
        <v>#N/A</v>
      </c>
      <c r="BD162" s="107" t="e">
        <f>VLOOKUP($A162,'S50'!$C:$BQ,32,0)</f>
        <v>#N/A</v>
      </c>
      <c r="BE162" s="107" t="e">
        <f>VLOOKUP($A162,'S50'!$C:$BQ,39,0)</f>
        <v>#N/A</v>
      </c>
      <c r="BF162" s="107" t="e">
        <f>VLOOKUP($A162,'S50'!$C:$BQ,40,0)</f>
        <v>#N/A</v>
      </c>
      <c r="BG162" s="107" t="e">
        <f>VLOOKUP($A162,'S50'!$C:$BQ,22,0)</f>
        <v>#N/A</v>
      </c>
      <c r="BH162" s="115" t="e">
        <f>VLOOKUP($A162,'S50'!$C:$BQ,29,0)</f>
        <v>#N/A</v>
      </c>
      <c r="BI162" s="115" t="e">
        <f>VLOOKUP($A162,'S50'!$C:$BQ,30,0)</f>
        <v>#N/A</v>
      </c>
      <c r="BJ162" s="115" t="e">
        <f>VLOOKUP($A162,'S50'!$C:$BQ,52,0)</f>
        <v>#N/A</v>
      </c>
      <c r="BK162" s="115" t="e">
        <f>VLOOKUP($A162,'S50'!$C:$BQ,59,0)</f>
        <v>#N/A</v>
      </c>
      <c r="BL162" s="115" t="e">
        <f>VLOOKUP($A162,'S50'!$C:$BQ,60,0)</f>
        <v>#N/A</v>
      </c>
    </row>
    <row r="163" spans="1:64" x14ac:dyDescent="0.2">
      <c r="A163" s="106" t="s">
        <v>230</v>
      </c>
      <c r="B163" s="107">
        <f>VLOOKUP($A163,'S0 remplacer avec S44'!$C:$BQ,32,0)</f>
        <v>483.5</v>
      </c>
      <c r="C163" s="107">
        <f>VLOOKUP($A163,'S0 remplacer avec S44'!$C:$BQ,39,0)</f>
        <v>38</v>
      </c>
      <c r="D163" s="107">
        <f>VLOOKUP($A163,'S0 remplacer avec S44'!$C:$BQ,40,0)</f>
        <v>142</v>
      </c>
      <c r="E163" s="107">
        <f>VLOOKUP($A163,'S0 remplacer avec S44'!$C:$BQ,22,0)</f>
        <v>4579.5361599999997</v>
      </c>
      <c r="F163" s="115">
        <f>VLOOKUP($A163,'S0 remplacer avec S44'!$C:$BQ,29,0)</f>
        <v>160</v>
      </c>
      <c r="G163" s="115">
        <f>VLOOKUP($A163,'S0 remplacer avec S44'!$C:$BQ,30,0)</f>
        <v>1108</v>
      </c>
      <c r="H163" s="115">
        <f>VLOOKUP($A163,'S0 remplacer avec S44'!$C:$BQ,52,0)</f>
        <v>353</v>
      </c>
      <c r="I163" s="115">
        <f>VLOOKUP($A163,'S0 remplacer avec S44'!$C:$BQ,59,0)</f>
        <v>0</v>
      </c>
      <c r="J163" s="115">
        <f>VLOOKUP($A163,'S0 remplacer avec S44'!$C:$BQ,60,0)</f>
        <v>0</v>
      </c>
      <c r="K163" s="107" t="e">
        <f>VLOOKUP($A163,'S45'!$C:$BQ,32,0)</f>
        <v>#N/A</v>
      </c>
      <c r="L163" s="107" t="e">
        <f>VLOOKUP($A163,'S45'!$C:$BQ,39,0)</f>
        <v>#N/A</v>
      </c>
      <c r="M163" s="107" t="e">
        <f>VLOOKUP($A163,'S45'!$C:$BQ,40,0)</f>
        <v>#N/A</v>
      </c>
      <c r="N163" s="107" t="e">
        <f>VLOOKUP($A163,'S45'!$C:$BQ,22,0)</f>
        <v>#N/A</v>
      </c>
      <c r="O163" s="115" t="e">
        <f>VLOOKUP($A163,'S45'!$C:$BQ,29,0)</f>
        <v>#N/A</v>
      </c>
      <c r="P163" s="115" t="e">
        <f>VLOOKUP($A163,'S45'!$C:$BQ,30,0)</f>
        <v>#N/A</v>
      </c>
      <c r="Q163" s="115" t="e">
        <f>VLOOKUP($A163,'S45'!$C:$BQ,52,0)</f>
        <v>#N/A</v>
      </c>
      <c r="R163" s="115" t="e">
        <f>VLOOKUP($A163,'S45'!$C:$BQ,59,0)</f>
        <v>#N/A</v>
      </c>
      <c r="S163" s="115" t="e">
        <f>VLOOKUP($A163,'S45'!$C:$BQ,60,0)</f>
        <v>#N/A</v>
      </c>
      <c r="T163" s="107" t="e">
        <f>VLOOKUP($A163,'S46'!$C:$BQ,32,0)</f>
        <v>#N/A</v>
      </c>
      <c r="U163" s="107" t="e">
        <f>VLOOKUP($A163,'S46'!$C:$BQ,39,0)</f>
        <v>#N/A</v>
      </c>
      <c r="V163" s="107" t="e">
        <f>VLOOKUP($A163,'S46'!$C:$BQ,40,0)</f>
        <v>#N/A</v>
      </c>
      <c r="W163" s="107" t="e">
        <f>VLOOKUP($A163,'S46'!$C:$BQ,22,0)</f>
        <v>#N/A</v>
      </c>
      <c r="X163" s="115" t="e">
        <f>VLOOKUP($A163,'S46'!$C:$BQ,29,0)</f>
        <v>#N/A</v>
      </c>
      <c r="Y163" s="115" t="e">
        <f>VLOOKUP($A163,'S46'!$C:$BQ,30,0)</f>
        <v>#N/A</v>
      </c>
      <c r="Z163" s="115" t="e">
        <f>VLOOKUP($A163,'S46'!$C:$BQ,52,0)</f>
        <v>#N/A</v>
      </c>
      <c r="AA163" s="115" t="e">
        <f>VLOOKUP($A163,'S46'!$C:$BQ,59,0)</f>
        <v>#N/A</v>
      </c>
      <c r="AB163" s="115" t="e">
        <f>VLOOKUP($A163,'S46'!$C:$BQ,60,0)</f>
        <v>#N/A</v>
      </c>
      <c r="AC163" s="107" t="e">
        <f>VLOOKUP($A163,'S47'!$C:$BQ,32,0)</f>
        <v>#N/A</v>
      </c>
      <c r="AD163" s="107" t="e">
        <f>VLOOKUP($A163,'S47'!$C:$BQ,39,0)</f>
        <v>#N/A</v>
      </c>
      <c r="AE163" s="107" t="e">
        <f>VLOOKUP($A163,'S47'!$C:$BQ,40,0)</f>
        <v>#N/A</v>
      </c>
      <c r="AF163" s="107" t="e">
        <f>VLOOKUP($A163,'S47'!$C:$BQ,22,0)</f>
        <v>#N/A</v>
      </c>
      <c r="AG163" s="115" t="e">
        <f>VLOOKUP($A163,'S47'!$C:$BQ,29,0)</f>
        <v>#N/A</v>
      </c>
      <c r="AH163" s="115" t="e">
        <f>VLOOKUP($A163,'S47'!$C:$BQ,30,0)</f>
        <v>#N/A</v>
      </c>
      <c r="AI163" s="115" t="e">
        <f>VLOOKUP($A163,'S47'!$C:$BQ,52,0)</f>
        <v>#N/A</v>
      </c>
      <c r="AJ163" s="115" t="e">
        <f>VLOOKUP($A163,'S47'!$C:$BQ,59,0)</f>
        <v>#N/A</v>
      </c>
      <c r="AK163" s="115" t="e">
        <f>VLOOKUP($A163,'S47'!$C:$BQ,60,0)</f>
        <v>#N/A</v>
      </c>
      <c r="AL163" s="107" t="e">
        <f>VLOOKUP($A163,'S48'!$C:$BQ,32,0)</f>
        <v>#N/A</v>
      </c>
      <c r="AM163" s="107" t="e">
        <f>VLOOKUP($A163,'S48'!$C:$BQ,39,0)</f>
        <v>#N/A</v>
      </c>
      <c r="AN163" s="107" t="e">
        <f>VLOOKUP($A163,'S48'!$C:$BQ,40,0)</f>
        <v>#N/A</v>
      </c>
      <c r="AO163" s="107" t="e">
        <f>VLOOKUP($A163,'S48'!$C:$BQ,22,0)</f>
        <v>#N/A</v>
      </c>
      <c r="AP163" s="115" t="e">
        <f>VLOOKUP($A163,'S48'!$C:$BQ,29,0)</f>
        <v>#N/A</v>
      </c>
      <c r="AQ163" s="115" t="e">
        <f>VLOOKUP($A163,'S48'!$C:$BQ,30,0)</f>
        <v>#N/A</v>
      </c>
      <c r="AR163" s="115" t="e">
        <f>VLOOKUP($A163,'S48'!$C:$BQ,52,0)</f>
        <v>#N/A</v>
      </c>
      <c r="AS163" s="115" t="e">
        <f>VLOOKUP($A163,'S48'!$C:$BQ,59,0)</f>
        <v>#N/A</v>
      </c>
      <c r="AT163" s="115" t="e">
        <f>VLOOKUP($A163,'S48'!$C:$BQ,60,0)</f>
        <v>#N/A</v>
      </c>
      <c r="AU163" s="107" t="e">
        <f>VLOOKUP($A163,'S49'!$C:$BQ,32,0)</f>
        <v>#N/A</v>
      </c>
      <c r="AV163" s="107" t="e">
        <f>VLOOKUP($A163,'S49'!$C:$BQ,39,0)</f>
        <v>#N/A</v>
      </c>
      <c r="AW163" s="107" t="e">
        <f>VLOOKUP($A163,'S49'!$C:$BQ,40,0)</f>
        <v>#N/A</v>
      </c>
      <c r="AX163" s="107" t="e">
        <f>VLOOKUP($A163,'S49'!$C:$BQ,22,0)</f>
        <v>#N/A</v>
      </c>
      <c r="AY163" s="115" t="e">
        <f>VLOOKUP($A163,'S49'!$C:$BQ,29,0)</f>
        <v>#N/A</v>
      </c>
      <c r="AZ163" s="115" t="e">
        <f>VLOOKUP($A163,'S49'!$C:$BQ,30,0)</f>
        <v>#N/A</v>
      </c>
      <c r="BA163" s="115" t="e">
        <f>VLOOKUP($A163,'S49'!$C:$BQ,52,0)</f>
        <v>#N/A</v>
      </c>
      <c r="BB163" s="115" t="e">
        <f>VLOOKUP($A163,'S49'!$C:$BQ,59,0)</f>
        <v>#N/A</v>
      </c>
      <c r="BC163" s="115" t="e">
        <f>VLOOKUP($A163,'S49'!$C:$BQ,60,0)</f>
        <v>#N/A</v>
      </c>
      <c r="BD163" s="107" t="e">
        <f>VLOOKUP($A163,'S50'!$C:$BQ,32,0)</f>
        <v>#N/A</v>
      </c>
      <c r="BE163" s="107" t="e">
        <f>VLOOKUP($A163,'S50'!$C:$BQ,39,0)</f>
        <v>#N/A</v>
      </c>
      <c r="BF163" s="107" t="e">
        <f>VLOOKUP($A163,'S50'!$C:$BQ,40,0)</f>
        <v>#N/A</v>
      </c>
      <c r="BG163" s="107" t="e">
        <f>VLOOKUP($A163,'S50'!$C:$BQ,22,0)</f>
        <v>#N/A</v>
      </c>
      <c r="BH163" s="115" t="e">
        <f>VLOOKUP($A163,'S50'!$C:$BQ,29,0)</f>
        <v>#N/A</v>
      </c>
      <c r="BI163" s="115" t="e">
        <f>VLOOKUP($A163,'S50'!$C:$BQ,30,0)</f>
        <v>#N/A</v>
      </c>
      <c r="BJ163" s="115" t="e">
        <f>VLOOKUP($A163,'S50'!$C:$BQ,52,0)</f>
        <v>#N/A</v>
      </c>
      <c r="BK163" s="115" t="e">
        <f>VLOOKUP($A163,'S50'!$C:$BQ,59,0)</f>
        <v>#N/A</v>
      </c>
      <c r="BL163" s="115" t="e">
        <f>VLOOKUP($A163,'S50'!$C:$BQ,60,0)</f>
        <v>#N/A</v>
      </c>
    </row>
    <row r="164" spans="1:64" x14ac:dyDescent="0.2">
      <c r="A164" s="106" t="s">
        <v>231</v>
      </c>
      <c r="B164" s="107">
        <f>VLOOKUP($A164,'S0 remplacer avec S44'!$C:$BQ,32,0)</f>
        <v>146.25</v>
      </c>
      <c r="C164" s="107">
        <f>VLOOKUP($A164,'S0 remplacer avec S44'!$C:$BQ,39,0)</f>
        <v>0</v>
      </c>
      <c r="D164" s="107">
        <f>VLOOKUP($A164,'S0 remplacer avec S44'!$C:$BQ,40,0)</f>
        <v>10</v>
      </c>
      <c r="E164" s="107">
        <f>VLOOKUP($A164,'S0 remplacer avec S44'!$C:$BQ,22,0)</f>
        <v>883.646885</v>
      </c>
      <c r="F164" s="115">
        <f>VLOOKUP($A164,'S0 remplacer avec S44'!$C:$BQ,29,0)</f>
        <v>298</v>
      </c>
      <c r="G164" s="115">
        <f>VLOOKUP($A164,'S0 remplacer avec S44'!$C:$BQ,30,0)</f>
        <v>535</v>
      </c>
      <c r="H164" s="115">
        <f>VLOOKUP($A164,'S0 remplacer avec S44'!$C:$BQ,52,0)</f>
        <v>69.400000000000006</v>
      </c>
      <c r="I164" s="115">
        <f>VLOOKUP($A164,'S0 remplacer avec S44'!$C:$BQ,59,0)</f>
        <v>0</v>
      </c>
      <c r="J164" s="115">
        <f>VLOOKUP($A164,'S0 remplacer avec S44'!$C:$BQ,60,0)</f>
        <v>10</v>
      </c>
      <c r="K164" s="107" t="e">
        <f>VLOOKUP($A164,'S45'!$C:$BQ,32,0)</f>
        <v>#N/A</v>
      </c>
      <c r="L164" s="107" t="e">
        <f>VLOOKUP($A164,'S45'!$C:$BQ,39,0)</f>
        <v>#N/A</v>
      </c>
      <c r="M164" s="107" t="e">
        <f>VLOOKUP($A164,'S45'!$C:$BQ,40,0)</f>
        <v>#N/A</v>
      </c>
      <c r="N164" s="107" t="e">
        <f>VLOOKUP($A164,'S45'!$C:$BQ,22,0)</f>
        <v>#N/A</v>
      </c>
      <c r="O164" s="115" t="e">
        <f>VLOOKUP($A164,'S45'!$C:$BQ,29,0)</f>
        <v>#N/A</v>
      </c>
      <c r="P164" s="115" t="e">
        <f>VLOOKUP($A164,'S45'!$C:$BQ,30,0)</f>
        <v>#N/A</v>
      </c>
      <c r="Q164" s="115" t="e">
        <f>VLOOKUP($A164,'S45'!$C:$BQ,52,0)</f>
        <v>#N/A</v>
      </c>
      <c r="R164" s="115" t="e">
        <f>VLOOKUP($A164,'S45'!$C:$BQ,59,0)</f>
        <v>#N/A</v>
      </c>
      <c r="S164" s="115" t="e">
        <f>VLOOKUP($A164,'S45'!$C:$BQ,60,0)</f>
        <v>#N/A</v>
      </c>
      <c r="T164" s="107" t="e">
        <f>VLOOKUP($A164,'S46'!$C:$BQ,32,0)</f>
        <v>#N/A</v>
      </c>
      <c r="U164" s="107" t="e">
        <f>VLOOKUP($A164,'S46'!$C:$BQ,39,0)</f>
        <v>#N/A</v>
      </c>
      <c r="V164" s="107" t="e">
        <f>VLOOKUP($A164,'S46'!$C:$BQ,40,0)</f>
        <v>#N/A</v>
      </c>
      <c r="W164" s="107" t="e">
        <f>VLOOKUP($A164,'S46'!$C:$BQ,22,0)</f>
        <v>#N/A</v>
      </c>
      <c r="X164" s="115" t="e">
        <f>VLOOKUP($A164,'S46'!$C:$BQ,29,0)</f>
        <v>#N/A</v>
      </c>
      <c r="Y164" s="115" t="e">
        <f>VLOOKUP($A164,'S46'!$C:$BQ,30,0)</f>
        <v>#N/A</v>
      </c>
      <c r="Z164" s="115" t="e">
        <f>VLOOKUP($A164,'S46'!$C:$BQ,52,0)</f>
        <v>#N/A</v>
      </c>
      <c r="AA164" s="115" t="e">
        <f>VLOOKUP($A164,'S46'!$C:$BQ,59,0)</f>
        <v>#N/A</v>
      </c>
      <c r="AB164" s="115" t="e">
        <f>VLOOKUP($A164,'S46'!$C:$BQ,60,0)</f>
        <v>#N/A</v>
      </c>
      <c r="AC164" s="107" t="e">
        <f>VLOOKUP($A164,'S47'!$C:$BQ,32,0)</f>
        <v>#N/A</v>
      </c>
      <c r="AD164" s="107" t="e">
        <f>VLOOKUP($A164,'S47'!$C:$BQ,39,0)</f>
        <v>#N/A</v>
      </c>
      <c r="AE164" s="107" t="e">
        <f>VLOOKUP($A164,'S47'!$C:$BQ,40,0)</f>
        <v>#N/A</v>
      </c>
      <c r="AF164" s="107" t="e">
        <f>VLOOKUP($A164,'S47'!$C:$BQ,22,0)</f>
        <v>#N/A</v>
      </c>
      <c r="AG164" s="115" t="e">
        <f>VLOOKUP($A164,'S47'!$C:$BQ,29,0)</f>
        <v>#N/A</v>
      </c>
      <c r="AH164" s="115" t="e">
        <f>VLOOKUP($A164,'S47'!$C:$BQ,30,0)</f>
        <v>#N/A</v>
      </c>
      <c r="AI164" s="115" t="e">
        <f>VLOOKUP($A164,'S47'!$C:$BQ,52,0)</f>
        <v>#N/A</v>
      </c>
      <c r="AJ164" s="115" t="e">
        <f>VLOOKUP($A164,'S47'!$C:$BQ,59,0)</f>
        <v>#N/A</v>
      </c>
      <c r="AK164" s="115" t="e">
        <f>VLOOKUP($A164,'S47'!$C:$BQ,60,0)</f>
        <v>#N/A</v>
      </c>
      <c r="AL164" s="107" t="e">
        <f>VLOOKUP($A164,'S48'!$C:$BQ,32,0)</f>
        <v>#N/A</v>
      </c>
      <c r="AM164" s="107" t="e">
        <f>VLOOKUP($A164,'S48'!$C:$BQ,39,0)</f>
        <v>#N/A</v>
      </c>
      <c r="AN164" s="107" t="e">
        <f>VLOOKUP($A164,'S48'!$C:$BQ,40,0)</f>
        <v>#N/A</v>
      </c>
      <c r="AO164" s="107" t="e">
        <f>VLOOKUP($A164,'S48'!$C:$BQ,22,0)</f>
        <v>#N/A</v>
      </c>
      <c r="AP164" s="115" t="e">
        <f>VLOOKUP($A164,'S48'!$C:$BQ,29,0)</f>
        <v>#N/A</v>
      </c>
      <c r="AQ164" s="115" t="e">
        <f>VLOOKUP($A164,'S48'!$C:$BQ,30,0)</f>
        <v>#N/A</v>
      </c>
      <c r="AR164" s="115" t="e">
        <f>VLOOKUP($A164,'S48'!$C:$BQ,52,0)</f>
        <v>#N/A</v>
      </c>
      <c r="AS164" s="115" t="e">
        <f>VLOOKUP($A164,'S48'!$C:$BQ,59,0)</f>
        <v>#N/A</v>
      </c>
      <c r="AT164" s="115" t="e">
        <f>VLOOKUP($A164,'S48'!$C:$BQ,60,0)</f>
        <v>#N/A</v>
      </c>
      <c r="AU164" s="107" t="e">
        <f>VLOOKUP($A164,'S49'!$C:$BQ,32,0)</f>
        <v>#N/A</v>
      </c>
      <c r="AV164" s="107" t="e">
        <f>VLOOKUP($A164,'S49'!$C:$BQ,39,0)</f>
        <v>#N/A</v>
      </c>
      <c r="AW164" s="107" t="e">
        <f>VLOOKUP($A164,'S49'!$C:$BQ,40,0)</f>
        <v>#N/A</v>
      </c>
      <c r="AX164" s="107" t="e">
        <f>VLOOKUP($A164,'S49'!$C:$BQ,22,0)</f>
        <v>#N/A</v>
      </c>
      <c r="AY164" s="115" t="e">
        <f>VLOOKUP($A164,'S49'!$C:$BQ,29,0)</f>
        <v>#N/A</v>
      </c>
      <c r="AZ164" s="115" t="e">
        <f>VLOOKUP($A164,'S49'!$C:$BQ,30,0)</f>
        <v>#N/A</v>
      </c>
      <c r="BA164" s="115" t="e">
        <f>VLOOKUP($A164,'S49'!$C:$BQ,52,0)</f>
        <v>#N/A</v>
      </c>
      <c r="BB164" s="115" t="e">
        <f>VLOOKUP($A164,'S49'!$C:$BQ,59,0)</f>
        <v>#N/A</v>
      </c>
      <c r="BC164" s="115" t="e">
        <f>VLOOKUP($A164,'S49'!$C:$BQ,60,0)</f>
        <v>#N/A</v>
      </c>
      <c r="BD164" s="107" t="e">
        <f>VLOOKUP($A164,'S50'!$C:$BQ,32,0)</f>
        <v>#N/A</v>
      </c>
      <c r="BE164" s="107" t="e">
        <f>VLOOKUP($A164,'S50'!$C:$BQ,39,0)</f>
        <v>#N/A</v>
      </c>
      <c r="BF164" s="107" t="e">
        <f>VLOOKUP($A164,'S50'!$C:$BQ,40,0)</f>
        <v>#N/A</v>
      </c>
      <c r="BG164" s="107" t="e">
        <f>VLOOKUP($A164,'S50'!$C:$BQ,22,0)</f>
        <v>#N/A</v>
      </c>
      <c r="BH164" s="115" t="e">
        <f>VLOOKUP($A164,'S50'!$C:$BQ,29,0)</f>
        <v>#N/A</v>
      </c>
      <c r="BI164" s="115" t="e">
        <f>VLOOKUP($A164,'S50'!$C:$BQ,30,0)</f>
        <v>#N/A</v>
      </c>
      <c r="BJ164" s="115" t="e">
        <f>VLOOKUP($A164,'S50'!$C:$BQ,52,0)</f>
        <v>#N/A</v>
      </c>
      <c r="BK164" s="115" t="e">
        <f>VLOOKUP($A164,'S50'!$C:$BQ,59,0)</f>
        <v>#N/A</v>
      </c>
      <c r="BL164" s="115" t="e">
        <f>VLOOKUP($A164,'S50'!$C:$BQ,60,0)</f>
        <v>#N/A</v>
      </c>
    </row>
    <row r="165" spans="1:64" x14ac:dyDescent="0.2">
      <c r="A165" s="106" t="s">
        <v>232</v>
      </c>
      <c r="B165" s="107">
        <f>VLOOKUP($A165,'S0 remplacer avec S44'!$C:$BQ,32,0)</f>
        <v>110.35</v>
      </c>
      <c r="C165" s="107">
        <f>VLOOKUP($A165,'S0 remplacer avec S44'!$C:$BQ,39,0)</f>
        <v>17</v>
      </c>
      <c r="D165" s="107">
        <f>VLOOKUP($A165,'S0 remplacer avec S44'!$C:$BQ,40,0)</f>
        <v>43</v>
      </c>
      <c r="E165" s="107">
        <f>VLOOKUP($A165,'S0 remplacer avec S44'!$C:$BQ,22,0)</f>
        <v>1772.097025</v>
      </c>
      <c r="F165" s="115">
        <f>VLOOKUP($A165,'S0 remplacer avec S44'!$C:$BQ,29,0)</f>
        <v>0</v>
      </c>
      <c r="G165" s="115">
        <f>VLOOKUP($A165,'S0 remplacer avec S44'!$C:$BQ,30,0)</f>
        <v>0</v>
      </c>
      <c r="H165" s="115">
        <f>VLOOKUP($A165,'S0 remplacer avec S44'!$C:$BQ,52,0)</f>
        <v>94</v>
      </c>
      <c r="I165" s="115">
        <f>VLOOKUP($A165,'S0 remplacer avec S44'!$C:$BQ,59,0)</f>
        <v>0</v>
      </c>
      <c r="J165" s="115">
        <f>VLOOKUP($A165,'S0 remplacer avec S44'!$C:$BQ,60,0)</f>
        <v>0</v>
      </c>
      <c r="K165" s="107" t="e">
        <f>VLOOKUP($A165,'S45'!$C:$BQ,32,0)</f>
        <v>#N/A</v>
      </c>
      <c r="L165" s="107" t="e">
        <f>VLOOKUP($A165,'S45'!$C:$BQ,39,0)</f>
        <v>#N/A</v>
      </c>
      <c r="M165" s="107" t="e">
        <f>VLOOKUP($A165,'S45'!$C:$BQ,40,0)</f>
        <v>#N/A</v>
      </c>
      <c r="N165" s="107" t="e">
        <f>VLOOKUP($A165,'S45'!$C:$BQ,22,0)</f>
        <v>#N/A</v>
      </c>
      <c r="O165" s="115" t="e">
        <f>VLOOKUP($A165,'S45'!$C:$BQ,29,0)</f>
        <v>#N/A</v>
      </c>
      <c r="P165" s="115" t="e">
        <f>VLOOKUP($A165,'S45'!$C:$BQ,30,0)</f>
        <v>#N/A</v>
      </c>
      <c r="Q165" s="115" t="e">
        <f>VLOOKUP($A165,'S45'!$C:$BQ,52,0)</f>
        <v>#N/A</v>
      </c>
      <c r="R165" s="115" t="e">
        <f>VLOOKUP($A165,'S45'!$C:$BQ,59,0)</f>
        <v>#N/A</v>
      </c>
      <c r="S165" s="115" t="e">
        <f>VLOOKUP($A165,'S45'!$C:$BQ,60,0)</f>
        <v>#N/A</v>
      </c>
      <c r="T165" s="107" t="e">
        <f>VLOOKUP($A165,'S46'!$C:$BQ,32,0)</f>
        <v>#N/A</v>
      </c>
      <c r="U165" s="107" t="e">
        <f>VLOOKUP($A165,'S46'!$C:$BQ,39,0)</f>
        <v>#N/A</v>
      </c>
      <c r="V165" s="107" t="e">
        <f>VLOOKUP($A165,'S46'!$C:$BQ,40,0)</f>
        <v>#N/A</v>
      </c>
      <c r="W165" s="107" t="e">
        <f>VLOOKUP($A165,'S46'!$C:$BQ,22,0)</f>
        <v>#N/A</v>
      </c>
      <c r="X165" s="115" t="e">
        <f>VLOOKUP($A165,'S46'!$C:$BQ,29,0)</f>
        <v>#N/A</v>
      </c>
      <c r="Y165" s="115" t="e">
        <f>VLOOKUP($A165,'S46'!$C:$BQ,30,0)</f>
        <v>#N/A</v>
      </c>
      <c r="Z165" s="115" t="e">
        <f>VLOOKUP($A165,'S46'!$C:$BQ,52,0)</f>
        <v>#N/A</v>
      </c>
      <c r="AA165" s="115" t="e">
        <f>VLOOKUP($A165,'S46'!$C:$BQ,59,0)</f>
        <v>#N/A</v>
      </c>
      <c r="AB165" s="115" t="e">
        <f>VLOOKUP($A165,'S46'!$C:$BQ,60,0)</f>
        <v>#N/A</v>
      </c>
      <c r="AC165" s="107" t="e">
        <f>VLOOKUP($A165,'S47'!$C:$BQ,32,0)</f>
        <v>#N/A</v>
      </c>
      <c r="AD165" s="107" t="e">
        <f>VLOOKUP($A165,'S47'!$C:$BQ,39,0)</f>
        <v>#N/A</v>
      </c>
      <c r="AE165" s="107" t="e">
        <f>VLOOKUP($A165,'S47'!$C:$BQ,40,0)</f>
        <v>#N/A</v>
      </c>
      <c r="AF165" s="107" t="e">
        <f>VLOOKUP($A165,'S47'!$C:$BQ,22,0)</f>
        <v>#N/A</v>
      </c>
      <c r="AG165" s="115" t="e">
        <f>VLOOKUP($A165,'S47'!$C:$BQ,29,0)</f>
        <v>#N/A</v>
      </c>
      <c r="AH165" s="115" t="e">
        <f>VLOOKUP($A165,'S47'!$C:$BQ,30,0)</f>
        <v>#N/A</v>
      </c>
      <c r="AI165" s="115" t="e">
        <f>VLOOKUP($A165,'S47'!$C:$BQ,52,0)</f>
        <v>#N/A</v>
      </c>
      <c r="AJ165" s="115" t="e">
        <f>VLOOKUP($A165,'S47'!$C:$BQ,59,0)</f>
        <v>#N/A</v>
      </c>
      <c r="AK165" s="115" t="e">
        <f>VLOOKUP($A165,'S47'!$C:$BQ,60,0)</f>
        <v>#N/A</v>
      </c>
      <c r="AL165" s="107" t="e">
        <f>VLOOKUP($A165,'S48'!$C:$BQ,32,0)</f>
        <v>#N/A</v>
      </c>
      <c r="AM165" s="107" t="e">
        <f>VLOOKUP($A165,'S48'!$C:$BQ,39,0)</f>
        <v>#N/A</v>
      </c>
      <c r="AN165" s="107" t="e">
        <f>VLOOKUP($A165,'S48'!$C:$BQ,40,0)</f>
        <v>#N/A</v>
      </c>
      <c r="AO165" s="107" t="e">
        <f>VLOOKUP($A165,'S48'!$C:$BQ,22,0)</f>
        <v>#N/A</v>
      </c>
      <c r="AP165" s="115" t="e">
        <f>VLOOKUP($A165,'S48'!$C:$BQ,29,0)</f>
        <v>#N/A</v>
      </c>
      <c r="AQ165" s="115" t="e">
        <f>VLOOKUP($A165,'S48'!$C:$BQ,30,0)</f>
        <v>#N/A</v>
      </c>
      <c r="AR165" s="115" t="e">
        <f>VLOOKUP($A165,'S48'!$C:$BQ,52,0)</f>
        <v>#N/A</v>
      </c>
      <c r="AS165" s="115" t="e">
        <f>VLOOKUP($A165,'S48'!$C:$BQ,59,0)</f>
        <v>#N/A</v>
      </c>
      <c r="AT165" s="115" t="e">
        <f>VLOOKUP($A165,'S48'!$C:$BQ,60,0)</f>
        <v>#N/A</v>
      </c>
      <c r="AU165" s="107" t="e">
        <f>VLOOKUP($A165,'S49'!$C:$BQ,32,0)</f>
        <v>#N/A</v>
      </c>
      <c r="AV165" s="107" t="e">
        <f>VLOOKUP($A165,'S49'!$C:$BQ,39,0)</f>
        <v>#N/A</v>
      </c>
      <c r="AW165" s="107" t="e">
        <f>VLOOKUP($A165,'S49'!$C:$BQ,40,0)</f>
        <v>#N/A</v>
      </c>
      <c r="AX165" s="107" t="e">
        <f>VLOOKUP($A165,'S49'!$C:$BQ,22,0)</f>
        <v>#N/A</v>
      </c>
      <c r="AY165" s="115" t="e">
        <f>VLOOKUP($A165,'S49'!$C:$BQ,29,0)</f>
        <v>#N/A</v>
      </c>
      <c r="AZ165" s="115" t="e">
        <f>VLOOKUP($A165,'S49'!$C:$BQ,30,0)</f>
        <v>#N/A</v>
      </c>
      <c r="BA165" s="115" t="e">
        <f>VLOOKUP($A165,'S49'!$C:$BQ,52,0)</f>
        <v>#N/A</v>
      </c>
      <c r="BB165" s="115" t="e">
        <f>VLOOKUP($A165,'S49'!$C:$BQ,59,0)</f>
        <v>#N/A</v>
      </c>
      <c r="BC165" s="115" t="e">
        <f>VLOOKUP($A165,'S49'!$C:$BQ,60,0)</f>
        <v>#N/A</v>
      </c>
      <c r="BD165" s="107" t="e">
        <f>VLOOKUP($A165,'S50'!$C:$BQ,32,0)</f>
        <v>#N/A</v>
      </c>
      <c r="BE165" s="107" t="e">
        <f>VLOOKUP($A165,'S50'!$C:$BQ,39,0)</f>
        <v>#N/A</v>
      </c>
      <c r="BF165" s="107" t="e">
        <f>VLOOKUP($A165,'S50'!$C:$BQ,40,0)</f>
        <v>#N/A</v>
      </c>
      <c r="BG165" s="107" t="e">
        <f>VLOOKUP($A165,'S50'!$C:$BQ,22,0)</f>
        <v>#N/A</v>
      </c>
      <c r="BH165" s="115" t="e">
        <f>VLOOKUP($A165,'S50'!$C:$BQ,29,0)</f>
        <v>#N/A</v>
      </c>
      <c r="BI165" s="115" t="e">
        <f>VLOOKUP($A165,'S50'!$C:$BQ,30,0)</f>
        <v>#N/A</v>
      </c>
      <c r="BJ165" s="115" t="e">
        <f>VLOOKUP($A165,'S50'!$C:$BQ,52,0)</f>
        <v>#N/A</v>
      </c>
      <c r="BK165" s="115" t="e">
        <f>VLOOKUP($A165,'S50'!$C:$BQ,59,0)</f>
        <v>#N/A</v>
      </c>
      <c r="BL165" s="115" t="e">
        <f>VLOOKUP($A165,'S50'!$C:$BQ,60,0)</f>
        <v>#N/A</v>
      </c>
    </row>
    <row r="166" spans="1:64" x14ac:dyDescent="0.2">
      <c r="A166" s="106" t="s">
        <v>233</v>
      </c>
      <c r="B166" s="107">
        <f>VLOOKUP($A166,'S0 remplacer avec S44'!$C:$BQ,32,0)</f>
        <v>105.1</v>
      </c>
      <c r="C166" s="107">
        <f>VLOOKUP($A166,'S0 remplacer avec S44'!$C:$BQ,39,0)</f>
        <v>13</v>
      </c>
      <c r="D166" s="107">
        <f>VLOOKUP($A166,'S0 remplacer avec S44'!$C:$BQ,40,0)</f>
        <v>36</v>
      </c>
      <c r="E166" s="107">
        <f>VLOOKUP($A166,'S0 remplacer avec S44'!$C:$BQ,22,0)</f>
        <v>1020.810205</v>
      </c>
      <c r="F166" s="115">
        <f>VLOOKUP($A166,'S0 remplacer avec S44'!$C:$BQ,29,0)</f>
        <v>46</v>
      </c>
      <c r="G166" s="115">
        <f>VLOOKUP($A166,'S0 remplacer avec S44'!$C:$BQ,30,0)</f>
        <v>260</v>
      </c>
      <c r="H166" s="115">
        <f>VLOOKUP($A166,'S0 remplacer avec S44'!$C:$BQ,52,0)</f>
        <v>90</v>
      </c>
      <c r="I166" s="115">
        <f>VLOOKUP($A166,'S0 remplacer avec S44'!$C:$BQ,59,0)</f>
        <v>0</v>
      </c>
      <c r="J166" s="115">
        <f>VLOOKUP($A166,'S0 remplacer avec S44'!$C:$BQ,60,0)</f>
        <v>0</v>
      </c>
      <c r="K166" s="107" t="e">
        <f>VLOOKUP($A166,'S45'!$C:$BQ,32,0)</f>
        <v>#N/A</v>
      </c>
      <c r="L166" s="107" t="e">
        <f>VLOOKUP($A166,'S45'!$C:$BQ,39,0)</f>
        <v>#N/A</v>
      </c>
      <c r="M166" s="107" t="e">
        <f>VLOOKUP($A166,'S45'!$C:$BQ,40,0)</f>
        <v>#N/A</v>
      </c>
      <c r="N166" s="107" t="e">
        <f>VLOOKUP($A166,'S45'!$C:$BQ,22,0)</f>
        <v>#N/A</v>
      </c>
      <c r="O166" s="115" t="e">
        <f>VLOOKUP($A166,'S45'!$C:$BQ,29,0)</f>
        <v>#N/A</v>
      </c>
      <c r="P166" s="115" t="e">
        <f>VLOOKUP($A166,'S45'!$C:$BQ,30,0)</f>
        <v>#N/A</v>
      </c>
      <c r="Q166" s="115" t="e">
        <f>VLOOKUP($A166,'S45'!$C:$BQ,52,0)</f>
        <v>#N/A</v>
      </c>
      <c r="R166" s="115" t="e">
        <f>VLOOKUP($A166,'S45'!$C:$BQ,59,0)</f>
        <v>#N/A</v>
      </c>
      <c r="S166" s="115" t="e">
        <f>VLOOKUP($A166,'S45'!$C:$BQ,60,0)</f>
        <v>#N/A</v>
      </c>
      <c r="T166" s="107" t="e">
        <f>VLOOKUP($A166,'S46'!$C:$BQ,32,0)</f>
        <v>#N/A</v>
      </c>
      <c r="U166" s="107" t="e">
        <f>VLOOKUP($A166,'S46'!$C:$BQ,39,0)</f>
        <v>#N/A</v>
      </c>
      <c r="V166" s="107" t="e">
        <f>VLOOKUP($A166,'S46'!$C:$BQ,40,0)</f>
        <v>#N/A</v>
      </c>
      <c r="W166" s="107" t="e">
        <f>VLOOKUP($A166,'S46'!$C:$BQ,22,0)</f>
        <v>#N/A</v>
      </c>
      <c r="X166" s="115" t="e">
        <f>VLOOKUP($A166,'S46'!$C:$BQ,29,0)</f>
        <v>#N/A</v>
      </c>
      <c r="Y166" s="115" t="e">
        <f>VLOOKUP($A166,'S46'!$C:$BQ,30,0)</f>
        <v>#N/A</v>
      </c>
      <c r="Z166" s="115" t="e">
        <f>VLOOKUP($A166,'S46'!$C:$BQ,52,0)</f>
        <v>#N/A</v>
      </c>
      <c r="AA166" s="115" t="e">
        <f>VLOOKUP($A166,'S46'!$C:$BQ,59,0)</f>
        <v>#N/A</v>
      </c>
      <c r="AB166" s="115" t="e">
        <f>VLOOKUP($A166,'S46'!$C:$BQ,60,0)</f>
        <v>#N/A</v>
      </c>
      <c r="AC166" s="107" t="e">
        <f>VLOOKUP($A166,'S47'!$C:$BQ,32,0)</f>
        <v>#N/A</v>
      </c>
      <c r="AD166" s="107" t="e">
        <f>VLOOKUP($A166,'S47'!$C:$BQ,39,0)</f>
        <v>#N/A</v>
      </c>
      <c r="AE166" s="107" t="e">
        <f>VLOOKUP($A166,'S47'!$C:$BQ,40,0)</f>
        <v>#N/A</v>
      </c>
      <c r="AF166" s="107" t="e">
        <f>VLOOKUP($A166,'S47'!$C:$BQ,22,0)</f>
        <v>#N/A</v>
      </c>
      <c r="AG166" s="115" t="e">
        <f>VLOOKUP($A166,'S47'!$C:$BQ,29,0)</f>
        <v>#N/A</v>
      </c>
      <c r="AH166" s="115" t="e">
        <f>VLOOKUP($A166,'S47'!$C:$BQ,30,0)</f>
        <v>#N/A</v>
      </c>
      <c r="AI166" s="115" t="e">
        <f>VLOOKUP($A166,'S47'!$C:$BQ,52,0)</f>
        <v>#N/A</v>
      </c>
      <c r="AJ166" s="115" t="e">
        <f>VLOOKUP($A166,'S47'!$C:$BQ,59,0)</f>
        <v>#N/A</v>
      </c>
      <c r="AK166" s="115" t="e">
        <f>VLOOKUP($A166,'S47'!$C:$BQ,60,0)</f>
        <v>#N/A</v>
      </c>
      <c r="AL166" s="107" t="e">
        <f>VLOOKUP($A166,'S48'!$C:$BQ,32,0)</f>
        <v>#N/A</v>
      </c>
      <c r="AM166" s="107" t="e">
        <f>VLOOKUP($A166,'S48'!$C:$BQ,39,0)</f>
        <v>#N/A</v>
      </c>
      <c r="AN166" s="107" t="e">
        <f>VLOOKUP($A166,'S48'!$C:$BQ,40,0)</f>
        <v>#N/A</v>
      </c>
      <c r="AO166" s="107" t="e">
        <f>VLOOKUP($A166,'S48'!$C:$BQ,22,0)</f>
        <v>#N/A</v>
      </c>
      <c r="AP166" s="115" t="e">
        <f>VLOOKUP($A166,'S48'!$C:$BQ,29,0)</f>
        <v>#N/A</v>
      </c>
      <c r="AQ166" s="115" t="e">
        <f>VLOOKUP($A166,'S48'!$C:$BQ,30,0)</f>
        <v>#N/A</v>
      </c>
      <c r="AR166" s="115" t="e">
        <f>VLOOKUP($A166,'S48'!$C:$BQ,52,0)</f>
        <v>#N/A</v>
      </c>
      <c r="AS166" s="115" t="e">
        <f>VLOOKUP($A166,'S48'!$C:$BQ,59,0)</f>
        <v>#N/A</v>
      </c>
      <c r="AT166" s="115" t="e">
        <f>VLOOKUP($A166,'S48'!$C:$BQ,60,0)</f>
        <v>#N/A</v>
      </c>
      <c r="AU166" s="107" t="e">
        <f>VLOOKUP($A166,'S49'!$C:$BQ,32,0)</f>
        <v>#N/A</v>
      </c>
      <c r="AV166" s="107" t="e">
        <f>VLOOKUP($A166,'S49'!$C:$BQ,39,0)</f>
        <v>#N/A</v>
      </c>
      <c r="AW166" s="107" t="e">
        <f>VLOOKUP($A166,'S49'!$C:$BQ,40,0)</f>
        <v>#N/A</v>
      </c>
      <c r="AX166" s="107" t="e">
        <f>VLOOKUP($A166,'S49'!$C:$BQ,22,0)</f>
        <v>#N/A</v>
      </c>
      <c r="AY166" s="115" t="e">
        <f>VLOOKUP($A166,'S49'!$C:$BQ,29,0)</f>
        <v>#N/A</v>
      </c>
      <c r="AZ166" s="115" t="e">
        <f>VLOOKUP($A166,'S49'!$C:$BQ,30,0)</f>
        <v>#N/A</v>
      </c>
      <c r="BA166" s="115" t="e">
        <f>VLOOKUP($A166,'S49'!$C:$BQ,52,0)</f>
        <v>#N/A</v>
      </c>
      <c r="BB166" s="115" t="e">
        <f>VLOOKUP($A166,'S49'!$C:$BQ,59,0)</f>
        <v>#N/A</v>
      </c>
      <c r="BC166" s="115" t="e">
        <f>VLOOKUP($A166,'S49'!$C:$BQ,60,0)</f>
        <v>#N/A</v>
      </c>
      <c r="BD166" s="107" t="e">
        <f>VLOOKUP($A166,'S50'!$C:$BQ,32,0)</f>
        <v>#N/A</v>
      </c>
      <c r="BE166" s="107" t="e">
        <f>VLOOKUP($A166,'S50'!$C:$BQ,39,0)</f>
        <v>#N/A</v>
      </c>
      <c r="BF166" s="107" t="e">
        <f>VLOOKUP($A166,'S50'!$C:$BQ,40,0)</f>
        <v>#N/A</v>
      </c>
      <c r="BG166" s="107" t="e">
        <f>VLOOKUP($A166,'S50'!$C:$BQ,22,0)</f>
        <v>#N/A</v>
      </c>
      <c r="BH166" s="115" t="e">
        <f>VLOOKUP($A166,'S50'!$C:$BQ,29,0)</f>
        <v>#N/A</v>
      </c>
      <c r="BI166" s="115" t="e">
        <f>VLOOKUP($A166,'S50'!$C:$BQ,30,0)</f>
        <v>#N/A</v>
      </c>
      <c r="BJ166" s="115" t="e">
        <f>VLOOKUP($A166,'S50'!$C:$BQ,52,0)</f>
        <v>#N/A</v>
      </c>
      <c r="BK166" s="115" t="e">
        <f>VLOOKUP($A166,'S50'!$C:$BQ,59,0)</f>
        <v>#N/A</v>
      </c>
      <c r="BL166" s="115" t="e">
        <f>VLOOKUP($A166,'S50'!$C:$BQ,60,0)</f>
        <v>#N/A</v>
      </c>
    </row>
    <row r="167" spans="1:64" x14ac:dyDescent="0.2">
      <c r="A167" s="106" t="s">
        <v>234</v>
      </c>
      <c r="B167" s="107">
        <f>VLOOKUP($A167,'S0 remplacer avec S44'!$C:$BQ,32,0)</f>
        <v>834.8</v>
      </c>
      <c r="C167" s="107">
        <f>VLOOKUP($A167,'S0 remplacer avec S44'!$C:$BQ,39,0)</f>
        <v>0</v>
      </c>
      <c r="D167" s="107">
        <f>VLOOKUP($A167,'S0 remplacer avec S44'!$C:$BQ,40,0)</f>
        <v>0</v>
      </c>
      <c r="E167" s="107">
        <f>VLOOKUP($A167,'S0 remplacer avec S44'!$C:$BQ,22,0)</f>
        <v>4108.4750800000002</v>
      </c>
      <c r="F167" s="115">
        <f>VLOOKUP($A167,'S0 remplacer avec S44'!$C:$BQ,29,0)</f>
        <v>1851</v>
      </c>
      <c r="G167" s="115">
        <f>VLOOKUP($A167,'S0 remplacer avec S44'!$C:$BQ,30,0)</f>
        <v>3043</v>
      </c>
      <c r="H167" s="115">
        <f>VLOOKUP($A167,'S0 remplacer avec S44'!$C:$BQ,52,0)</f>
        <v>762</v>
      </c>
      <c r="I167" s="115">
        <f>VLOOKUP($A167,'S0 remplacer avec S44'!$C:$BQ,59,0)</f>
        <v>0</v>
      </c>
      <c r="J167" s="115">
        <f>VLOOKUP($A167,'S0 remplacer avec S44'!$C:$BQ,60,0)</f>
        <v>0</v>
      </c>
      <c r="K167" s="107" t="e">
        <f>VLOOKUP($A167,'S45'!$C:$BQ,32,0)</f>
        <v>#N/A</v>
      </c>
      <c r="L167" s="107" t="e">
        <f>VLOOKUP($A167,'S45'!$C:$BQ,39,0)</f>
        <v>#N/A</v>
      </c>
      <c r="M167" s="107" t="e">
        <f>VLOOKUP($A167,'S45'!$C:$BQ,40,0)</f>
        <v>#N/A</v>
      </c>
      <c r="N167" s="107" t="e">
        <f>VLOOKUP($A167,'S45'!$C:$BQ,22,0)</f>
        <v>#N/A</v>
      </c>
      <c r="O167" s="115" t="e">
        <f>VLOOKUP($A167,'S45'!$C:$BQ,29,0)</f>
        <v>#N/A</v>
      </c>
      <c r="P167" s="115" t="e">
        <f>VLOOKUP($A167,'S45'!$C:$BQ,30,0)</f>
        <v>#N/A</v>
      </c>
      <c r="Q167" s="115" t="e">
        <f>VLOOKUP($A167,'S45'!$C:$BQ,52,0)</f>
        <v>#N/A</v>
      </c>
      <c r="R167" s="115" t="e">
        <f>VLOOKUP($A167,'S45'!$C:$BQ,59,0)</f>
        <v>#N/A</v>
      </c>
      <c r="S167" s="115" t="e">
        <f>VLOOKUP($A167,'S45'!$C:$BQ,60,0)</f>
        <v>#N/A</v>
      </c>
      <c r="T167" s="107" t="e">
        <f>VLOOKUP($A167,'S46'!$C:$BQ,32,0)</f>
        <v>#N/A</v>
      </c>
      <c r="U167" s="107" t="e">
        <f>VLOOKUP($A167,'S46'!$C:$BQ,39,0)</f>
        <v>#N/A</v>
      </c>
      <c r="V167" s="107" t="e">
        <f>VLOOKUP($A167,'S46'!$C:$BQ,40,0)</f>
        <v>#N/A</v>
      </c>
      <c r="W167" s="107" t="e">
        <f>VLOOKUP($A167,'S46'!$C:$BQ,22,0)</f>
        <v>#N/A</v>
      </c>
      <c r="X167" s="115" t="e">
        <f>VLOOKUP($A167,'S46'!$C:$BQ,29,0)</f>
        <v>#N/A</v>
      </c>
      <c r="Y167" s="115" t="e">
        <f>VLOOKUP($A167,'S46'!$C:$BQ,30,0)</f>
        <v>#N/A</v>
      </c>
      <c r="Z167" s="115" t="e">
        <f>VLOOKUP($A167,'S46'!$C:$BQ,52,0)</f>
        <v>#N/A</v>
      </c>
      <c r="AA167" s="115" t="e">
        <f>VLOOKUP($A167,'S46'!$C:$BQ,59,0)</f>
        <v>#N/A</v>
      </c>
      <c r="AB167" s="115" t="e">
        <f>VLOOKUP($A167,'S46'!$C:$BQ,60,0)</f>
        <v>#N/A</v>
      </c>
      <c r="AC167" s="107" t="e">
        <f>VLOOKUP($A167,'S47'!$C:$BQ,32,0)</f>
        <v>#N/A</v>
      </c>
      <c r="AD167" s="107" t="e">
        <f>VLOOKUP($A167,'S47'!$C:$BQ,39,0)</f>
        <v>#N/A</v>
      </c>
      <c r="AE167" s="107" t="e">
        <f>VLOOKUP($A167,'S47'!$C:$BQ,40,0)</f>
        <v>#N/A</v>
      </c>
      <c r="AF167" s="107" t="e">
        <f>VLOOKUP($A167,'S47'!$C:$BQ,22,0)</f>
        <v>#N/A</v>
      </c>
      <c r="AG167" s="115" t="e">
        <f>VLOOKUP($A167,'S47'!$C:$BQ,29,0)</f>
        <v>#N/A</v>
      </c>
      <c r="AH167" s="115" t="e">
        <f>VLOOKUP($A167,'S47'!$C:$BQ,30,0)</f>
        <v>#N/A</v>
      </c>
      <c r="AI167" s="115" t="e">
        <f>VLOOKUP($A167,'S47'!$C:$BQ,52,0)</f>
        <v>#N/A</v>
      </c>
      <c r="AJ167" s="115" t="e">
        <f>VLOOKUP($A167,'S47'!$C:$BQ,59,0)</f>
        <v>#N/A</v>
      </c>
      <c r="AK167" s="115" t="e">
        <f>VLOOKUP($A167,'S47'!$C:$BQ,60,0)</f>
        <v>#N/A</v>
      </c>
      <c r="AL167" s="107" t="e">
        <f>VLOOKUP($A167,'S48'!$C:$BQ,32,0)</f>
        <v>#N/A</v>
      </c>
      <c r="AM167" s="107" t="e">
        <f>VLOOKUP($A167,'S48'!$C:$BQ,39,0)</f>
        <v>#N/A</v>
      </c>
      <c r="AN167" s="107" t="e">
        <f>VLOOKUP($A167,'S48'!$C:$BQ,40,0)</f>
        <v>#N/A</v>
      </c>
      <c r="AO167" s="107" t="e">
        <f>VLOOKUP($A167,'S48'!$C:$BQ,22,0)</f>
        <v>#N/A</v>
      </c>
      <c r="AP167" s="115" t="e">
        <f>VLOOKUP($A167,'S48'!$C:$BQ,29,0)</f>
        <v>#N/A</v>
      </c>
      <c r="AQ167" s="115" t="e">
        <f>VLOOKUP($A167,'S48'!$C:$BQ,30,0)</f>
        <v>#N/A</v>
      </c>
      <c r="AR167" s="115" t="e">
        <f>VLOOKUP($A167,'S48'!$C:$BQ,52,0)</f>
        <v>#N/A</v>
      </c>
      <c r="AS167" s="115" t="e">
        <f>VLOOKUP($A167,'S48'!$C:$BQ,59,0)</f>
        <v>#N/A</v>
      </c>
      <c r="AT167" s="115" t="e">
        <f>VLOOKUP($A167,'S48'!$C:$BQ,60,0)</f>
        <v>#N/A</v>
      </c>
      <c r="AU167" s="107" t="e">
        <f>VLOOKUP($A167,'S49'!$C:$BQ,32,0)</f>
        <v>#N/A</v>
      </c>
      <c r="AV167" s="107" t="e">
        <f>VLOOKUP($A167,'S49'!$C:$BQ,39,0)</f>
        <v>#N/A</v>
      </c>
      <c r="AW167" s="107" t="e">
        <f>VLOOKUP($A167,'S49'!$C:$BQ,40,0)</f>
        <v>#N/A</v>
      </c>
      <c r="AX167" s="107" t="e">
        <f>VLOOKUP($A167,'S49'!$C:$BQ,22,0)</f>
        <v>#N/A</v>
      </c>
      <c r="AY167" s="115" t="e">
        <f>VLOOKUP($A167,'S49'!$C:$BQ,29,0)</f>
        <v>#N/A</v>
      </c>
      <c r="AZ167" s="115" t="e">
        <f>VLOOKUP($A167,'S49'!$C:$BQ,30,0)</f>
        <v>#N/A</v>
      </c>
      <c r="BA167" s="115" t="e">
        <f>VLOOKUP($A167,'S49'!$C:$BQ,52,0)</f>
        <v>#N/A</v>
      </c>
      <c r="BB167" s="115" t="e">
        <f>VLOOKUP($A167,'S49'!$C:$BQ,59,0)</f>
        <v>#N/A</v>
      </c>
      <c r="BC167" s="115" t="e">
        <f>VLOOKUP($A167,'S49'!$C:$BQ,60,0)</f>
        <v>#N/A</v>
      </c>
      <c r="BD167" s="107" t="e">
        <f>VLOOKUP($A167,'S50'!$C:$BQ,32,0)</f>
        <v>#N/A</v>
      </c>
      <c r="BE167" s="107" t="e">
        <f>VLOOKUP($A167,'S50'!$C:$BQ,39,0)</f>
        <v>#N/A</v>
      </c>
      <c r="BF167" s="107" t="e">
        <f>VLOOKUP($A167,'S50'!$C:$BQ,40,0)</f>
        <v>#N/A</v>
      </c>
      <c r="BG167" s="107" t="e">
        <f>VLOOKUP($A167,'S50'!$C:$BQ,22,0)</f>
        <v>#N/A</v>
      </c>
      <c r="BH167" s="115" t="e">
        <f>VLOOKUP($A167,'S50'!$C:$BQ,29,0)</f>
        <v>#N/A</v>
      </c>
      <c r="BI167" s="115" t="e">
        <f>VLOOKUP($A167,'S50'!$C:$BQ,30,0)</f>
        <v>#N/A</v>
      </c>
      <c r="BJ167" s="115" t="e">
        <f>VLOOKUP($A167,'S50'!$C:$BQ,52,0)</f>
        <v>#N/A</v>
      </c>
      <c r="BK167" s="115" t="e">
        <f>VLOOKUP($A167,'S50'!$C:$BQ,59,0)</f>
        <v>#N/A</v>
      </c>
      <c r="BL167" s="115" t="e">
        <f>VLOOKUP($A167,'S50'!$C:$BQ,60,0)</f>
        <v>#N/A</v>
      </c>
    </row>
    <row r="168" spans="1:64" x14ac:dyDescent="0.2">
      <c r="A168" s="106" t="s">
        <v>235</v>
      </c>
      <c r="B168" s="107">
        <f>VLOOKUP($A168,'S0 remplacer avec S44'!$C:$BQ,32,0)</f>
        <v>211.5</v>
      </c>
      <c r="C168" s="107">
        <f>VLOOKUP($A168,'S0 remplacer avec S44'!$C:$BQ,39,0)</f>
        <v>88</v>
      </c>
      <c r="D168" s="107">
        <f>VLOOKUP($A168,'S0 remplacer avec S44'!$C:$BQ,40,0)</f>
        <v>148</v>
      </c>
      <c r="E168" s="107">
        <f>VLOOKUP($A168,'S0 remplacer avec S44'!$C:$BQ,22,0)</f>
        <v>2073.7232749999998</v>
      </c>
      <c r="F168" s="115">
        <f>VLOOKUP($A168,'S0 remplacer avec S44'!$C:$BQ,29,0)</f>
        <v>649</v>
      </c>
      <c r="G168" s="115">
        <f>VLOOKUP($A168,'S0 remplacer avec S44'!$C:$BQ,30,0)</f>
        <v>1193</v>
      </c>
      <c r="H168" s="115">
        <f>VLOOKUP($A168,'S0 remplacer avec S44'!$C:$BQ,52,0)</f>
        <v>147.19999999999999</v>
      </c>
      <c r="I168" s="115">
        <f>VLOOKUP($A168,'S0 remplacer avec S44'!$C:$BQ,59,0)</f>
        <v>5</v>
      </c>
      <c r="J168" s="115">
        <f>VLOOKUP($A168,'S0 remplacer avec S44'!$C:$BQ,60,0)</f>
        <v>36</v>
      </c>
      <c r="K168" s="107" t="e">
        <f>VLOOKUP($A168,'S45'!$C:$BQ,32,0)</f>
        <v>#N/A</v>
      </c>
      <c r="L168" s="107" t="e">
        <f>VLOOKUP($A168,'S45'!$C:$BQ,39,0)</f>
        <v>#N/A</v>
      </c>
      <c r="M168" s="107" t="e">
        <f>VLOOKUP($A168,'S45'!$C:$BQ,40,0)</f>
        <v>#N/A</v>
      </c>
      <c r="N168" s="107" t="e">
        <f>VLOOKUP($A168,'S45'!$C:$BQ,22,0)</f>
        <v>#N/A</v>
      </c>
      <c r="O168" s="115" t="e">
        <f>VLOOKUP($A168,'S45'!$C:$BQ,29,0)</f>
        <v>#N/A</v>
      </c>
      <c r="P168" s="115" t="e">
        <f>VLOOKUP($A168,'S45'!$C:$BQ,30,0)</f>
        <v>#N/A</v>
      </c>
      <c r="Q168" s="115" t="e">
        <f>VLOOKUP($A168,'S45'!$C:$BQ,52,0)</f>
        <v>#N/A</v>
      </c>
      <c r="R168" s="115" t="e">
        <f>VLOOKUP($A168,'S45'!$C:$BQ,59,0)</f>
        <v>#N/A</v>
      </c>
      <c r="S168" s="115" t="e">
        <f>VLOOKUP($A168,'S45'!$C:$BQ,60,0)</f>
        <v>#N/A</v>
      </c>
      <c r="T168" s="107" t="e">
        <f>VLOOKUP($A168,'S46'!$C:$BQ,32,0)</f>
        <v>#N/A</v>
      </c>
      <c r="U168" s="107" t="e">
        <f>VLOOKUP($A168,'S46'!$C:$BQ,39,0)</f>
        <v>#N/A</v>
      </c>
      <c r="V168" s="107" t="e">
        <f>VLOOKUP($A168,'S46'!$C:$BQ,40,0)</f>
        <v>#N/A</v>
      </c>
      <c r="W168" s="107" t="e">
        <f>VLOOKUP($A168,'S46'!$C:$BQ,22,0)</f>
        <v>#N/A</v>
      </c>
      <c r="X168" s="115" t="e">
        <f>VLOOKUP($A168,'S46'!$C:$BQ,29,0)</f>
        <v>#N/A</v>
      </c>
      <c r="Y168" s="115" t="e">
        <f>VLOOKUP($A168,'S46'!$C:$BQ,30,0)</f>
        <v>#N/A</v>
      </c>
      <c r="Z168" s="115" t="e">
        <f>VLOOKUP($A168,'S46'!$C:$BQ,52,0)</f>
        <v>#N/A</v>
      </c>
      <c r="AA168" s="115" t="e">
        <f>VLOOKUP($A168,'S46'!$C:$BQ,59,0)</f>
        <v>#N/A</v>
      </c>
      <c r="AB168" s="115" t="e">
        <f>VLOOKUP($A168,'S46'!$C:$BQ,60,0)</f>
        <v>#N/A</v>
      </c>
      <c r="AC168" s="107" t="e">
        <f>VLOOKUP($A168,'S47'!$C:$BQ,32,0)</f>
        <v>#N/A</v>
      </c>
      <c r="AD168" s="107" t="e">
        <f>VLOOKUP($A168,'S47'!$C:$BQ,39,0)</f>
        <v>#N/A</v>
      </c>
      <c r="AE168" s="107" t="e">
        <f>VLOOKUP($A168,'S47'!$C:$BQ,40,0)</f>
        <v>#N/A</v>
      </c>
      <c r="AF168" s="107" t="e">
        <f>VLOOKUP($A168,'S47'!$C:$BQ,22,0)</f>
        <v>#N/A</v>
      </c>
      <c r="AG168" s="115" t="e">
        <f>VLOOKUP($A168,'S47'!$C:$BQ,29,0)</f>
        <v>#N/A</v>
      </c>
      <c r="AH168" s="115" t="e">
        <f>VLOOKUP($A168,'S47'!$C:$BQ,30,0)</f>
        <v>#N/A</v>
      </c>
      <c r="AI168" s="115" t="e">
        <f>VLOOKUP($A168,'S47'!$C:$BQ,52,0)</f>
        <v>#N/A</v>
      </c>
      <c r="AJ168" s="115" t="e">
        <f>VLOOKUP($A168,'S47'!$C:$BQ,59,0)</f>
        <v>#N/A</v>
      </c>
      <c r="AK168" s="115" t="e">
        <f>VLOOKUP($A168,'S47'!$C:$BQ,60,0)</f>
        <v>#N/A</v>
      </c>
      <c r="AL168" s="107" t="e">
        <f>VLOOKUP($A168,'S48'!$C:$BQ,32,0)</f>
        <v>#N/A</v>
      </c>
      <c r="AM168" s="107" t="e">
        <f>VLOOKUP($A168,'S48'!$C:$BQ,39,0)</f>
        <v>#N/A</v>
      </c>
      <c r="AN168" s="107" t="e">
        <f>VLOOKUP($A168,'S48'!$C:$BQ,40,0)</f>
        <v>#N/A</v>
      </c>
      <c r="AO168" s="107" t="e">
        <f>VLOOKUP($A168,'S48'!$C:$BQ,22,0)</f>
        <v>#N/A</v>
      </c>
      <c r="AP168" s="115" t="e">
        <f>VLOOKUP($A168,'S48'!$C:$BQ,29,0)</f>
        <v>#N/A</v>
      </c>
      <c r="AQ168" s="115" t="e">
        <f>VLOOKUP($A168,'S48'!$C:$BQ,30,0)</f>
        <v>#N/A</v>
      </c>
      <c r="AR168" s="115" t="e">
        <f>VLOOKUP($A168,'S48'!$C:$BQ,52,0)</f>
        <v>#N/A</v>
      </c>
      <c r="AS168" s="115" t="e">
        <f>VLOOKUP($A168,'S48'!$C:$BQ,59,0)</f>
        <v>#N/A</v>
      </c>
      <c r="AT168" s="115" t="e">
        <f>VLOOKUP($A168,'S48'!$C:$BQ,60,0)</f>
        <v>#N/A</v>
      </c>
      <c r="AU168" s="107" t="e">
        <f>VLOOKUP($A168,'S49'!$C:$BQ,32,0)</f>
        <v>#N/A</v>
      </c>
      <c r="AV168" s="107" t="e">
        <f>VLOOKUP($A168,'S49'!$C:$BQ,39,0)</f>
        <v>#N/A</v>
      </c>
      <c r="AW168" s="107" t="e">
        <f>VLOOKUP($A168,'S49'!$C:$BQ,40,0)</f>
        <v>#N/A</v>
      </c>
      <c r="AX168" s="107" t="e">
        <f>VLOOKUP($A168,'S49'!$C:$BQ,22,0)</f>
        <v>#N/A</v>
      </c>
      <c r="AY168" s="115" t="e">
        <f>VLOOKUP($A168,'S49'!$C:$BQ,29,0)</f>
        <v>#N/A</v>
      </c>
      <c r="AZ168" s="115" t="e">
        <f>VLOOKUP($A168,'S49'!$C:$BQ,30,0)</f>
        <v>#N/A</v>
      </c>
      <c r="BA168" s="115" t="e">
        <f>VLOOKUP($A168,'S49'!$C:$BQ,52,0)</f>
        <v>#N/A</v>
      </c>
      <c r="BB168" s="115" t="e">
        <f>VLOOKUP($A168,'S49'!$C:$BQ,59,0)</f>
        <v>#N/A</v>
      </c>
      <c r="BC168" s="115" t="e">
        <f>VLOOKUP($A168,'S49'!$C:$BQ,60,0)</f>
        <v>#N/A</v>
      </c>
      <c r="BD168" s="107" t="e">
        <f>VLOOKUP($A168,'S50'!$C:$BQ,32,0)</f>
        <v>#N/A</v>
      </c>
      <c r="BE168" s="107" t="e">
        <f>VLOOKUP($A168,'S50'!$C:$BQ,39,0)</f>
        <v>#N/A</v>
      </c>
      <c r="BF168" s="107" t="e">
        <f>VLOOKUP($A168,'S50'!$C:$BQ,40,0)</f>
        <v>#N/A</v>
      </c>
      <c r="BG168" s="107" t="e">
        <f>VLOOKUP($A168,'S50'!$C:$BQ,22,0)</f>
        <v>#N/A</v>
      </c>
      <c r="BH168" s="115" t="e">
        <f>VLOOKUP($A168,'S50'!$C:$BQ,29,0)</f>
        <v>#N/A</v>
      </c>
      <c r="BI168" s="115" t="e">
        <f>VLOOKUP($A168,'S50'!$C:$BQ,30,0)</f>
        <v>#N/A</v>
      </c>
      <c r="BJ168" s="115" t="e">
        <f>VLOOKUP($A168,'S50'!$C:$BQ,52,0)</f>
        <v>#N/A</v>
      </c>
      <c r="BK168" s="115" t="e">
        <f>VLOOKUP($A168,'S50'!$C:$BQ,59,0)</f>
        <v>#N/A</v>
      </c>
      <c r="BL168" s="115" t="e">
        <f>VLOOKUP($A168,'S50'!$C:$BQ,60,0)</f>
        <v>#N/A</v>
      </c>
    </row>
    <row r="169" spans="1:64" x14ac:dyDescent="0.2">
      <c r="A169" s="106" t="s">
        <v>236</v>
      </c>
      <c r="B169" s="107">
        <f>VLOOKUP($A169,'S0 remplacer avec S44'!$C:$BQ,32,0)</f>
        <v>160.80000000000001</v>
      </c>
      <c r="C169" s="107">
        <f>VLOOKUP($A169,'S0 remplacer avec S44'!$C:$BQ,39,0)</f>
        <v>48</v>
      </c>
      <c r="D169" s="107">
        <f>VLOOKUP($A169,'S0 remplacer avec S44'!$C:$BQ,40,0)</f>
        <v>89</v>
      </c>
      <c r="E169" s="107">
        <f>VLOOKUP($A169,'S0 remplacer avec S44'!$C:$BQ,22,0)</f>
        <v>1558.964815</v>
      </c>
      <c r="F169" s="115">
        <f>VLOOKUP($A169,'S0 remplacer avec S44'!$C:$BQ,29,0)</f>
        <v>333</v>
      </c>
      <c r="G169" s="115">
        <f>VLOOKUP($A169,'S0 remplacer avec S44'!$C:$BQ,30,0)</f>
        <v>711</v>
      </c>
      <c r="H169" s="115">
        <f>VLOOKUP($A169,'S0 remplacer avec S44'!$C:$BQ,52,0)</f>
        <v>117.8</v>
      </c>
      <c r="I169" s="115">
        <f>VLOOKUP($A169,'S0 remplacer avec S44'!$C:$BQ,59,0)</f>
        <v>0</v>
      </c>
      <c r="J169" s="115">
        <f>VLOOKUP($A169,'S0 remplacer avec S44'!$C:$BQ,60,0)</f>
        <v>9</v>
      </c>
      <c r="K169" s="107" t="e">
        <f>VLOOKUP($A169,'S45'!$C:$BQ,32,0)</f>
        <v>#N/A</v>
      </c>
      <c r="L169" s="107" t="e">
        <f>VLOOKUP($A169,'S45'!$C:$BQ,39,0)</f>
        <v>#N/A</v>
      </c>
      <c r="M169" s="107" t="e">
        <f>VLOOKUP($A169,'S45'!$C:$BQ,40,0)</f>
        <v>#N/A</v>
      </c>
      <c r="N169" s="107" t="e">
        <f>VLOOKUP($A169,'S45'!$C:$BQ,22,0)</f>
        <v>#N/A</v>
      </c>
      <c r="O169" s="115" t="e">
        <f>VLOOKUP($A169,'S45'!$C:$BQ,29,0)</f>
        <v>#N/A</v>
      </c>
      <c r="P169" s="115" t="e">
        <f>VLOOKUP($A169,'S45'!$C:$BQ,30,0)</f>
        <v>#N/A</v>
      </c>
      <c r="Q169" s="115" t="e">
        <f>VLOOKUP($A169,'S45'!$C:$BQ,52,0)</f>
        <v>#N/A</v>
      </c>
      <c r="R169" s="115" t="e">
        <f>VLOOKUP($A169,'S45'!$C:$BQ,59,0)</f>
        <v>#N/A</v>
      </c>
      <c r="S169" s="115" t="e">
        <f>VLOOKUP($A169,'S45'!$C:$BQ,60,0)</f>
        <v>#N/A</v>
      </c>
      <c r="T169" s="107" t="e">
        <f>VLOOKUP($A169,'S46'!$C:$BQ,32,0)</f>
        <v>#N/A</v>
      </c>
      <c r="U169" s="107" t="e">
        <f>VLOOKUP($A169,'S46'!$C:$BQ,39,0)</f>
        <v>#N/A</v>
      </c>
      <c r="V169" s="107" t="e">
        <f>VLOOKUP($A169,'S46'!$C:$BQ,40,0)</f>
        <v>#N/A</v>
      </c>
      <c r="W169" s="107" t="e">
        <f>VLOOKUP($A169,'S46'!$C:$BQ,22,0)</f>
        <v>#N/A</v>
      </c>
      <c r="X169" s="115" t="e">
        <f>VLOOKUP($A169,'S46'!$C:$BQ,29,0)</f>
        <v>#N/A</v>
      </c>
      <c r="Y169" s="115" t="e">
        <f>VLOOKUP($A169,'S46'!$C:$BQ,30,0)</f>
        <v>#N/A</v>
      </c>
      <c r="Z169" s="115" t="e">
        <f>VLOOKUP($A169,'S46'!$C:$BQ,52,0)</f>
        <v>#N/A</v>
      </c>
      <c r="AA169" s="115" t="e">
        <f>VLOOKUP($A169,'S46'!$C:$BQ,59,0)</f>
        <v>#N/A</v>
      </c>
      <c r="AB169" s="115" t="e">
        <f>VLOOKUP($A169,'S46'!$C:$BQ,60,0)</f>
        <v>#N/A</v>
      </c>
      <c r="AC169" s="107" t="e">
        <f>VLOOKUP($A169,'S47'!$C:$BQ,32,0)</f>
        <v>#N/A</v>
      </c>
      <c r="AD169" s="107" t="e">
        <f>VLOOKUP($A169,'S47'!$C:$BQ,39,0)</f>
        <v>#N/A</v>
      </c>
      <c r="AE169" s="107" t="e">
        <f>VLOOKUP($A169,'S47'!$C:$BQ,40,0)</f>
        <v>#N/A</v>
      </c>
      <c r="AF169" s="107" t="e">
        <f>VLOOKUP($A169,'S47'!$C:$BQ,22,0)</f>
        <v>#N/A</v>
      </c>
      <c r="AG169" s="115" t="e">
        <f>VLOOKUP($A169,'S47'!$C:$BQ,29,0)</f>
        <v>#N/A</v>
      </c>
      <c r="AH169" s="115" t="e">
        <f>VLOOKUP($A169,'S47'!$C:$BQ,30,0)</f>
        <v>#N/A</v>
      </c>
      <c r="AI169" s="115" t="e">
        <f>VLOOKUP($A169,'S47'!$C:$BQ,52,0)</f>
        <v>#N/A</v>
      </c>
      <c r="AJ169" s="115" t="e">
        <f>VLOOKUP($A169,'S47'!$C:$BQ,59,0)</f>
        <v>#N/A</v>
      </c>
      <c r="AK169" s="115" t="e">
        <f>VLOOKUP($A169,'S47'!$C:$BQ,60,0)</f>
        <v>#N/A</v>
      </c>
      <c r="AL169" s="107" t="e">
        <f>VLOOKUP($A169,'S48'!$C:$BQ,32,0)</f>
        <v>#N/A</v>
      </c>
      <c r="AM169" s="107" t="e">
        <f>VLOOKUP($A169,'S48'!$C:$BQ,39,0)</f>
        <v>#N/A</v>
      </c>
      <c r="AN169" s="107" t="e">
        <f>VLOOKUP($A169,'S48'!$C:$BQ,40,0)</f>
        <v>#N/A</v>
      </c>
      <c r="AO169" s="107" t="e">
        <f>VLOOKUP($A169,'S48'!$C:$BQ,22,0)</f>
        <v>#N/A</v>
      </c>
      <c r="AP169" s="115" t="e">
        <f>VLOOKUP($A169,'S48'!$C:$BQ,29,0)</f>
        <v>#N/A</v>
      </c>
      <c r="AQ169" s="115" t="e">
        <f>VLOOKUP($A169,'S48'!$C:$BQ,30,0)</f>
        <v>#N/A</v>
      </c>
      <c r="AR169" s="115" t="e">
        <f>VLOOKUP($A169,'S48'!$C:$BQ,52,0)</f>
        <v>#N/A</v>
      </c>
      <c r="AS169" s="115" t="e">
        <f>VLOOKUP($A169,'S48'!$C:$BQ,59,0)</f>
        <v>#N/A</v>
      </c>
      <c r="AT169" s="115" t="e">
        <f>VLOOKUP($A169,'S48'!$C:$BQ,60,0)</f>
        <v>#N/A</v>
      </c>
      <c r="AU169" s="107" t="e">
        <f>VLOOKUP($A169,'S49'!$C:$BQ,32,0)</f>
        <v>#N/A</v>
      </c>
      <c r="AV169" s="107" t="e">
        <f>VLOOKUP($A169,'S49'!$C:$BQ,39,0)</f>
        <v>#N/A</v>
      </c>
      <c r="AW169" s="107" t="e">
        <f>VLOOKUP($A169,'S49'!$C:$BQ,40,0)</f>
        <v>#N/A</v>
      </c>
      <c r="AX169" s="107" t="e">
        <f>VLOOKUP($A169,'S49'!$C:$BQ,22,0)</f>
        <v>#N/A</v>
      </c>
      <c r="AY169" s="115" t="e">
        <f>VLOOKUP($A169,'S49'!$C:$BQ,29,0)</f>
        <v>#N/A</v>
      </c>
      <c r="AZ169" s="115" t="e">
        <f>VLOOKUP($A169,'S49'!$C:$BQ,30,0)</f>
        <v>#N/A</v>
      </c>
      <c r="BA169" s="115" t="e">
        <f>VLOOKUP($A169,'S49'!$C:$BQ,52,0)</f>
        <v>#N/A</v>
      </c>
      <c r="BB169" s="115" t="e">
        <f>VLOOKUP($A169,'S49'!$C:$BQ,59,0)</f>
        <v>#N/A</v>
      </c>
      <c r="BC169" s="115" t="e">
        <f>VLOOKUP($A169,'S49'!$C:$BQ,60,0)</f>
        <v>#N/A</v>
      </c>
      <c r="BD169" s="107" t="e">
        <f>VLOOKUP($A169,'S50'!$C:$BQ,32,0)</f>
        <v>#N/A</v>
      </c>
      <c r="BE169" s="107" t="e">
        <f>VLOOKUP($A169,'S50'!$C:$BQ,39,0)</f>
        <v>#N/A</v>
      </c>
      <c r="BF169" s="107" t="e">
        <f>VLOOKUP($A169,'S50'!$C:$BQ,40,0)</f>
        <v>#N/A</v>
      </c>
      <c r="BG169" s="107" t="e">
        <f>VLOOKUP($A169,'S50'!$C:$BQ,22,0)</f>
        <v>#N/A</v>
      </c>
      <c r="BH169" s="115" t="e">
        <f>VLOOKUP($A169,'S50'!$C:$BQ,29,0)</f>
        <v>#N/A</v>
      </c>
      <c r="BI169" s="115" t="e">
        <f>VLOOKUP($A169,'S50'!$C:$BQ,30,0)</f>
        <v>#N/A</v>
      </c>
      <c r="BJ169" s="115" t="e">
        <f>VLOOKUP($A169,'S50'!$C:$BQ,52,0)</f>
        <v>#N/A</v>
      </c>
      <c r="BK169" s="115" t="e">
        <f>VLOOKUP($A169,'S50'!$C:$BQ,59,0)</f>
        <v>#N/A</v>
      </c>
      <c r="BL169" s="115" t="e">
        <f>VLOOKUP($A169,'S50'!$C:$BQ,60,0)</f>
        <v>#N/A</v>
      </c>
    </row>
    <row r="170" spans="1:64" x14ac:dyDescent="0.2">
      <c r="A170" s="106" t="s">
        <v>237</v>
      </c>
      <c r="B170" s="107">
        <f>VLOOKUP($A170,'S0 remplacer avec S44'!$C:$BQ,32,0)</f>
        <v>135</v>
      </c>
      <c r="C170" s="107">
        <f>VLOOKUP($A170,'S0 remplacer avec S44'!$C:$BQ,39,0)</f>
        <v>117</v>
      </c>
      <c r="D170" s="107">
        <f>VLOOKUP($A170,'S0 remplacer avec S44'!$C:$BQ,40,0)</f>
        <v>167</v>
      </c>
      <c r="E170" s="107">
        <f>VLOOKUP($A170,'S0 remplacer avec S44'!$C:$BQ,22,0)</f>
        <v>1267.7716700000001</v>
      </c>
      <c r="F170" s="115">
        <f>VLOOKUP($A170,'S0 remplacer avec S44'!$C:$BQ,29,0)</f>
        <v>1016</v>
      </c>
      <c r="G170" s="115">
        <f>VLOOKUP($A170,'S0 remplacer avec S44'!$C:$BQ,30,0)</f>
        <v>1473</v>
      </c>
      <c r="H170" s="115">
        <f>VLOOKUP($A170,'S0 remplacer avec S44'!$C:$BQ,52,0)</f>
        <v>113.4</v>
      </c>
      <c r="I170" s="115">
        <f>VLOOKUP($A170,'S0 remplacer avec S44'!$C:$BQ,59,0)</f>
        <v>15</v>
      </c>
      <c r="J170" s="115">
        <f>VLOOKUP($A170,'S0 remplacer avec S44'!$C:$BQ,60,0)</f>
        <v>40</v>
      </c>
      <c r="K170" s="107" t="e">
        <f>VLOOKUP($A170,'S45'!$C:$BQ,32,0)</f>
        <v>#N/A</v>
      </c>
      <c r="L170" s="107" t="e">
        <f>VLOOKUP($A170,'S45'!$C:$BQ,39,0)</f>
        <v>#N/A</v>
      </c>
      <c r="M170" s="107" t="e">
        <f>VLOOKUP($A170,'S45'!$C:$BQ,40,0)</f>
        <v>#N/A</v>
      </c>
      <c r="N170" s="107" t="e">
        <f>VLOOKUP($A170,'S45'!$C:$BQ,22,0)</f>
        <v>#N/A</v>
      </c>
      <c r="O170" s="115" t="e">
        <f>VLOOKUP($A170,'S45'!$C:$BQ,29,0)</f>
        <v>#N/A</v>
      </c>
      <c r="P170" s="115" t="e">
        <f>VLOOKUP($A170,'S45'!$C:$BQ,30,0)</f>
        <v>#N/A</v>
      </c>
      <c r="Q170" s="115" t="e">
        <f>VLOOKUP($A170,'S45'!$C:$BQ,52,0)</f>
        <v>#N/A</v>
      </c>
      <c r="R170" s="115" t="e">
        <f>VLOOKUP($A170,'S45'!$C:$BQ,59,0)</f>
        <v>#N/A</v>
      </c>
      <c r="S170" s="115" t="e">
        <f>VLOOKUP($A170,'S45'!$C:$BQ,60,0)</f>
        <v>#N/A</v>
      </c>
      <c r="T170" s="107" t="e">
        <f>VLOOKUP($A170,'S46'!$C:$BQ,32,0)</f>
        <v>#N/A</v>
      </c>
      <c r="U170" s="107" t="e">
        <f>VLOOKUP($A170,'S46'!$C:$BQ,39,0)</f>
        <v>#N/A</v>
      </c>
      <c r="V170" s="107" t="e">
        <f>VLOOKUP($A170,'S46'!$C:$BQ,40,0)</f>
        <v>#N/A</v>
      </c>
      <c r="W170" s="107" t="e">
        <f>VLOOKUP($A170,'S46'!$C:$BQ,22,0)</f>
        <v>#N/A</v>
      </c>
      <c r="X170" s="115" t="e">
        <f>VLOOKUP($A170,'S46'!$C:$BQ,29,0)</f>
        <v>#N/A</v>
      </c>
      <c r="Y170" s="115" t="e">
        <f>VLOOKUP($A170,'S46'!$C:$BQ,30,0)</f>
        <v>#N/A</v>
      </c>
      <c r="Z170" s="115" t="e">
        <f>VLOOKUP($A170,'S46'!$C:$BQ,52,0)</f>
        <v>#N/A</v>
      </c>
      <c r="AA170" s="115" t="e">
        <f>VLOOKUP($A170,'S46'!$C:$BQ,59,0)</f>
        <v>#N/A</v>
      </c>
      <c r="AB170" s="115" t="e">
        <f>VLOOKUP($A170,'S46'!$C:$BQ,60,0)</f>
        <v>#N/A</v>
      </c>
      <c r="AC170" s="107" t="e">
        <f>VLOOKUP($A170,'S47'!$C:$BQ,32,0)</f>
        <v>#N/A</v>
      </c>
      <c r="AD170" s="107" t="e">
        <f>VLOOKUP($A170,'S47'!$C:$BQ,39,0)</f>
        <v>#N/A</v>
      </c>
      <c r="AE170" s="107" t="e">
        <f>VLOOKUP($A170,'S47'!$C:$BQ,40,0)</f>
        <v>#N/A</v>
      </c>
      <c r="AF170" s="107" t="e">
        <f>VLOOKUP($A170,'S47'!$C:$BQ,22,0)</f>
        <v>#N/A</v>
      </c>
      <c r="AG170" s="115" t="e">
        <f>VLOOKUP($A170,'S47'!$C:$BQ,29,0)</f>
        <v>#N/A</v>
      </c>
      <c r="AH170" s="115" t="e">
        <f>VLOOKUP($A170,'S47'!$C:$BQ,30,0)</f>
        <v>#N/A</v>
      </c>
      <c r="AI170" s="115" t="e">
        <f>VLOOKUP($A170,'S47'!$C:$BQ,52,0)</f>
        <v>#N/A</v>
      </c>
      <c r="AJ170" s="115" t="e">
        <f>VLOOKUP($A170,'S47'!$C:$BQ,59,0)</f>
        <v>#N/A</v>
      </c>
      <c r="AK170" s="115" t="e">
        <f>VLOOKUP($A170,'S47'!$C:$BQ,60,0)</f>
        <v>#N/A</v>
      </c>
      <c r="AL170" s="107" t="e">
        <f>VLOOKUP($A170,'S48'!$C:$BQ,32,0)</f>
        <v>#N/A</v>
      </c>
      <c r="AM170" s="107" t="e">
        <f>VLOOKUP($A170,'S48'!$C:$BQ,39,0)</f>
        <v>#N/A</v>
      </c>
      <c r="AN170" s="107" t="e">
        <f>VLOOKUP($A170,'S48'!$C:$BQ,40,0)</f>
        <v>#N/A</v>
      </c>
      <c r="AO170" s="107" t="e">
        <f>VLOOKUP($A170,'S48'!$C:$BQ,22,0)</f>
        <v>#N/A</v>
      </c>
      <c r="AP170" s="115" t="e">
        <f>VLOOKUP($A170,'S48'!$C:$BQ,29,0)</f>
        <v>#N/A</v>
      </c>
      <c r="AQ170" s="115" t="e">
        <f>VLOOKUP($A170,'S48'!$C:$BQ,30,0)</f>
        <v>#N/A</v>
      </c>
      <c r="AR170" s="115" t="e">
        <f>VLOOKUP($A170,'S48'!$C:$BQ,52,0)</f>
        <v>#N/A</v>
      </c>
      <c r="AS170" s="115" t="e">
        <f>VLOOKUP($A170,'S48'!$C:$BQ,59,0)</f>
        <v>#N/A</v>
      </c>
      <c r="AT170" s="115" t="e">
        <f>VLOOKUP($A170,'S48'!$C:$BQ,60,0)</f>
        <v>#N/A</v>
      </c>
      <c r="AU170" s="107" t="e">
        <f>VLOOKUP($A170,'S49'!$C:$BQ,32,0)</f>
        <v>#N/A</v>
      </c>
      <c r="AV170" s="107" t="e">
        <f>VLOOKUP($A170,'S49'!$C:$BQ,39,0)</f>
        <v>#N/A</v>
      </c>
      <c r="AW170" s="107" t="e">
        <f>VLOOKUP($A170,'S49'!$C:$BQ,40,0)</f>
        <v>#N/A</v>
      </c>
      <c r="AX170" s="107" t="e">
        <f>VLOOKUP($A170,'S49'!$C:$BQ,22,0)</f>
        <v>#N/A</v>
      </c>
      <c r="AY170" s="115" t="e">
        <f>VLOOKUP($A170,'S49'!$C:$BQ,29,0)</f>
        <v>#N/A</v>
      </c>
      <c r="AZ170" s="115" t="e">
        <f>VLOOKUP($A170,'S49'!$C:$BQ,30,0)</f>
        <v>#N/A</v>
      </c>
      <c r="BA170" s="115" t="e">
        <f>VLOOKUP($A170,'S49'!$C:$BQ,52,0)</f>
        <v>#N/A</v>
      </c>
      <c r="BB170" s="115" t="e">
        <f>VLOOKUP($A170,'S49'!$C:$BQ,59,0)</f>
        <v>#N/A</v>
      </c>
      <c r="BC170" s="115" t="e">
        <f>VLOOKUP($A170,'S49'!$C:$BQ,60,0)</f>
        <v>#N/A</v>
      </c>
      <c r="BD170" s="107" t="e">
        <f>VLOOKUP($A170,'S50'!$C:$BQ,32,0)</f>
        <v>#N/A</v>
      </c>
      <c r="BE170" s="107" t="e">
        <f>VLOOKUP($A170,'S50'!$C:$BQ,39,0)</f>
        <v>#N/A</v>
      </c>
      <c r="BF170" s="107" t="e">
        <f>VLOOKUP($A170,'S50'!$C:$BQ,40,0)</f>
        <v>#N/A</v>
      </c>
      <c r="BG170" s="107" t="e">
        <f>VLOOKUP($A170,'S50'!$C:$BQ,22,0)</f>
        <v>#N/A</v>
      </c>
      <c r="BH170" s="115" t="e">
        <f>VLOOKUP($A170,'S50'!$C:$BQ,29,0)</f>
        <v>#N/A</v>
      </c>
      <c r="BI170" s="115" t="e">
        <f>VLOOKUP($A170,'S50'!$C:$BQ,30,0)</f>
        <v>#N/A</v>
      </c>
      <c r="BJ170" s="115" t="e">
        <f>VLOOKUP($A170,'S50'!$C:$BQ,52,0)</f>
        <v>#N/A</v>
      </c>
      <c r="BK170" s="115" t="e">
        <f>VLOOKUP($A170,'S50'!$C:$BQ,59,0)</f>
        <v>#N/A</v>
      </c>
      <c r="BL170" s="115" t="e">
        <f>VLOOKUP($A170,'S50'!$C:$BQ,60,0)</f>
        <v>#N/A</v>
      </c>
    </row>
    <row r="171" spans="1:64" x14ac:dyDescent="0.2">
      <c r="A171" s="106" t="s">
        <v>238</v>
      </c>
      <c r="B171" s="107">
        <f>VLOOKUP($A171,'S0 remplacer avec S44'!$C:$BQ,32,0)</f>
        <v>124.4</v>
      </c>
      <c r="C171" s="107">
        <f>VLOOKUP($A171,'S0 remplacer avec S44'!$C:$BQ,39,0)</f>
        <v>65</v>
      </c>
      <c r="D171" s="107">
        <f>VLOOKUP($A171,'S0 remplacer avec S44'!$C:$BQ,40,0)</f>
        <v>103</v>
      </c>
      <c r="E171" s="107">
        <f>VLOOKUP($A171,'S0 remplacer avec S44'!$C:$BQ,22,0)</f>
        <v>1193.2739300000001</v>
      </c>
      <c r="F171" s="115">
        <f>VLOOKUP($A171,'S0 remplacer avec S44'!$C:$BQ,29,0)</f>
        <v>527</v>
      </c>
      <c r="G171" s="115">
        <f>VLOOKUP($A171,'S0 remplacer avec S44'!$C:$BQ,30,0)</f>
        <v>871</v>
      </c>
      <c r="H171" s="115">
        <f>VLOOKUP($A171,'S0 remplacer avec S44'!$C:$BQ,52,0)</f>
        <v>121.2</v>
      </c>
      <c r="I171" s="115">
        <f>VLOOKUP($A171,'S0 remplacer avec S44'!$C:$BQ,59,0)</f>
        <v>0</v>
      </c>
      <c r="J171" s="115">
        <f>VLOOKUP($A171,'S0 remplacer avec S44'!$C:$BQ,60,0)</f>
        <v>0</v>
      </c>
      <c r="K171" s="107" t="e">
        <f>VLOOKUP($A171,'S45'!$C:$BQ,32,0)</f>
        <v>#N/A</v>
      </c>
      <c r="L171" s="107" t="e">
        <f>VLOOKUP($A171,'S45'!$C:$BQ,39,0)</f>
        <v>#N/A</v>
      </c>
      <c r="M171" s="107" t="e">
        <f>VLOOKUP($A171,'S45'!$C:$BQ,40,0)</f>
        <v>#N/A</v>
      </c>
      <c r="N171" s="107" t="e">
        <f>VLOOKUP($A171,'S45'!$C:$BQ,22,0)</f>
        <v>#N/A</v>
      </c>
      <c r="O171" s="115" t="e">
        <f>VLOOKUP($A171,'S45'!$C:$BQ,29,0)</f>
        <v>#N/A</v>
      </c>
      <c r="P171" s="115" t="e">
        <f>VLOOKUP($A171,'S45'!$C:$BQ,30,0)</f>
        <v>#N/A</v>
      </c>
      <c r="Q171" s="115" t="e">
        <f>VLOOKUP($A171,'S45'!$C:$BQ,52,0)</f>
        <v>#N/A</v>
      </c>
      <c r="R171" s="115" t="e">
        <f>VLOOKUP($A171,'S45'!$C:$BQ,59,0)</f>
        <v>#N/A</v>
      </c>
      <c r="S171" s="115" t="e">
        <f>VLOOKUP($A171,'S45'!$C:$BQ,60,0)</f>
        <v>#N/A</v>
      </c>
      <c r="T171" s="107" t="e">
        <f>VLOOKUP($A171,'S46'!$C:$BQ,32,0)</f>
        <v>#N/A</v>
      </c>
      <c r="U171" s="107" t="e">
        <f>VLOOKUP($A171,'S46'!$C:$BQ,39,0)</f>
        <v>#N/A</v>
      </c>
      <c r="V171" s="107" t="e">
        <f>VLOOKUP($A171,'S46'!$C:$BQ,40,0)</f>
        <v>#N/A</v>
      </c>
      <c r="W171" s="107" t="e">
        <f>VLOOKUP($A171,'S46'!$C:$BQ,22,0)</f>
        <v>#N/A</v>
      </c>
      <c r="X171" s="115" t="e">
        <f>VLOOKUP($A171,'S46'!$C:$BQ,29,0)</f>
        <v>#N/A</v>
      </c>
      <c r="Y171" s="115" t="e">
        <f>VLOOKUP($A171,'S46'!$C:$BQ,30,0)</f>
        <v>#N/A</v>
      </c>
      <c r="Z171" s="115" t="e">
        <f>VLOOKUP($A171,'S46'!$C:$BQ,52,0)</f>
        <v>#N/A</v>
      </c>
      <c r="AA171" s="115" t="e">
        <f>VLOOKUP($A171,'S46'!$C:$BQ,59,0)</f>
        <v>#N/A</v>
      </c>
      <c r="AB171" s="115" t="e">
        <f>VLOOKUP($A171,'S46'!$C:$BQ,60,0)</f>
        <v>#N/A</v>
      </c>
      <c r="AC171" s="107" t="e">
        <f>VLOOKUP($A171,'S47'!$C:$BQ,32,0)</f>
        <v>#N/A</v>
      </c>
      <c r="AD171" s="107" t="e">
        <f>VLOOKUP($A171,'S47'!$C:$BQ,39,0)</f>
        <v>#N/A</v>
      </c>
      <c r="AE171" s="107" t="e">
        <f>VLOOKUP($A171,'S47'!$C:$BQ,40,0)</f>
        <v>#N/A</v>
      </c>
      <c r="AF171" s="107" t="e">
        <f>VLOOKUP($A171,'S47'!$C:$BQ,22,0)</f>
        <v>#N/A</v>
      </c>
      <c r="AG171" s="115" t="e">
        <f>VLOOKUP($A171,'S47'!$C:$BQ,29,0)</f>
        <v>#N/A</v>
      </c>
      <c r="AH171" s="115" t="e">
        <f>VLOOKUP($A171,'S47'!$C:$BQ,30,0)</f>
        <v>#N/A</v>
      </c>
      <c r="AI171" s="115" t="e">
        <f>VLOOKUP($A171,'S47'!$C:$BQ,52,0)</f>
        <v>#N/A</v>
      </c>
      <c r="AJ171" s="115" t="e">
        <f>VLOOKUP($A171,'S47'!$C:$BQ,59,0)</f>
        <v>#N/A</v>
      </c>
      <c r="AK171" s="115" t="e">
        <f>VLOOKUP($A171,'S47'!$C:$BQ,60,0)</f>
        <v>#N/A</v>
      </c>
      <c r="AL171" s="107" t="e">
        <f>VLOOKUP($A171,'S48'!$C:$BQ,32,0)</f>
        <v>#N/A</v>
      </c>
      <c r="AM171" s="107" t="e">
        <f>VLOOKUP($A171,'S48'!$C:$BQ,39,0)</f>
        <v>#N/A</v>
      </c>
      <c r="AN171" s="107" t="e">
        <f>VLOOKUP($A171,'S48'!$C:$BQ,40,0)</f>
        <v>#N/A</v>
      </c>
      <c r="AO171" s="107" t="e">
        <f>VLOOKUP($A171,'S48'!$C:$BQ,22,0)</f>
        <v>#N/A</v>
      </c>
      <c r="AP171" s="115" t="e">
        <f>VLOOKUP($A171,'S48'!$C:$BQ,29,0)</f>
        <v>#N/A</v>
      </c>
      <c r="AQ171" s="115" t="e">
        <f>VLOOKUP($A171,'S48'!$C:$BQ,30,0)</f>
        <v>#N/A</v>
      </c>
      <c r="AR171" s="115" t="e">
        <f>VLOOKUP($A171,'S48'!$C:$BQ,52,0)</f>
        <v>#N/A</v>
      </c>
      <c r="AS171" s="115" t="e">
        <f>VLOOKUP($A171,'S48'!$C:$BQ,59,0)</f>
        <v>#N/A</v>
      </c>
      <c r="AT171" s="115" t="e">
        <f>VLOOKUP($A171,'S48'!$C:$BQ,60,0)</f>
        <v>#N/A</v>
      </c>
      <c r="AU171" s="107" t="e">
        <f>VLOOKUP($A171,'S49'!$C:$BQ,32,0)</f>
        <v>#N/A</v>
      </c>
      <c r="AV171" s="107" t="e">
        <f>VLOOKUP($A171,'S49'!$C:$BQ,39,0)</f>
        <v>#N/A</v>
      </c>
      <c r="AW171" s="107" t="e">
        <f>VLOOKUP($A171,'S49'!$C:$BQ,40,0)</f>
        <v>#N/A</v>
      </c>
      <c r="AX171" s="107" t="e">
        <f>VLOOKUP($A171,'S49'!$C:$BQ,22,0)</f>
        <v>#N/A</v>
      </c>
      <c r="AY171" s="115" t="e">
        <f>VLOOKUP($A171,'S49'!$C:$BQ,29,0)</f>
        <v>#N/A</v>
      </c>
      <c r="AZ171" s="115" t="e">
        <f>VLOOKUP($A171,'S49'!$C:$BQ,30,0)</f>
        <v>#N/A</v>
      </c>
      <c r="BA171" s="115" t="e">
        <f>VLOOKUP($A171,'S49'!$C:$BQ,52,0)</f>
        <v>#N/A</v>
      </c>
      <c r="BB171" s="115" t="e">
        <f>VLOOKUP($A171,'S49'!$C:$BQ,59,0)</f>
        <v>#N/A</v>
      </c>
      <c r="BC171" s="115" t="e">
        <f>VLOOKUP($A171,'S49'!$C:$BQ,60,0)</f>
        <v>#N/A</v>
      </c>
      <c r="BD171" s="107" t="e">
        <f>VLOOKUP($A171,'S50'!$C:$BQ,32,0)</f>
        <v>#N/A</v>
      </c>
      <c r="BE171" s="107" t="e">
        <f>VLOOKUP($A171,'S50'!$C:$BQ,39,0)</f>
        <v>#N/A</v>
      </c>
      <c r="BF171" s="107" t="e">
        <f>VLOOKUP($A171,'S50'!$C:$BQ,40,0)</f>
        <v>#N/A</v>
      </c>
      <c r="BG171" s="107" t="e">
        <f>VLOOKUP($A171,'S50'!$C:$BQ,22,0)</f>
        <v>#N/A</v>
      </c>
      <c r="BH171" s="115" t="e">
        <f>VLOOKUP($A171,'S50'!$C:$BQ,29,0)</f>
        <v>#N/A</v>
      </c>
      <c r="BI171" s="115" t="e">
        <f>VLOOKUP($A171,'S50'!$C:$BQ,30,0)</f>
        <v>#N/A</v>
      </c>
      <c r="BJ171" s="115" t="e">
        <f>VLOOKUP($A171,'S50'!$C:$BQ,52,0)</f>
        <v>#N/A</v>
      </c>
      <c r="BK171" s="115" t="e">
        <f>VLOOKUP($A171,'S50'!$C:$BQ,59,0)</f>
        <v>#N/A</v>
      </c>
      <c r="BL171" s="115" t="e">
        <f>VLOOKUP($A171,'S50'!$C:$BQ,60,0)</f>
        <v>#N/A</v>
      </c>
    </row>
    <row r="172" spans="1:64" x14ac:dyDescent="0.2">
      <c r="A172" s="106" t="s">
        <v>239</v>
      </c>
      <c r="B172" s="107">
        <f>VLOOKUP($A172,'S0 remplacer avec S44'!$C:$BQ,32,0)</f>
        <v>174.35</v>
      </c>
      <c r="C172" s="107">
        <f>VLOOKUP($A172,'S0 remplacer avec S44'!$C:$BQ,39,0)</f>
        <v>0</v>
      </c>
      <c r="D172" s="107">
        <f>VLOOKUP($A172,'S0 remplacer avec S44'!$C:$BQ,40,0)</f>
        <v>31</v>
      </c>
      <c r="E172" s="107">
        <f>VLOOKUP($A172,'S0 remplacer avec S44'!$C:$BQ,22,0)</f>
        <v>1766.8145050000001</v>
      </c>
      <c r="F172" s="115">
        <f>VLOOKUP($A172,'S0 remplacer avec S44'!$C:$BQ,29,0)</f>
        <v>0</v>
      </c>
      <c r="G172" s="115">
        <f>VLOOKUP($A172,'S0 remplacer avec S44'!$C:$BQ,30,0)</f>
        <v>95</v>
      </c>
      <c r="H172" s="115">
        <f>VLOOKUP($A172,'S0 remplacer avec S44'!$C:$BQ,52,0)</f>
        <v>110.8</v>
      </c>
      <c r="I172" s="115">
        <f>VLOOKUP($A172,'S0 remplacer avec S44'!$C:$BQ,59,0)</f>
        <v>0</v>
      </c>
      <c r="J172" s="115">
        <f>VLOOKUP($A172,'S0 remplacer avec S44'!$C:$BQ,60,0)</f>
        <v>0</v>
      </c>
      <c r="K172" s="107" t="e">
        <f>VLOOKUP($A172,'S45'!$C:$BQ,32,0)</f>
        <v>#N/A</v>
      </c>
      <c r="L172" s="107" t="e">
        <f>VLOOKUP($A172,'S45'!$C:$BQ,39,0)</f>
        <v>#N/A</v>
      </c>
      <c r="M172" s="107" t="e">
        <f>VLOOKUP($A172,'S45'!$C:$BQ,40,0)</f>
        <v>#N/A</v>
      </c>
      <c r="N172" s="107" t="e">
        <f>VLOOKUP($A172,'S45'!$C:$BQ,22,0)</f>
        <v>#N/A</v>
      </c>
      <c r="O172" s="115" t="e">
        <f>VLOOKUP($A172,'S45'!$C:$BQ,29,0)</f>
        <v>#N/A</v>
      </c>
      <c r="P172" s="115" t="e">
        <f>VLOOKUP($A172,'S45'!$C:$BQ,30,0)</f>
        <v>#N/A</v>
      </c>
      <c r="Q172" s="115" t="e">
        <f>VLOOKUP($A172,'S45'!$C:$BQ,52,0)</f>
        <v>#N/A</v>
      </c>
      <c r="R172" s="115" t="e">
        <f>VLOOKUP($A172,'S45'!$C:$BQ,59,0)</f>
        <v>#N/A</v>
      </c>
      <c r="S172" s="115" t="e">
        <f>VLOOKUP($A172,'S45'!$C:$BQ,60,0)</f>
        <v>#N/A</v>
      </c>
      <c r="T172" s="107" t="e">
        <f>VLOOKUP($A172,'S46'!$C:$BQ,32,0)</f>
        <v>#N/A</v>
      </c>
      <c r="U172" s="107" t="e">
        <f>VLOOKUP($A172,'S46'!$C:$BQ,39,0)</f>
        <v>#N/A</v>
      </c>
      <c r="V172" s="107" t="e">
        <f>VLOOKUP($A172,'S46'!$C:$BQ,40,0)</f>
        <v>#N/A</v>
      </c>
      <c r="W172" s="107" t="e">
        <f>VLOOKUP($A172,'S46'!$C:$BQ,22,0)</f>
        <v>#N/A</v>
      </c>
      <c r="X172" s="115" t="e">
        <f>VLOOKUP($A172,'S46'!$C:$BQ,29,0)</f>
        <v>#N/A</v>
      </c>
      <c r="Y172" s="115" t="e">
        <f>VLOOKUP($A172,'S46'!$C:$BQ,30,0)</f>
        <v>#N/A</v>
      </c>
      <c r="Z172" s="115" t="e">
        <f>VLOOKUP($A172,'S46'!$C:$BQ,52,0)</f>
        <v>#N/A</v>
      </c>
      <c r="AA172" s="115" t="e">
        <f>VLOOKUP($A172,'S46'!$C:$BQ,59,0)</f>
        <v>#N/A</v>
      </c>
      <c r="AB172" s="115" t="e">
        <f>VLOOKUP($A172,'S46'!$C:$BQ,60,0)</f>
        <v>#N/A</v>
      </c>
      <c r="AC172" s="107" t="e">
        <f>VLOOKUP($A172,'S47'!$C:$BQ,32,0)</f>
        <v>#N/A</v>
      </c>
      <c r="AD172" s="107" t="e">
        <f>VLOOKUP($A172,'S47'!$C:$BQ,39,0)</f>
        <v>#N/A</v>
      </c>
      <c r="AE172" s="107" t="e">
        <f>VLOOKUP($A172,'S47'!$C:$BQ,40,0)</f>
        <v>#N/A</v>
      </c>
      <c r="AF172" s="107" t="e">
        <f>VLOOKUP($A172,'S47'!$C:$BQ,22,0)</f>
        <v>#N/A</v>
      </c>
      <c r="AG172" s="115" t="e">
        <f>VLOOKUP($A172,'S47'!$C:$BQ,29,0)</f>
        <v>#N/A</v>
      </c>
      <c r="AH172" s="115" t="e">
        <f>VLOOKUP($A172,'S47'!$C:$BQ,30,0)</f>
        <v>#N/A</v>
      </c>
      <c r="AI172" s="115" t="e">
        <f>VLOOKUP($A172,'S47'!$C:$BQ,52,0)</f>
        <v>#N/A</v>
      </c>
      <c r="AJ172" s="115" t="e">
        <f>VLOOKUP($A172,'S47'!$C:$BQ,59,0)</f>
        <v>#N/A</v>
      </c>
      <c r="AK172" s="115" t="e">
        <f>VLOOKUP($A172,'S47'!$C:$BQ,60,0)</f>
        <v>#N/A</v>
      </c>
      <c r="AL172" s="107" t="e">
        <f>VLOOKUP($A172,'S48'!$C:$BQ,32,0)</f>
        <v>#N/A</v>
      </c>
      <c r="AM172" s="107" t="e">
        <f>VLOOKUP($A172,'S48'!$C:$BQ,39,0)</f>
        <v>#N/A</v>
      </c>
      <c r="AN172" s="107" t="e">
        <f>VLOOKUP($A172,'S48'!$C:$BQ,40,0)</f>
        <v>#N/A</v>
      </c>
      <c r="AO172" s="107" t="e">
        <f>VLOOKUP($A172,'S48'!$C:$BQ,22,0)</f>
        <v>#N/A</v>
      </c>
      <c r="AP172" s="115" t="e">
        <f>VLOOKUP($A172,'S48'!$C:$BQ,29,0)</f>
        <v>#N/A</v>
      </c>
      <c r="AQ172" s="115" t="e">
        <f>VLOOKUP($A172,'S48'!$C:$BQ,30,0)</f>
        <v>#N/A</v>
      </c>
      <c r="AR172" s="115" t="e">
        <f>VLOOKUP($A172,'S48'!$C:$BQ,52,0)</f>
        <v>#N/A</v>
      </c>
      <c r="AS172" s="115" t="e">
        <f>VLOOKUP($A172,'S48'!$C:$BQ,59,0)</f>
        <v>#N/A</v>
      </c>
      <c r="AT172" s="115" t="e">
        <f>VLOOKUP($A172,'S48'!$C:$BQ,60,0)</f>
        <v>#N/A</v>
      </c>
      <c r="AU172" s="107" t="e">
        <f>VLOOKUP($A172,'S49'!$C:$BQ,32,0)</f>
        <v>#N/A</v>
      </c>
      <c r="AV172" s="107" t="e">
        <f>VLOOKUP($A172,'S49'!$C:$BQ,39,0)</f>
        <v>#N/A</v>
      </c>
      <c r="AW172" s="107" t="e">
        <f>VLOOKUP($A172,'S49'!$C:$BQ,40,0)</f>
        <v>#N/A</v>
      </c>
      <c r="AX172" s="107" t="e">
        <f>VLOOKUP($A172,'S49'!$C:$BQ,22,0)</f>
        <v>#N/A</v>
      </c>
      <c r="AY172" s="115" t="e">
        <f>VLOOKUP($A172,'S49'!$C:$BQ,29,0)</f>
        <v>#N/A</v>
      </c>
      <c r="AZ172" s="115" t="e">
        <f>VLOOKUP($A172,'S49'!$C:$BQ,30,0)</f>
        <v>#N/A</v>
      </c>
      <c r="BA172" s="115" t="e">
        <f>VLOOKUP($A172,'S49'!$C:$BQ,52,0)</f>
        <v>#N/A</v>
      </c>
      <c r="BB172" s="115" t="e">
        <f>VLOOKUP($A172,'S49'!$C:$BQ,59,0)</f>
        <v>#N/A</v>
      </c>
      <c r="BC172" s="115" t="e">
        <f>VLOOKUP($A172,'S49'!$C:$BQ,60,0)</f>
        <v>#N/A</v>
      </c>
      <c r="BD172" s="107" t="e">
        <f>VLOOKUP($A172,'S50'!$C:$BQ,32,0)</f>
        <v>#N/A</v>
      </c>
      <c r="BE172" s="107" t="e">
        <f>VLOOKUP($A172,'S50'!$C:$BQ,39,0)</f>
        <v>#N/A</v>
      </c>
      <c r="BF172" s="107" t="e">
        <f>VLOOKUP($A172,'S50'!$C:$BQ,40,0)</f>
        <v>#N/A</v>
      </c>
      <c r="BG172" s="107" t="e">
        <f>VLOOKUP($A172,'S50'!$C:$BQ,22,0)</f>
        <v>#N/A</v>
      </c>
      <c r="BH172" s="115" t="e">
        <f>VLOOKUP($A172,'S50'!$C:$BQ,29,0)</f>
        <v>#N/A</v>
      </c>
      <c r="BI172" s="115" t="e">
        <f>VLOOKUP($A172,'S50'!$C:$BQ,30,0)</f>
        <v>#N/A</v>
      </c>
      <c r="BJ172" s="115" t="e">
        <f>VLOOKUP($A172,'S50'!$C:$BQ,52,0)</f>
        <v>#N/A</v>
      </c>
      <c r="BK172" s="115" t="e">
        <f>VLOOKUP($A172,'S50'!$C:$BQ,59,0)</f>
        <v>#N/A</v>
      </c>
      <c r="BL172" s="115" t="e">
        <f>VLOOKUP($A172,'S50'!$C:$BQ,60,0)</f>
        <v>#N/A</v>
      </c>
    </row>
    <row r="173" spans="1:64" x14ac:dyDescent="0.2">
      <c r="A173" s="106" t="s">
        <v>240</v>
      </c>
      <c r="B173" s="107">
        <f>VLOOKUP($A173,'S0 remplacer avec S44'!$C:$BQ,32,0)</f>
        <v>207.6</v>
      </c>
      <c r="C173" s="107">
        <f>VLOOKUP($A173,'S0 remplacer avec S44'!$C:$BQ,39,0)</f>
        <v>68</v>
      </c>
      <c r="D173" s="107">
        <f>VLOOKUP($A173,'S0 remplacer avec S44'!$C:$BQ,40,0)</f>
        <v>124</v>
      </c>
      <c r="E173" s="107">
        <f>VLOOKUP($A173,'S0 remplacer avec S44'!$C:$BQ,22,0)</f>
        <v>2051.826575</v>
      </c>
      <c r="F173" s="115">
        <f>VLOOKUP($A173,'S0 remplacer avec S44'!$C:$BQ,29,0)</f>
        <v>455</v>
      </c>
      <c r="G173" s="115">
        <f>VLOOKUP($A173,'S0 remplacer avec S44'!$C:$BQ,30,0)</f>
        <v>956</v>
      </c>
      <c r="H173" s="115">
        <f>VLOOKUP($A173,'S0 remplacer avec S44'!$C:$BQ,52,0)</f>
        <v>186.8</v>
      </c>
      <c r="I173" s="115">
        <f>VLOOKUP($A173,'S0 remplacer avec S44'!$C:$BQ,59,0)</f>
        <v>0</v>
      </c>
      <c r="J173" s="115">
        <f>VLOOKUP($A173,'S0 remplacer avec S44'!$C:$BQ,60,0)</f>
        <v>0</v>
      </c>
      <c r="K173" s="107" t="e">
        <f>VLOOKUP($A173,'S45'!$C:$BQ,32,0)</f>
        <v>#N/A</v>
      </c>
      <c r="L173" s="107" t="e">
        <f>VLOOKUP($A173,'S45'!$C:$BQ,39,0)</f>
        <v>#N/A</v>
      </c>
      <c r="M173" s="107" t="e">
        <f>VLOOKUP($A173,'S45'!$C:$BQ,40,0)</f>
        <v>#N/A</v>
      </c>
      <c r="N173" s="107" t="e">
        <f>VLOOKUP($A173,'S45'!$C:$BQ,22,0)</f>
        <v>#N/A</v>
      </c>
      <c r="O173" s="115" t="e">
        <f>VLOOKUP($A173,'S45'!$C:$BQ,29,0)</f>
        <v>#N/A</v>
      </c>
      <c r="P173" s="115" t="e">
        <f>VLOOKUP($A173,'S45'!$C:$BQ,30,0)</f>
        <v>#N/A</v>
      </c>
      <c r="Q173" s="115" t="e">
        <f>VLOOKUP($A173,'S45'!$C:$BQ,52,0)</f>
        <v>#N/A</v>
      </c>
      <c r="R173" s="115" t="e">
        <f>VLOOKUP($A173,'S45'!$C:$BQ,59,0)</f>
        <v>#N/A</v>
      </c>
      <c r="S173" s="115" t="e">
        <f>VLOOKUP($A173,'S45'!$C:$BQ,60,0)</f>
        <v>#N/A</v>
      </c>
      <c r="T173" s="107" t="e">
        <f>VLOOKUP($A173,'S46'!$C:$BQ,32,0)</f>
        <v>#N/A</v>
      </c>
      <c r="U173" s="107" t="e">
        <f>VLOOKUP($A173,'S46'!$C:$BQ,39,0)</f>
        <v>#N/A</v>
      </c>
      <c r="V173" s="107" t="e">
        <f>VLOOKUP($A173,'S46'!$C:$BQ,40,0)</f>
        <v>#N/A</v>
      </c>
      <c r="W173" s="107" t="e">
        <f>VLOOKUP($A173,'S46'!$C:$BQ,22,0)</f>
        <v>#N/A</v>
      </c>
      <c r="X173" s="115" t="e">
        <f>VLOOKUP($A173,'S46'!$C:$BQ,29,0)</f>
        <v>#N/A</v>
      </c>
      <c r="Y173" s="115" t="e">
        <f>VLOOKUP($A173,'S46'!$C:$BQ,30,0)</f>
        <v>#N/A</v>
      </c>
      <c r="Z173" s="115" t="e">
        <f>VLOOKUP($A173,'S46'!$C:$BQ,52,0)</f>
        <v>#N/A</v>
      </c>
      <c r="AA173" s="115" t="e">
        <f>VLOOKUP($A173,'S46'!$C:$BQ,59,0)</f>
        <v>#N/A</v>
      </c>
      <c r="AB173" s="115" t="e">
        <f>VLOOKUP($A173,'S46'!$C:$BQ,60,0)</f>
        <v>#N/A</v>
      </c>
      <c r="AC173" s="107" t="e">
        <f>VLOOKUP($A173,'S47'!$C:$BQ,32,0)</f>
        <v>#N/A</v>
      </c>
      <c r="AD173" s="107" t="e">
        <f>VLOOKUP($A173,'S47'!$C:$BQ,39,0)</f>
        <v>#N/A</v>
      </c>
      <c r="AE173" s="107" t="e">
        <f>VLOOKUP($A173,'S47'!$C:$BQ,40,0)</f>
        <v>#N/A</v>
      </c>
      <c r="AF173" s="107" t="e">
        <f>VLOOKUP($A173,'S47'!$C:$BQ,22,0)</f>
        <v>#N/A</v>
      </c>
      <c r="AG173" s="115" t="e">
        <f>VLOOKUP($A173,'S47'!$C:$BQ,29,0)</f>
        <v>#N/A</v>
      </c>
      <c r="AH173" s="115" t="e">
        <f>VLOOKUP($A173,'S47'!$C:$BQ,30,0)</f>
        <v>#N/A</v>
      </c>
      <c r="AI173" s="115" t="e">
        <f>VLOOKUP($A173,'S47'!$C:$BQ,52,0)</f>
        <v>#N/A</v>
      </c>
      <c r="AJ173" s="115" t="e">
        <f>VLOOKUP($A173,'S47'!$C:$BQ,59,0)</f>
        <v>#N/A</v>
      </c>
      <c r="AK173" s="115" t="e">
        <f>VLOOKUP($A173,'S47'!$C:$BQ,60,0)</f>
        <v>#N/A</v>
      </c>
      <c r="AL173" s="107" t="e">
        <f>VLOOKUP($A173,'S48'!$C:$BQ,32,0)</f>
        <v>#N/A</v>
      </c>
      <c r="AM173" s="107" t="e">
        <f>VLOOKUP($A173,'S48'!$C:$BQ,39,0)</f>
        <v>#N/A</v>
      </c>
      <c r="AN173" s="107" t="e">
        <f>VLOOKUP($A173,'S48'!$C:$BQ,40,0)</f>
        <v>#N/A</v>
      </c>
      <c r="AO173" s="107" t="e">
        <f>VLOOKUP($A173,'S48'!$C:$BQ,22,0)</f>
        <v>#N/A</v>
      </c>
      <c r="AP173" s="115" t="e">
        <f>VLOOKUP($A173,'S48'!$C:$BQ,29,0)</f>
        <v>#N/A</v>
      </c>
      <c r="AQ173" s="115" t="e">
        <f>VLOOKUP($A173,'S48'!$C:$BQ,30,0)</f>
        <v>#N/A</v>
      </c>
      <c r="AR173" s="115" t="e">
        <f>VLOOKUP($A173,'S48'!$C:$BQ,52,0)</f>
        <v>#N/A</v>
      </c>
      <c r="AS173" s="115" t="e">
        <f>VLOOKUP($A173,'S48'!$C:$BQ,59,0)</f>
        <v>#N/A</v>
      </c>
      <c r="AT173" s="115" t="e">
        <f>VLOOKUP($A173,'S48'!$C:$BQ,60,0)</f>
        <v>#N/A</v>
      </c>
      <c r="AU173" s="107" t="e">
        <f>VLOOKUP($A173,'S49'!$C:$BQ,32,0)</f>
        <v>#N/A</v>
      </c>
      <c r="AV173" s="107" t="e">
        <f>VLOOKUP($A173,'S49'!$C:$BQ,39,0)</f>
        <v>#N/A</v>
      </c>
      <c r="AW173" s="107" t="e">
        <f>VLOOKUP($A173,'S49'!$C:$BQ,40,0)</f>
        <v>#N/A</v>
      </c>
      <c r="AX173" s="107" t="e">
        <f>VLOOKUP($A173,'S49'!$C:$BQ,22,0)</f>
        <v>#N/A</v>
      </c>
      <c r="AY173" s="115" t="e">
        <f>VLOOKUP($A173,'S49'!$C:$BQ,29,0)</f>
        <v>#N/A</v>
      </c>
      <c r="AZ173" s="115" t="e">
        <f>VLOOKUP($A173,'S49'!$C:$BQ,30,0)</f>
        <v>#N/A</v>
      </c>
      <c r="BA173" s="115" t="e">
        <f>VLOOKUP($A173,'S49'!$C:$BQ,52,0)</f>
        <v>#N/A</v>
      </c>
      <c r="BB173" s="115" t="e">
        <f>VLOOKUP($A173,'S49'!$C:$BQ,59,0)</f>
        <v>#N/A</v>
      </c>
      <c r="BC173" s="115" t="e">
        <f>VLOOKUP($A173,'S49'!$C:$BQ,60,0)</f>
        <v>#N/A</v>
      </c>
      <c r="BD173" s="107" t="e">
        <f>VLOOKUP($A173,'S50'!$C:$BQ,32,0)</f>
        <v>#N/A</v>
      </c>
      <c r="BE173" s="107" t="e">
        <f>VLOOKUP($A173,'S50'!$C:$BQ,39,0)</f>
        <v>#N/A</v>
      </c>
      <c r="BF173" s="107" t="e">
        <f>VLOOKUP($A173,'S50'!$C:$BQ,40,0)</f>
        <v>#N/A</v>
      </c>
      <c r="BG173" s="107" t="e">
        <f>VLOOKUP($A173,'S50'!$C:$BQ,22,0)</f>
        <v>#N/A</v>
      </c>
      <c r="BH173" s="115" t="e">
        <f>VLOOKUP($A173,'S50'!$C:$BQ,29,0)</f>
        <v>#N/A</v>
      </c>
      <c r="BI173" s="115" t="e">
        <f>VLOOKUP($A173,'S50'!$C:$BQ,30,0)</f>
        <v>#N/A</v>
      </c>
      <c r="BJ173" s="115" t="e">
        <f>VLOOKUP($A173,'S50'!$C:$BQ,52,0)</f>
        <v>#N/A</v>
      </c>
      <c r="BK173" s="115" t="e">
        <f>VLOOKUP($A173,'S50'!$C:$BQ,59,0)</f>
        <v>#N/A</v>
      </c>
      <c r="BL173" s="115" t="e">
        <f>VLOOKUP($A173,'S50'!$C:$BQ,60,0)</f>
        <v>#N/A</v>
      </c>
    </row>
    <row r="174" spans="1:64" x14ac:dyDescent="0.2">
      <c r="A174" s="106" t="s">
        <v>242</v>
      </c>
      <c r="B174" s="107">
        <f>VLOOKUP($A174,'S0 remplacer avec S44'!$C:$BQ,32,0)</f>
        <v>179</v>
      </c>
      <c r="C174" s="107">
        <f>VLOOKUP($A174,'S0 remplacer avec S44'!$C:$BQ,39,0)</f>
        <v>72</v>
      </c>
      <c r="D174" s="107">
        <f>VLOOKUP($A174,'S0 remplacer avec S44'!$C:$BQ,40,0)</f>
        <v>122</v>
      </c>
      <c r="E174" s="107">
        <f>VLOOKUP($A174,'S0 remplacer avec S44'!$C:$BQ,22,0)</f>
        <v>2117.2891500000001</v>
      </c>
      <c r="F174" s="115">
        <f>VLOOKUP($A174,'S0 remplacer avec S44'!$C:$BQ,29,0)</f>
        <v>161</v>
      </c>
      <c r="G174" s="115">
        <f>VLOOKUP($A174,'S0 remplacer avec S44'!$C:$BQ,30,0)</f>
        <v>617</v>
      </c>
      <c r="H174" s="115">
        <f>VLOOKUP($A174,'S0 remplacer avec S44'!$C:$BQ,52,0)</f>
        <v>93.2</v>
      </c>
      <c r="I174" s="115">
        <f>VLOOKUP($A174,'S0 remplacer avec S44'!$C:$BQ,59,0)</f>
        <v>35</v>
      </c>
      <c r="J174" s="115">
        <f>VLOOKUP($A174,'S0 remplacer avec S44'!$C:$BQ,60,0)</f>
        <v>60</v>
      </c>
      <c r="K174" s="107" t="e">
        <f>VLOOKUP($A174,'S45'!$C:$BQ,32,0)</f>
        <v>#N/A</v>
      </c>
      <c r="L174" s="107" t="e">
        <f>VLOOKUP($A174,'S45'!$C:$BQ,39,0)</f>
        <v>#N/A</v>
      </c>
      <c r="M174" s="107" t="e">
        <f>VLOOKUP($A174,'S45'!$C:$BQ,40,0)</f>
        <v>#N/A</v>
      </c>
      <c r="N174" s="107" t="e">
        <f>VLOOKUP($A174,'S45'!$C:$BQ,22,0)</f>
        <v>#N/A</v>
      </c>
      <c r="O174" s="115" t="e">
        <f>VLOOKUP($A174,'S45'!$C:$BQ,29,0)</f>
        <v>#N/A</v>
      </c>
      <c r="P174" s="115" t="e">
        <f>VLOOKUP($A174,'S45'!$C:$BQ,30,0)</f>
        <v>#N/A</v>
      </c>
      <c r="Q174" s="115" t="e">
        <f>VLOOKUP($A174,'S45'!$C:$BQ,52,0)</f>
        <v>#N/A</v>
      </c>
      <c r="R174" s="115" t="e">
        <f>VLOOKUP($A174,'S45'!$C:$BQ,59,0)</f>
        <v>#N/A</v>
      </c>
      <c r="S174" s="115" t="e">
        <f>VLOOKUP($A174,'S45'!$C:$BQ,60,0)</f>
        <v>#N/A</v>
      </c>
      <c r="T174" s="107" t="e">
        <f>VLOOKUP($A174,'S46'!$C:$BQ,32,0)</f>
        <v>#N/A</v>
      </c>
      <c r="U174" s="107" t="e">
        <f>VLOOKUP($A174,'S46'!$C:$BQ,39,0)</f>
        <v>#N/A</v>
      </c>
      <c r="V174" s="107" t="e">
        <f>VLOOKUP($A174,'S46'!$C:$BQ,40,0)</f>
        <v>#N/A</v>
      </c>
      <c r="W174" s="107" t="e">
        <f>VLOOKUP($A174,'S46'!$C:$BQ,22,0)</f>
        <v>#N/A</v>
      </c>
      <c r="X174" s="115" t="e">
        <f>VLOOKUP($A174,'S46'!$C:$BQ,29,0)</f>
        <v>#N/A</v>
      </c>
      <c r="Y174" s="115" t="e">
        <f>VLOOKUP($A174,'S46'!$C:$BQ,30,0)</f>
        <v>#N/A</v>
      </c>
      <c r="Z174" s="115" t="e">
        <f>VLOOKUP($A174,'S46'!$C:$BQ,52,0)</f>
        <v>#N/A</v>
      </c>
      <c r="AA174" s="115" t="e">
        <f>VLOOKUP($A174,'S46'!$C:$BQ,59,0)</f>
        <v>#N/A</v>
      </c>
      <c r="AB174" s="115" t="e">
        <f>VLOOKUP($A174,'S46'!$C:$BQ,60,0)</f>
        <v>#N/A</v>
      </c>
      <c r="AC174" s="107" t="e">
        <f>VLOOKUP($A174,'S47'!$C:$BQ,32,0)</f>
        <v>#N/A</v>
      </c>
      <c r="AD174" s="107" t="e">
        <f>VLOOKUP($A174,'S47'!$C:$BQ,39,0)</f>
        <v>#N/A</v>
      </c>
      <c r="AE174" s="107" t="e">
        <f>VLOOKUP($A174,'S47'!$C:$BQ,40,0)</f>
        <v>#N/A</v>
      </c>
      <c r="AF174" s="107" t="e">
        <f>VLOOKUP($A174,'S47'!$C:$BQ,22,0)</f>
        <v>#N/A</v>
      </c>
      <c r="AG174" s="115" t="e">
        <f>VLOOKUP($A174,'S47'!$C:$BQ,29,0)</f>
        <v>#N/A</v>
      </c>
      <c r="AH174" s="115" t="e">
        <f>VLOOKUP($A174,'S47'!$C:$BQ,30,0)</f>
        <v>#N/A</v>
      </c>
      <c r="AI174" s="115" t="e">
        <f>VLOOKUP($A174,'S47'!$C:$BQ,52,0)</f>
        <v>#N/A</v>
      </c>
      <c r="AJ174" s="115" t="e">
        <f>VLOOKUP($A174,'S47'!$C:$BQ,59,0)</f>
        <v>#N/A</v>
      </c>
      <c r="AK174" s="115" t="e">
        <f>VLOOKUP($A174,'S47'!$C:$BQ,60,0)</f>
        <v>#N/A</v>
      </c>
      <c r="AL174" s="107" t="e">
        <f>VLOOKUP($A174,'S48'!$C:$BQ,32,0)</f>
        <v>#N/A</v>
      </c>
      <c r="AM174" s="107" t="e">
        <f>VLOOKUP($A174,'S48'!$C:$BQ,39,0)</f>
        <v>#N/A</v>
      </c>
      <c r="AN174" s="107" t="e">
        <f>VLOOKUP($A174,'S48'!$C:$BQ,40,0)</f>
        <v>#N/A</v>
      </c>
      <c r="AO174" s="107" t="e">
        <f>VLOOKUP($A174,'S48'!$C:$BQ,22,0)</f>
        <v>#N/A</v>
      </c>
      <c r="AP174" s="115" t="e">
        <f>VLOOKUP($A174,'S48'!$C:$BQ,29,0)</f>
        <v>#N/A</v>
      </c>
      <c r="AQ174" s="115" t="e">
        <f>VLOOKUP($A174,'S48'!$C:$BQ,30,0)</f>
        <v>#N/A</v>
      </c>
      <c r="AR174" s="115" t="e">
        <f>VLOOKUP($A174,'S48'!$C:$BQ,52,0)</f>
        <v>#N/A</v>
      </c>
      <c r="AS174" s="115" t="e">
        <f>VLOOKUP($A174,'S48'!$C:$BQ,59,0)</f>
        <v>#N/A</v>
      </c>
      <c r="AT174" s="115" t="e">
        <f>VLOOKUP($A174,'S48'!$C:$BQ,60,0)</f>
        <v>#N/A</v>
      </c>
      <c r="AU174" s="107" t="e">
        <f>VLOOKUP($A174,'S49'!$C:$BQ,32,0)</f>
        <v>#N/A</v>
      </c>
      <c r="AV174" s="107" t="e">
        <f>VLOOKUP($A174,'S49'!$C:$BQ,39,0)</f>
        <v>#N/A</v>
      </c>
      <c r="AW174" s="107" t="e">
        <f>VLOOKUP($A174,'S49'!$C:$BQ,40,0)</f>
        <v>#N/A</v>
      </c>
      <c r="AX174" s="107" t="e">
        <f>VLOOKUP($A174,'S49'!$C:$BQ,22,0)</f>
        <v>#N/A</v>
      </c>
      <c r="AY174" s="115" t="e">
        <f>VLOOKUP($A174,'S49'!$C:$BQ,29,0)</f>
        <v>#N/A</v>
      </c>
      <c r="AZ174" s="115" t="e">
        <f>VLOOKUP($A174,'S49'!$C:$BQ,30,0)</f>
        <v>#N/A</v>
      </c>
      <c r="BA174" s="115" t="e">
        <f>VLOOKUP($A174,'S49'!$C:$BQ,52,0)</f>
        <v>#N/A</v>
      </c>
      <c r="BB174" s="115" t="e">
        <f>VLOOKUP($A174,'S49'!$C:$BQ,59,0)</f>
        <v>#N/A</v>
      </c>
      <c r="BC174" s="115" t="e">
        <f>VLOOKUP($A174,'S49'!$C:$BQ,60,0)</f>
        <v>#N/A</v>
      </c>
      <c r="BD174" s="107" t="e">
        <f>VLOOKUP($A174,'S50'!$C:$BQ,32,0)</f>
        <v>#N/A</v>
      </c>
      <c r="BE174" s="107" t="e">
        <f>VLOOKUP($A174,'S50'!$C:$BQ,39,0)</f>
        <v>#N/A</v>
      </c>
      <c r="BF174" s="107" t="e">
        <f>VLOOKUP($A174,'S50'!$C:$BQ,40,0)</f>
        <v>#N/A</v>
      </c>
      <c r="BG174" s="107" t="e">
        <f>VLOOKUP($A174,'S50'!$C:$BQ,22,0)</f>
        <v>#N/A</v>
      </c>
      <c r="BH174" s="115" t="e">
        <f>VLOOKUP($A174,'S50'!$C:$BQ,29,0)</f>
        <v>#N/A</v>
      </c>
      <c r="BI174" s="115" t="e">
        <f>VLOOKUP($A174,'S50'!$C:$BQ,30,0)</f>
        <v>#N/A</v>
      </c>
      <c r="BJ174" s="115" t="e">
        <f>VLOOKUP($A174,'S50'!$C:$BQ,52,0)</f>
        <v>#N/A</v>
      </c>
      <c r="BK174" s="115" t="e">
        <f>VLOOKUP($A174,'S50'!$C:$BQ,59,0)</f>
        <v>#N/A</v>
      </c>
      <c r="BL174" s="115" t="e">
        <f>VLOOKUP($A174,'S50'!$C:$BQ,60,0)</f>
        <v>#N/A</v>
      </c>
    </row>
    <row r="175" spans="1:64" x14ac:dyDescent="0.2">
      <c r="A175" s="106" t="s">
        <v>243</v>
      </c>
      <c r="B175" s="107">
        <f>VLOOKUP($A175,'S0 remplacer avec S44'!$C:$BQ,32,0)</f>
        <v>204.8</v>
      </c>
      <c r="C175" s="107">
        <f>VLOOKUP($A175,'S0 remplacer avec S44'!$C:$BQ,39,0)</f>
        <v>0</v>
      </c>
      <c r="D175" s="107">
        <f>VLOOKUP($A175,'S0 remplacer avec S44'!$C:$BQ,40,0)</f>
        <v>0</v>
      </c>
      <c r="E175" s="107">
        <f>VLOOKUP($A175,'S0 remplacer avec S44'!$C:$BQ,22,0)</f>
        <v>1195.2391700000001</v>
      </c>
      <c r="F175" s="115">
        <f>VLOOKUP($A175,'S0 remplacer avec S44'!$C:$BQ,29,0)</f>
        <v>307</v>
      </c>
      <c r="G175" s="115">
        <f>VLOOKUP($A175,'S0 remplacer avec S44'!$C:$BQ,30,0)</f>
        <v>607</v>
      </c>
      <c r="H175" s="115">
        <f>VLOOKUP($A175,'S0 remplacer avec S44'!$C:$BQ,52,0)</f>
        <v>136.19999999999999</v>
      </c>
      <c r="I175" s="115">
        <f>VLOOKUP($A175,'S0 remplacer avec S44'!$C:$BQ,59,0)</f>
        <v>0</v>
      </c>
      <c r="J175" s="115">
        <f>VLOOKUP($A175,'S0 remplacer avec S44'!$C:$BQ,60,0)</f>
        <v>0</v>
      </c>
      <c r="K175" s="107" t="e">
        <f>VLOOKUP($A175,'S45'!$C:$BQ,32,0)</f>
        <v>#N/A</v>
      </c>
      <c r="L175" s="107" t="e">
        <f>VLOOKUP($A175,'S45'!$C:$BQ,39,0)</f>
        <v>#N/A</v>
      </c>
      <c r="M175" s="107" t="e">
        <f>VLOOKUP($A175,'S45'!$C:$BQ,40,0)</f>
        <v>#N/A</v>
      </c>
      <c r="N175" s="107" t="e">
        <f>VLOOKUP($A175,'S45'!$C:$BQ,22,0)</f>
        <v>#N/A</v>
      </c>
      <c r="O175" s="115" t="e">
        <f>VLOOKUP($A175,'S45'!$C:$BQ,29,0)</f>
        <v>#N/A</v>
      </c>
      <c r="P175" s="115" t="e">
        <f>VLOOKUP($A175,'S45'!$C:$BQ,30,0)</f>
        <v>#N/A</v>
      </c>
      <c r="Q175" s="115" t="e">
        <f>VLOOKUP($A175,'S45'!$C:$BQ,52,0)</f>
        <v>#N/A</v>
      </c>
      <c r="R175" s="115" t="e">
        <f>VLOOKUP($A175,'S45'!$C:$BQ,59,0)</f>
        <v>#N/A</v>
      </c>
      <c r="S175" s="115" t="e">
        <f>VLOOKUP($A175,'S45'!$C:$BQ,60,0)</f>
        <v>#N/A</v>
      </c>
      <c r="T175" s="107" t="e">
        <f>VLOOKUP($A175,'S46'!$C:$BQ,32,0)</f>
        <v>#N/A</v>
      </c>
      <c r="U175" s="107" t="e">
        <f>VLOOKUP($A175,'S46'!$C:$BQ,39,0)</f>
        <v>#N/A</v>
      </c>
      <c r="V175" s="107" t="e">
        <f>VLOOKUP($A175,'S46'!$C:$BQ,40,0)</f>
        <v>#N/A</v>
      </c>
      <c r="W175" s="107" t="e">
        <f>VLOOKUP($A175,'S46'!$C:$BQ,22,0)</f>
        <v>#N/A</v>
      </c>
      <c r="X175" s="115" t="e">
        <f>VLOOKUP($A175,'S46'!$C:$BQ,29,0)</f>
        <v>#N/A</v>
      </c>
      <c r="Y175" s="115" t="e">
        <f>VLOOKUP($A175,'S46'!$C:$BQ,30,0)</f>
        <v>#N/A</v>
      </c>
      <c r="Z175" s="115" t="e">
        <f>VLOOKUP($A175,'S46'!$C:$BQ,52,0)</f>
        <v>#N/A</v>
      </c>
      <c r="AA175" s="115" t="e">
        <f>VLOOKUP($A175,'S46'!$C:$BQ,59,0)</f>
        <v>#N/A</v>
      </c>
      <c r="AB175" s="115" t="e">
        <f>VLOOKUP($A175,'S46'!$C:$BQ,60,0)</f>
        <v>#N/A</v>
      </c>
      <c r="AC175" s="107" t="e">
        <f>VLOOKUP($A175,'S47'!$C:$BQ,32,0)</f>
        <v>#N/A</v>
      </c>
      <c r="AD175" s="107" t="e">
        <f>VLOOKUP($A175,'S47'!$C:$BQ,39,0)</f>
        <v>#N/A</v>
      </c>
      <c r="AE175" s="107" t="e">
        <f>VLOOKUP($A175,'S47'!$C:$BQ,40,0)</f>
        <v>#N/A</v>
      </c>
      <c r="AF175" s="107" t="e">
        <f>VLOOKUP($A175,'S47'!$C:$BQ,22,0)</f>
        <v>#N/A</v>
      </c>
      <c r="AG175" s="115" t="e">
        <f>VLOOKUP($A175,'S47'!$C:$BQ,29,0)</f>
        <v>#N/A</v>
      </c>
      <c r="AH175" s="115" t="e">
        <f>VLOOKUP($A175,'S47'!$C:$BQ,30,0)</f>
        <v>#N/A</v>
      </c>
      <c r="AI175" s="115" t="e">
        <f>VLOOKUP($A175,'S47'!$C:$BQ,52,0)</f>
        <v>#N/A</v>
      </c>
      <c r="AJ175" s="115" t="e">
        <f>VLOOKUP($A175,'S47'!$C:$BQ,59,0)</f>
        <v>#N/A</v>
      </c>
      <c r="AK175" s="115" t="e">
        <f>VLOOKUP($A175,'S47'!$C:$BQ,60,0)</f>
        <v>#N/A</v>
      </c>
      <c r="AL175" s="107" t="e">
        <f>VLOOKUP($A175,'S48'!$C:$BQ,32,0)</f>
        <v>#N/A</v>
      </c>
      <c r="AM175" s="107" t="e">
        <f>VLOOKUP($A175,'S48'!$C:$BQ,39,0)</f>
        <v>#N/A</v>
      </c>
      <c r="AN175" s="107" t="e">
        <f>VLOOKUP($A175,'S48'!$C:$BQ,40,0)</f>
        <v>#N/A</v>
      </c>
      <c r="AO175" s="107" t="e">
        <f>VLOOKUP($A175,'S48'!$C:$BQ,22,0)</f>
        <v>#N/A</v>
      </c>
      <c r="AP175" s="115" t="e">
        <f>VLOOKUP($A175,'S48'!$C:$BQ,29,0)</f>
        <v>#N/A</v>
      </c>
      <c r="AQ175" s="115" t="e">
        <f>VLOOKUP($A175,'S48'!$C:$BQ,30,0)</f>
        <v>#N/A</v>
      </c>
      <c r="AR175" s="115" t="e">
        <f>VLOOKUP($A175,'S48'!$C:$BQ,52,0)</f>
        <v>#N/A</v>
      </c>
      <c r="AS175" s="115" t="e">
        <f>VLOOKUP($A175,'S48'!$C:$BQ,59,0)</f>
        <v>#N/A</v>
      </c>
      <c r="AT175" s="115" t="e">
        <f>VLOOKUP($A175,'S48'!$C:$BQ,60,0)</f>
        <v>#N/A</v>
      </c>
      <c r="AU175" s="107" t="e">
        <f>VLOOKUP($A175,'S49'!$C:$BQ,32,0)</f>
        <v>#N/A</v>
      </c>
      <c r="AV175" s="107" t="e">
        <f>VLOOKUP($A175,'S49'!$C:$BQ,39,0)</f>
        <v>#N/A</v>
      </c>
      <c r="AW175" s="107" t="e">
        <f>VLOOKUP($A175,'S49'!$C:$BQ,40,0)</f>
        <v>#N/A</v>
      </c>
      <c r="AX175" s="107" t="e">
        <f>VLOOKUP($A175,'S49'!$C:$BQ,22,0)</f>
        <v>#N/A</v>
      </c>
      <c r="AY175" s="115" t="e">
        <f>VLOOKUP($A175,'S49'!$C:$BQ,29,0)</f>
        <v>#N/A</v>
      </c>
      <c r="AZ175" s="115" t="e">
        <f>VLOOKUP($A175,'S49'!$C:$BQ,30,0)</f>
        <v>#N/A</v>
      </c>
      <c r="BA175" s="115" t="e">
        <f>VLOOKUP($A175,'S49'!$C:$BQ,52,0)</f>
        <v>#N/A</v>
      </c>
      <c r="BB175" s="115" t="e">
        <f>VLOOKUP($A175,'S49'!$C:$BQ,59,0)</f>
        <v>#N/A</v>
      </c>
      <c r="BC175" s="115" t="e">
        <f>VLOOKUP($A175,'S49'!$C:$BQ,60,0)</f>
        <v>#N/A</v>
      </c>
      <c r="BD175" s="107" t="e">
        <f>VLOOKUP($A175,'S50'!$C:$BQ,32,0)</f>
        <v>#N/A</v>
      </c>
      <c r="BE175" s="107" t="e">
        <f>VLOOKUP($A175,'S50'!$C:$BQ,39,0)</f>
        <v>#N/A</v>
      </c>
      <c r="BF175" s="107" t="e">
        <f>VLOOKUP($A175,'S50'!$C:$BQ,40,0)</f>
        <v>#N/A</v>
      </c>
      <c r="BG175" s="107" t="e">
        <f>VLOOKUP($A175,'S50'!$C:$BQ,22,0)</f>
        <v>#N/A</v>
      </c>
      <c r="BH175" s="115" t="e">
        <f>VLOOKUP($A175,'S50'!$C:$BQ,29,0)</f>
        <v>#N/A</v>
      </c>
      <c r="BI175" s="115" t="e">
        <f>VLOOKUP($A175,'S50'!$C:$BQ,30,0)</f>
        <v>#N/A</v>
      </c>
      <c r="BJ175" s="115" t="e">
        <f>VLOOKUP($A175,'S50'!$C:$BQ,52,0)</f>
        <v>#N/A</v>
      </c>
      <c r="BK175" s="115" t="e">
        <f>VLOOKUP($A175,'S50'!$C:$BQ,59,0)</f>
        <v>#N/A</v>
      </c>
      <c r="BL175" s="115" t="e">
        <f>VLOOKUP($A175,'S50'!$C:$BQ,60,0)</f>
        <v>#N/A</v>
      </c>
    </row>
    <row r="176" spans="1:64" x14ac:dyDescent="0.2">
      <c r="A176" s="106" t="s">
        <v>244</v>
      </c>
      <c r="B176" s="107">
        <f>VLOOKUP($A176,'S0 remplacer avec S44'!$C:$BQ,32,0)</f>
        <v>164.8</v>
      </c>
      <c r="C176" s="107">
        <f>VLOOKUP($A176,'S0 remplacer avec S44'!$C:$BQ,39,0)</f>
        <v>36</v>
      </c>
      <c r="D176" s="107">
        <f>VLOOKUP($A176,'S0 remplacer avec S44'!$C:$BQ,40,0)</f>
        <v>75</v>
      </c>
      <c r="E176" s="107">
        <f>VLOOKUP($A176,'S0 remplacer avec S44'!$C:$BQ,22,0)</f>
        <v>1914.11592</v>
      </c>
      <c r="F176" s="115">
        <f>VLOOKUP($A176,'S0 remplacer avec S44'!$C:$BQ,29,0)</f>
        <v>0</v>
      </c>
      <c r="G176" s="115">
        <f>VLOOKUP($A176,'S0 remplacer avec S44'!$C:$BQ,30,0)</f>
        <v>267</v>
      </c>
      <c r="H176" s="115">
        <f>VLOOKUP($A176,'S0 remplacer avec S44'!$C:$BQ,52,0)</f>
        <v>92</v>
      </c>
      <c r="I176" s="115">
        <f>VLOOKUP($A176,'S0 remplacer avec S44'!$C:$BQ,59,0)</f>
        <v>10</v>
      </c>
      <c r="J176" s="115">
        <f>VLOOKUP($A176,'S0 remplacer avec S44'!$C:$BQ,60,0)</f>
        <v>30</v>
      </c>
      <c r="K176" s="107" t="e">
        <f>VLOOKUP($A176,'S45'!$C:$BQ,32,0)</f>
        <v>#N/A</v>
      </c>
      <c r="L176" s="107" t="e">
        <f>VLOOKUP($A176,'S45'!$C:$BQ,39,0)</f>
        <v>#N/A</v>
      </c>
      <c r="M176" s="107" t="e">
        <f>VLOOKUP($A176,'S45'!$C:$BQ,40,0)</f>
        <v>#N/A</v>
      </c>
      <c r="N176" s="107" t="e">
        <f>VLOOKUP($A176,'S45'!$C:$BQ,22,0)</f>
        <v>#N/A</v>
      </c>
      <c r="O176" s="115" t="e">
        <f>VLOOKUP($A176,'S45'!$C:$BQ,29,0)</f>
        <v>#N/A</v>
      </c>
      <c r="P176" s="115" t="e">
        <f>VLOOKUP($A176,'S45'!$C:$BQ,30,0)</f>
        <v>#N/A</v>
      </c>
      <c r="Q176" s="115" t="e">
        <f>VLOOKUP($A176,'S45'!$C:$BQ,52,0)</f>
        <v>#N/A</v>
      </c>
      <c r="R176" s="115" t="e">
        <f>VLOOKUP($A176,'S45'!$C:$BQ,59,0)</f>
        <v>#N/A</v>
      </c>
      <c r="S176" s="115" t="e">
        <f>VLOOKUP($A176,'S45'!$C:$BQ,60,0)</f>
        <v>#N/A</v>
      </c>
      <c r="T176" s="107" t="e">
        <f>VLOOKUP($A176,'S46'!$C:$BQ,32,0)</f>
        <v>#N/A</v>
      </c>
      <c r="U176" s="107" t="e">
        <f>VLOOKUP($A176,'S46'!$C:$BQ,39,0)</f>
        <v>#N/A</v>
      </c>
      <c r="V176" s="107" t="e">
        <f>VLOOKUP($A176,'S46'!$C:$BQ,40,0)</f>
        <v>#N/A</v>
      </c>
      <c r="W176" s="107" t="e">
        <f>VLOOKUP($A176,'S46'!$C:$BQ,22,0)</f>
        <v>#N/A</v>
      </c>
      <c r="X176" s="115" t="e">
        <f>VLOOKUP($A176,'S46'!$C:$BQ,29,0)</f>
        <v>#N/A</v>
      </c>
      <c r="Y176" s="115" t="e">
        <f>VLOOKUP($A176,'S46'!$C:$BQ,30,0)</f>
        <v>#N/A</v>
      </c>
      <c r="Z176" s="115" t="e">
        <f>VLOOKUP($A176,'S46'!$C:$BQ,52,0)</f>
        <v>#N/A</v>
      </c>
      <c r="AA176" s="115" t="e">
        <f>VLOOKUP($A176,'S46'!$C:$BQ,59,0)</f>
        <v>#N/A</v>
      </c>
      <c r="AB176" s="115" t="e">
        <f>VLOOKUP($A176,'S46'!$C:$BQ,60,0)</f>
        <v>#N/A</v>
      </c>
      <c r="AC176" s="107" t="e">
        <f>VLOOKUP($A176,'S47'!$C:$BQ,32,0)</f>
        <v>#N/A</v>
      </c>
      <c r="AD176" s="107" t="e">
        <f>VLOOKUP($A176,'S47'!$C:$BQ,39,0)</f>
        <v>#N/A</v>
      </c>
      <c r="AE176" s="107" t="e">
        <f>VLOOKUP($A176,'S47'!$C:$BQ,40,0)</f>
        <v>#N/A</v>
      </c>
      <c r="AF176" s="107" t="e">
        <f>VLOOKUP($A176,'S47'!$C:$BQ,22,0)</f>
        <v>#N/A</v>
      </c>
      <c r="AG176" s="115" t="e">
        <f>VLOOKUP($A176,'S47'!$C:$BQ,29,0)</f>
        <v>#N/A</v>
      </c>
      <c r="AH176" s="115" t="e">
        <f>VLOOKUP($A176,'S47'!$C:$BQ,30,0)</f>
        <v>#N/A</v>
      </c>
      <c r="AI176" s="115" t="e">
        <f>VLOOKUP($A176,'S47'!$C:$BQ,52,0)</f>
        <v>#N/A</v>
      </c>
      <c r="AJ176" s="115" t="e">
        <f>VLOOKUP($A176,'S47'!$C:$BQ,59,0)</f>
        <v>#N/A</v>
      </c>
      <c r="AK176" s="115" t="e">
        <f>VLOOKUP($A176,'S47'!$C:$BQ,60,0)</f>
        <v>#N/A</v>
      </c>
      <c r="AL176" s="107" t="e">
        <f>VLOOKUP($A176,'S48'!$C:$BQ,32,0)</f>
        <v>#N/A</v>
      </c>
      <c r="AM176" s="107" t="e">
        <f>VLOOKUP($A176,'S48'!$C:$BQ,39,0)</f>
        <v>#N/A</v>
      </c>
      <c r="AN176" s="107" t="e">
        <f>VLOOKUP($A176,'S48'!$C:$BQ,40,0)</f>
        <v>#N/A</v>
      </c>
      <c r="AO176" s="107" t="e">
        <f>VLOOKUP($A176,'S48'!$C:$BQ,22,0)</f>
        <v>#N/A</v>
      </c>
      <c r="AP176" s="115" t="e">
        <f>VLOOKUP($A176,'S48'!$C:$BQ,29,0)</f>
        <v>#N/A</v>
      </c>
      <c r="AQ176" s="115" t="e">
        <f>VLOOKUP($A176,'S48'!$C:$BQ,30,0)</f>
        <v>#N/A</v>
      </c>
      <c r="AR176" s="115" t="e">
        <f>VLOOKUP($A176,'S48'!$C:$BQ,52,0)</f>
        <v>#N/A</v>
      </c>
      <c r="AS176" s="115" t="e">
        <f>VLOOKUP($A176,'S48'!$C:$BQ,59,0)</f>
        <v>#N/A</v>
      </c>
      <c r="AT176" s="115" t="e">
        <f>VLOOKUP($A176,'S48'!$C:$BQ,60,0)</f>
        <v>#N/A</v>
      </c>
      <c r="AU176" s="107" t="e">
        <f>VLOOKUP($A176,'S49'!$C:$BQ,32,0)</f>
        <v>#N/A</v>
      </c>
      <c r="AV176" s="107" t="e">
        <f>VLOOKUP($A176,'S49'!$C:$BQ,39,0)</f>
        <v>#N/A</v>
      </c>
      <c r="AW176" s="107" t="e">
        <f>VLOOKUP($A176,'S49'!$C:$BQ,40,0)</f>
        <v>#N/A</v>
      </c>
      <c r="AX176" s="107" t="e">
        <f>VLOOKUP($A176,'S49'!$C:$BQ,22,0)</f>
        <v>#N/A</v>
      </c>
      <c r="AY176" s="115" t="e">
        <f>VLOOKUP($A176,'S49'!$C:$BQ,29,0)</f>
        <v>#N/A</v>
      </c>
      <c r="AZ176" s="115" t="e">
        <f>VLOOKUP($A176,'S49'!$C:$BQ,30,0)</f>
        <v>#N/A</v>
      </c>
      <c r="BA176" s="115" t="e">
        <f>VLOOKUP($A176,'S49'!$C:$BQ,52,0)</f>
        <v>#N/A</v>
      </c>
      <c r="BB176" s="115" t="e">
        <f>VLOOKUP($A176,'S49'!$C:$BQ,59,0)</f>
        <v>#N/A</v>
      </c>
      <c r="BC176" s="115" t="e">
        <f>VLOOKUP($A176,'S49'!$C:$BQ,60,0)</f>
        <v>#N/A</v>
      </c>
      <c r="BD176" s="107" t="e">
        <f>VLOOKUP($A176,'S50'!$C:$BQ,32,0)</f>
        <v>#N/A</v>
      </c>
      <c r="BE176" s="107" t="e">
        <f>VLOOKUP($A176,'S50'!$C:$BQ,39,0)</f>
        <v>#N/A</v>
      </c>
      <c r="BF176" s="107" t="e">
        <f>VLOOKUP($A176,'S50'!$C:$BQ,40,0)</f>
        <v>#N/A</v>
      </c>
      <c r="BG176" s="107" t="e">
        <f>VLOOKUP($A176,'S50'!$C:$BQ,22,0)</f>
        <v>#N/A</v>
      </c>
      <c r="BH176" s="115" t="e">
        <f>VLOOKUP($A176,'S50'!$C:$BQ,29,0)</f>
        <v>#N/A</v>
      </c>
      <c r="BI176" s="115" t="e">
        <f>VLOOKUP($A176,'S50'!$C:$BQ,30,0)</f>
        <v>#N/A</v>
      </c>
      <c r="BJ176" s="115" t="e">
        <f>VLOOKUP($A176,'S50'!$C:$BQ,52,0)</f>
        <v>#N/A</v>
      </c>
      <c r="BK176" s="115" t="e">
        <f>VLOOKUP($A176,'S50'!$C:$BQ,59,0)</f>
        <v>#N/A</v>
      </c>
      <c r="BL176" s="115" t="e">
        <f>VLOOKUP($A176,'S50'!$C:$BQ,60,0)</f>
        <v>#N/A</v>
      </c>
    </row>
    <row r="177" spans="1:64" x14ac:dyDescent="0.2">
      <c r="A177" s="106" t="s">
        <v>245</v>
      </c>
      <c r="B177" s="107">
        <f>VLOOKUP($A177,'S0 remplacer avec S44'!$C:$BQ,32,0)</f>
        <v>180.2</v>
      </c>
      <c r="C177" s="107">
        <f>VLOOKUP($A177,'S0 remplacer avec S44'!$C:$BQ,39,0)</f>
        <v>40</v>
      </c>
      <c r="D177" s="107">
        <f>VLOOKUP($A177,'S0 remplacer avec S44'!$C:$BQ,40,0)</f>
        <v>84</v>
      </c>
      <c r="E177" s="107">
        <f>VLOOKUP($A177,'S0 remplacer avec S44'!$C:$BQ,22,0)</f>
        <v>1321.291725</v>
      </c>
      <c r="F177" s="115">
        <f>VLOOKUP($A177,'S0 remplacer avec S44'!$C:$BQ,29,0)</f>
        <v>679</v>
      </c>
      <c r="G177" s="115">
        <f>VLOOKUP($A177,'S0 remplacer avec S44'!$C:$BQ,30,0)</f>
        <v>1079</v>
      </c>
      <c r="H177" s="115">
        <f>VLOOKUP($A177,'S0 remplacer avec S44'!$C:$BQ,52,0)</f>
        <v>78.2</v>
      </c>
      <c r="I177" s="115">
        <f>VLOOKUP($A177,'S0 remplacer avec S44'!$C:$BQ,59,0)</f>
        <v>34</v>
      </c>
      <c r="J177" s="115">
        <f>VLOOKUP($A177,'S0 remplacer avec S44'!$C:$BQ,60,0)</f>
        <v>56</v>
      </c>
      <c r="K177" s="107" t="e">
        <f>VLOOKUP($A177,'S45'!$C:$BQ,32,0)</f>
        <v>#N/A</v>
      </c>
      <c r="L177" s="107" t="e">
        <f>VLOOKUP($A177,'S45'!$C:$BQ,39,0)</f>
        <v>#N/A</v>
      </c>
      <c r="M177" s="107" t="e">
        <f>VLOOKUP($A177,'S45'!$C:$BQ,40,0)</f>
        <v>#N/A</v>
      </c>
      <c r="N177" s="107" t="e">
        <f>VLOOKUP($A177,'S45'!$C:$BQ,22,0)</f>
        <v>#N/A</v>
      </c>
      <c r="O177" s="115" t="e">
        <f>VLOOKUP($A177,'S45'!$C:$BQ,29,0)</f>
        <v>#N/A</v>
      </c>
      <c r="P177" s="115" t="e">
        <f>VLOOKUP($A177,'S45'!$C:$BQ,30,0)</f>
        <v>#N/A</v>
      </c>
      <c r="Q177" s="115" t="e">
        <f>VLOOKUP($A177,'S45'!$C:$BQ,52,0)</f>
        <v>#N/A</v>
      </c>
      <c r="R177" s="115" t="e">
        <f>VLOOKUP($A177,'S45'!$C:$BQ,59,0)</f>
        <v>#N/A</v>
      </c>
      <c r="S177" s="115" t="e">
        <f>VLOOKUP($A177,'S45'!$C:$BQ,60,0)</f>
        <v>#N/A</v>
      </c>
      <c r="T177" s="107" t="e">
        <f>VLOOKUP($A177,'S46'!$C:$BQ,32,0)</f>
        <v>#N/A</v>
      </c>
      <c r="U177" s="107" t="e">
        <f>VLOOKUP($A177,'S46'!$C:$BQ,39,0)</f>
        <v>#N/A</v>
      </c>
      <c r="V177" s="107" t="e">
        <f>VLOOKUP($A177,'S46'!$C:$BQ,40,0)</f>
        <v>#N/A</v>
      </c>
      <c r="W177" s="107" t="e">
        <f>VLOOKUP($A177,'S46'!$C:$BQ,22,0)</f>
        <v>#N/A</v>
      </c>
      <c r="X177" s="115" t="e">
        <f>VLOOKUP($A177,'S46'!$C:$BQ,29,0)</f>
        <v>#N/A</v>
      </c>
      <c r="Y177" s="115" t="e">
        <f>VLOOKUP($A177,'S46'!$C:$BQ,30,0)</f>
        <v>#N/A</v>
      </c>
      <c r="Z177" s="115" t="e">
        <f>VLOOKUP($A177,'S46'!$C:$BQ,52,0)</f>
        <v>#N/A</v>
      </c>
      <c r="AA177" s="115" t="e">
        <f>VLOOKUP($A177,'S46'!$C:$BQ,59,0)</f>
        <v>#N/A</v>
      </c>
      <c r="AB177" s="115" t="e">
        <f>VLOOKUP($A177,'S46'!$C:$BQ,60,0)</f>
        <v>#N/A</v>
      </c>
      <c r="AC177" s="107" t="e">
        <f>VLOOKUP($A177,'S47'!$C:$BQ,32,0)</f>
        <v>#N/A</v>
      </c>
      <c r="AD177" s="107" t="e">
        <f>VLOOKUP($A177,'S47'!$C:$BQ,39,0)</f>
        <v>#N/A</v>
      </c>
      <c r="AE177" s="107" t="e">
        <f>VLOOKUP($A177,'S47'!$C:$BQ,40,0)</f>
        <v>#N/A</v>
      </c>
      <c r="AF177" s="107" t="e">
        <f>VLOOKUP($A177,'S47'!$C:$BQ,22,0)</f>
        <v>#N/A</v>
      </c>
      <c r="AG177" s="115" t="e">
        <f>VLOOKUP($A177,'S47'!$C:$BQ,29,0)</f>
        <v>#N/A</v>
      </c>
      <c r="AH177" s="115" t="e">
        <f>VLOOKUP($A177,'S47'!$C:$BQ,30,0)</f>
        <v>#N/A</v>
      </c>
      <c r="AI177" s="115" t="e">
        <f>VLOOKUP($A177,'S47'!$C:$BQ,52,0)</f>
        <v>#N/A</v>
      </c>
      <c r="AJ177" s="115" t="e">
        <f>VLOOKUP($A177,'S47'!$C:$BQ,59,0)</f>
        <v>#N/A</v>
      </c>
      <c r="AK177" s="115" t="e">
        <f>VLOOKUP($A177,'S47'!$C:$BQ,60,0)</f>
        <v>#N/A</v>
      </c>
      <c r="AL177" s="107" t="e">
        <f>VLOOKUP($A177,'S48'!$C:$BQ,32,0)</f>
        <v>#N/A</v>
      </c>
      <c r="AM177" s="107" t="e">
        <f>VLOOKUP($A177,'S48'!$C:$BQ,39,0)</f>
        <v>#N/A</v>
      </c>
      <c r="AN177" s="107" t="e">
        <f>VLOOKUP($A177,'S48'!$C:$BQ,40,0)</f>
        <v>#N/A</v>
      </c>
      <c r="AO177" s="107" t="e">
        <f>VLOOKUP($A177,'S48'!$C:$BQ,22,0)</f>
        <v>#N/A</v>
      </c>
      <c r="AP177" s="115" t="e">
        <f>VLOOKUP($A177,'S48'!$C:$BQ,29,0)</f>
        <v>#N/A</v>
      </c>
      <c r="AQ177" s="115" t="e">
        <f>VLOOKUP($A177,'S48'!$C:$BQ,30,0)</f>
        <v>#N/A</v>
      </c>
      <c r="AR177" s="115" t="e">
        <f>VLOOKUP($A177,'S48'!$C:$BQ,52,0)</f>
        <v>#N/A</v>
      </c>
      <c r="AS177" s="115" t="e">
        <f>VLOOKUP($A177,'S48'!$C:$BQ,59,0)</f>
        <v>#N/A</v>
      </c>
      <c r="AT177" s="115" t="e">
        <f>VLOOKUP($A177,'S48'!$C:$BQ,60,0)</f>
        <v>#N/A</v>
      </c>
      <c r="AU177" s="107" t="e">
        <f>VLOOKUP($A177,'S49'!$C:$BQ,32,0)</f>
        <v>#N/A</v>
      </c>
      <c r="AV177" s="107" t="e">
        <f>VLOOKUP($A177,'S49'!$C:$BQ,39,0)</f>
        <v>#N/A</v>
      </c>
      <c r="AW177" s="107" t="e">
        <f>VLOOKUP($A177,'S49'!$C:$BQ,40,0)</f>
        <v>#N/A</v>
      </c>
      <c r="AX177" s="107" t="e">
        <f>VLOOKUP($A177,'S49'!$C:$BQ,22,0)</f>
        <v>#N/A</v>
      </c>
      <c r="AY177" s="115" t="e">
        <f>VLOOKUP($A177,'S49'!$C:$BQ,29,0)</f>
        <v>#N/A</v>
      </c>
      <c r="AZ177" s="115" t="e">
        <f>VLOOKUP($A177,'S49'!$C:$BQ,30,0)</f>
        <v>#N/A</v>
      </c>
      <c r="BA177" s="115" t="e">
        <f>VLOOKUP($A177,'S49'!$C:$BQ,52,0)</f>
        <v>#N/A</v>
      </c>
      <c r="BB177" s="115" t="e">
        <f>VLOOKUP($A177,'S49'!$C:$BQ,59,0)</f>
        <v>#N/A</v>
      </c>
      <c r="BC177" s="115" t="e">
        <f>VLOOKUP($A177,'S49'!$C:$BQ,60,0)</f>
        <v>#N/A</v>
      </c>
      <c r="BD177" s="107" t="e">
        <f>VLOOKUP($A177,'S50'!$C:$BQ,32,0)</f>
        <v>#N/A</v>
      </c>
      <c r="BE177" s="107" t="e">
        <f>VLOOKUP($A177,'S50'!$C:$BQ,39,0)</f>
        <v>#N/A</v>
      </c>
      <c r="BF177" s="107" t="e">
        <f>VLOOKUP($A177,'S50'!$C:$BQ,40,0)</f>
        <v>#N/A</v>
      </c>
      <c r="BG177" s="107" t="e">
        <f>VLOOKUP($A177,'S50'!$C:$BQ,22,0)</f>
        <v>#N/A</v>
      </c>
      <c r="BH177" s="115" t="e">
        <f>VLOOKUP($A177,'S50'!$C:$BQ,29,0)</f>
        <v>#N/A</v>
      </c>
      <c r="BI177" s="115" t="e">
        <f>VLOOKUP($A177,'S50'!$C:$BQ,30,0)</f>
        <v>#N/A</v>
      </c>
      <c r="BJ177" s="115" t="e">
        <f>VLOOKUP($A177,'S50'!$C:$BQ,52,0)</f>
        <v>#N/A</v>
      </c>
      <c r="BK177" s="115" t="e">
        <f>VLOOKUP($A177,'S50'!$C:$BQ,59,0)</f>
        <v>#N/A</v>
      </c>
      <c r="BL177" s="115" t="e">
        <f>VLOOKUP($A177,'S50'!$C:$BQ,60,0)</f>
        <v>#N/A</v>
      </c>
    </row>
    <row r="178" spans="1:64" x14ac:dyDescent="0.2">
      <c r="A178" s="106" t="s">
        <v>246</v>
      </c>
      <c r="B178" s="107">
        <f>VLOOKUP($A178,'S0 remplacer avec S44'!$C:$BQ,32,0)</f>
        <v>174.9</v>
      </c>
      <c r="C178" s="107">
        <f>VLOOKUP($A178,'S0 remplacer avec S44'!$C:$BQ,39,0)</f>
        <v>0</v>
      </c>
      <c r="D178" s="107">
        <f>VLOOKUP($A178,'S0 remplacer avec S44'!$C:$BQ,40,0)</f>
        <v>17</v>
      </c>
      <c r="E178" s="107">
        <f>VLOOKUP($A178,'S0 remplacer avec S44'!$C:$BQ,22,0)</f>
        <v>1590.63528</v>
      </c>
      <c r="F178" s="115">
        <f>VLOOKUP($A178,'S0 remplacer avec S44'!$C:$BQ,29,0)</f>
        <v>0</v>
      </c>
      <c r="G178" s="115">
        <f>VLOOKUP($A178,'S0 remplacer avec S44'!$C:$BQ,30,0)</f>
        <v>152</v>
      </c>
      <c r="H178" s="115">
        <f>VLOOKUP($A178,'S0 remplacer avec S44'!$C:$BQ,52,0)</f>
        <v>113.6</v>
      </c>
      <c r="I178" s="115">
        <f>VLOOKUP($A178,'S0 remplacer avec S44'!$C:$BQ,59,0)</f>
        <v>0</v>
      </c>
      <c r="J178" s="115">
        <f>VLOOKUP($A178,'S0 remplacer avec S44'!$C:$BQ,60,0)</f>
        <v>0</v>
      </c>
      <c r="K178" s="107" t="e">
        <f>VLOOKUP($A178,'S45'!$C:$BQ,32,0)</f>
        <v>#N/A</v>
      </c>
      <c r="L178" s="107" t="e">
        <f>VLOOKUP($A178,'S45'!$C:$BQ,39,0)</f>
        <v>#N/A</v>
      </c>
      <c r="M178" s="107" t="e">
        <f>VLOOKUP($A178,'S45'!$C:$BQ,40,0)</f>
        <v>#N/A</v>
      </c>
      <c r="N178" s="107" t="e">
        <f>VLOOKUP($A178,'S45'!$C:$BQ,22,0)</f>
        <v>#N/A</v>
      </c>
      <c r="O178" s="115" t="e">
        <f>VLOOKUP($A178,'S45'!$C:$BQ,29,0)</f>
        <v>#N/A</v>
      </c>
      <c r="P178" s="115" t="e">
        <f>VLOOKUP($A178,'S45'!$C:$BQ,30,0)</f>
        <v>#N/A</v>
      </c>
      <c r="Q178" s="115" t="e">
        <f>VLOOKUP($A178,'S45'!$C:$BQ,52,0)</f>
        <v>#N/A</v>
      </c>
      <c r="R178" s="115" t="e">
        <f>VLOOKUP($A178,'S45'!$C:$BQ,59,0)</f>
        <v>#N/A</v>
      </c>
      <c r="S178" s="115" t="e">
        <f>VLOOKUP($A178,'S45'!$C:$BQ,60,0)</f>
        <v>#N/A</v>
      </c>
      <c r="T178" s="107" t="e">
        <f>VLOOKUP($A178,'S46'!$C:$BQ,32,0)</f>
        <v>#N/A</v>
      </c>
      <c r="U178" s="107" t="e">
        <f>VLOOKUP($A178,'S46'!$C:$BQ,39,0)</f>
        <v>#N/A</v>
      </c>
      <c r="V178" s="107" t="e">
        <f>VLOOKUP($A178,'S46'!$C:$BQ,40,0)</f>
        <v>#N/A</v>
      </c>
      <c r="W178" s="107" t="e">
        <f>VLOOKUP($A178,'S46'!$C:$BQ,22,0)</f>
        <v>#N/A</v>
      </c>
      <c r="X178" s="115" t="e">
        <f>VLOOKUP($A178,'S46'!$C:$BQ,29,0)</f>
        <v>#N/A</v>
      </c>
      <c r="Y178" s="115" t="e">
        <f>VLOOKUP($A178,'S46'!$C:$BQ,30,0)</f>
        <v>#N/A</v>
      </c>
      <c r="Z178" s="115" t="e">
        <f>VLOOKUP($A178,'S46'!$C:$BQ,52,0)</f>
        <v>#N/A</v>
      </c>
      <c r="AA178" s="115" t="e">
        <f>VLOOKUP($A178,'S46'!$C:$BQ,59,0)</f>
        <v>#N/A</v>
      </c>
      <c r="AB178" s="115" t="e">
        <f>VLOOKUP($A178,'S46'!$C:$BQ,60,0)</f>
        <v>#N/A</v>
      </c>
      <c r="AC178" s="107" t="e">
        <f>VLOOKUP($A178,'S47'!$C:$BQ,32,0)</f>
        <v>#N/A</v>
      </c>
      <c r="AD178" s="107" t="e">
        <f>VLOOKUP($A178,'S47'!$C:$BQ,39,0)</f>
        <v>#N/A</v>
      </c>
      <c r="AE178" s="107" t="e">
        <f>VLOOKUP($A178,'S47'!$C:$BQ,40,0)</f>
        <v>#N/A</v>
      </c>
      <c r="AF178" s="107" t="e">
        <f>VLOOKUP($A178,'S47'!$C:$BQ,22,0)</f>
        <v>#N/A</v>
      </c>
      <c r="AG178" s="115" t="e">
        <f>VLOOKUP($A178,'S47'!$C:$BQ,29,0)</f>
        <v>#N/A</v>
      </c>
      <c r="AH178" s="115" t="e">
        <f>VLOOKUP($A178,'S47'!$C:$BQ,30,0)</f>
        <v>#N/A</v>
      </c>
      <c r="AI178" s="115" t="e">
        <f>VLOOKUP($A178,'S47'!$C:$BQ,52,0)</f>
        <v>#N/A</v>
      </c>
      <c r="AJ178" s="115" t="e">
        <f>VLOOKUP($A178,'S47'!$C:$BQ,59,0)</f>
        <v>#N/A</v>
      </c>
      <c r="AK178" s="115" t="e">
        <f>VLOOKUP($A178,'S47'!$C:$BQ,60,0)</f>
        <v>#N/A</v>
      </c>
      <c r="AL178" s="107" t="e">
        <f>VLOOKUP($A178,'S48'!$C:$BQ,32,0)</f>
        <v>#N/A</v>
      </c>
      <c r="AM178" s="107" t="e">
        <f>VLOOKUP($A178,'S48'!$C:$BQ,39,0)</f>
        <v>#N/A</v>
      </c>
      <c r="AN178" s="107" t="e">
        <f>VLOOKUP($A178,'S48'!$C:$BQ,40,0)</f>
        <v>#N/A</v>
      </c>
      <c r="AO178" s="107" t="e">
        <f>VLOOKUP($A178,'S48'!$C:$BQ,22,0)</f>
        <v>#N/A</v>
      </c>
      <c r="AP178" s="115" t="e">
        <f>VLOOKUP($A178,'S48'!$C:$BQ,29,0)</f>
        <v>#N/A</v>
      </c>
      <c r="AQ178" s="115" t="e">
        <f>VLOOKUP($A178,'S48'!$C:$BQ,30,0)</f>
        <v>#N/A</v>
      </c>
      <c r="AR178" s="115" t="e">
        <f>VLOOKUP($A178,'S48'!$C:$BQ,52,0)</f>
        <v>#N/A</v>
      </c>
      <c r="AS178" s="115" t="e">
        <f>VLOOKUP($A178,'S48'!$C:$BQ,59,0)</f>
        <v>#N/A</v>
      </c>
      <c r="AT178" s="115" t="e">
        <f>VLOOKUP($A178,'S48'!$C:$BQ,60,0)</f>
        <v>#N/A</v>
      </c>
      <c r="AU178" s="107" t="e">
        <f>VLOOKUP($A178,'S49'!$C:$BQ,32,0)</f>
        <v>#N/A</v>
      </c>
      <c r="AV178" s="107" t="e">
        <f>VLOOKUP($A178,'S49'!$C:$BQ,39,0)</f>
        <v>#N/A</v>
      </c>
      <c r="AW178" s="107" t="e">
        <f>VLOOKUP($A178,'S49'!$C:$BQ,40,0)</f>
        <v>#N/A</v>
      </c>
      <c r="AX178" s="107" t="e">
        <f>VLOOKUP($A178,'S49'!$C:$BQ,22,0)</f>
        <v>#N/A</v>
      </c>
      <c r="AY178" s="115" t="e">
        <f>VLOOKUP($A178,'S49'!$C:$BQ,29,0)</f>
        <v>#N/A</v>
      </c>
      <c r="AZ178" s="115" t="e">
        <f>VLOOKUP($A178,'S49'!$C:$BQ,30,0)</f>
        <v>#N/A</v>
      </c>
      <c r="BA178" s="115" t="e">
        <f>VLOOKUP($A178,'S49'!$C:$BQ,52,0)</f>
        <v>#N/A</v>
      </c>
      <c r="BB178" s="115" t="e">
        <f>VLOOKUP($A178,'S49'!$C:$BQ,59,0)</f>
        <v>#N/A</v>
      </c>
      <c r="BC178" s="115" t="e">
        <f>VLOOKUP($A178,'S49'!$C:$BQ,60,0)</f>
        <v>#N/A</v>
      </c>
      <c r="BD178" s="107" t="e">
        <f>VLOOKUP($A178,'S50'!$C:$BQ,32,0)</f>
        <v>#N/A</v>
      </c>
      <c r="BE178" s="107" t="e">
        <f>VLOOKUP($A178,'S50'!$C:$BQ,39,0)</f>
        <v>#N/A</v>
      </c>
      <c r="BF178" s="107" t="e">
        <f>VLOOKUP($A178,'S50'!$C:$BQ,40,0)</f>
        <v>#N/A</v>
      </c>
      <c r="BG178" s="107" t="e">
        <f>VLOOKUP($A178,'S50'!$C:$BQ,22,0)</f>
        <v>#N/A</v>
      </c>
      <c r="BH178" s="115" t="e">
        <f>VLOOKUP($A178,'S50'!$C:$BQ,29,0)</f>
        <v>#N/A</v>
      </c>
      <c r="BI178" s="115" t="e">
        <f>VLOOKUP($A178,'S50'!$C:$BQ,30,0)</f>
        <v>#N/A</v>
      </c>
      <c r="BJ178" s="115" t="e">
        <f>VLOOKUP($A178,'S50'!$C:$BQ,52,0)</f>
        <v>#N/A</v>
      </c>
      <c r="BK178" s="115" t="e">
        <f>VLOOKUP($A178,'S50'!$C:$BQ,59,0)</f>
        <v>#N/A</v>
      </c>
      <c r="BL178" s="115" t="e">
        <f>VLOOKUP($A178,'S50'!$C:$BQ,60,0)</f>
        <v>#N/A</v>
      </c>
    </row>
    <row r="179" spans="1:64" x14ac:dyDescent="0.2">
      <c r="A179" s="106" t="s">
        <v>247</v>
      </c>
      <c r="B179" s="107">
        <f>VLOOKUP($A179,'S0 remplacer avec S44'!$C:$BQ,32,0)</f>
        <v>201.3</v>
      </c>
      <c r="C179" s="107">
        <f>VLOOKUP($A179,'S0 remplacer avec S44'!$C:$BQ,39,0)</f>
        <v>34</v>
      </c>
      <c r="D179" s="107">
        <f>VLOOKUP($A179,'S0 remplacer avec S44'!$C:$BQ,40,0)</f>
        <v>81</v>
      </c>
      <c r="E179" s="107">
        <f>VLOOKUP($A179,'S0 remplacer avec S44'!$C:$BQ,22,0)</f>
        <v>1803.1387099999999</v>
      </c>
      <c r="F179" s="115">
        <f>VLOOKUP($A179,'S0 remplacer avec S44'!$C:$BQ,29,0)</f>
        <v>334</v>
      </c>
      <c r="G179" s="115">
        <f>VLOOKUP($A179,'S0 remplacer avec S44'!$C:$BQ,30,0)</f>
        <v>761</v>
      </c>
      <c r="H179" s="115">
        <f>VLOOKUP($A179,'S0 remplacer avec S44'!$C:$BQ,52,0)</f>
        <v>115</v>
      </c>
      <c r="I179" s="115">
        <f>VLOOKUP($A179,'S0 remplacer avec S44'!$C:$BQ,59,0)</f>
        <v>5</v>
      </c>
      <c r="J179" s="115">
        <f>VLOOKUP($A179,'S0 remplacer avec S44'!$C:$BQ,60,0)</f>
        <v>29</v>
      </c>
      <c r="K179" s="107" t="e">
        <f>VLOOKUP($A179,'S45'!$C:$BQ,32,0)</f>
        <v>#N/A</v>
      </c>
      <c r="L179" s="107" t="e">
        <f>VLOOKUP($A179,'S45'!$C:$BQ,39,0)</f>
        <v>#N/A</v>
      </c>
      <c r="M179" s="107" t="e">
        <f>VLOOKUP($A179,'S45'!$C:$BQ,40,0)</f>
        <v>#N/A</v>
      </c>
      <c r="N179" s="107" t="e">
        <f>VLOOKUP($A179,'S45'!$C:$BQ,22,0)</f>
        <v>#N/A</v>
      </c>
      <c r="O179" s="115" t="e">
        <f>VLOOKUP($A179,'S45'!$C:$BQ,29,0)</f>
        <v>#N/A</v>
      </c>
      <c r="P179" s="115" t="e">
        <f>VLOOKUP($A179,'S45'!$C:$BQ,30,0)</f>
        <v>#N/A</v>
      </c>
      <c r="Q179" s="115" t="e">
        <f>VLOOKUP($A179,'S45'!$C:$BQ,52,0)</f>
        <v>#N/A</v>
      </c>
      <c r="R179" s="115" t="e">
        <f>VLOOKUP($A179,'S45'!$C:$BQ,59,0)</f>
        <v>#N/A</v>
      </c>
      <c r="S179" s="115" t="e">
        <f>VLOOKUP($A179,'S45'!$C:$BQ,60,0)</f>
        <v>#N/A</v>
      </c>
      <c r="T179" s="107" t="e">
        <f>VLOOKUP($A179,'S46'!$C:$BQ,32,0)</f>
        <v>#N/A</v>
      </c>
      <c r="U179" s="107" t="e">
        <f>VLOOKUP($A179,'S46'!$C:$BQ,39,0)</f>
        <v>#N/A</v>
      </c>
      <c r="V179" s="107" t="e">
        <f>VLOOKUP($A179,'S46'!$C:$BQ,40,0)</f>
        <v>#N/A</v>
      </c>
      <c r="W179" s="107" t="e">
        <f>VLOOKUP($A179,'S46'!$C:$BQ,22,0)</f>
        <v>#N/A</v>
      </c>
      <c r="X179" s="115" t="e">
        <f>VLOOKUP($A179,'S46'!$C:$BQ,29,0)</f>
        <v>#N/A</v>
      </c>
      <c r="Y179" s="115" t="e">
        <f>VLOOKUP($A179,'S46'!$C:$BQ,30,0)</f>
        <v>#N/A</v>
      </c>
      <c r="Z179" s="115" t="e">
        <f>VLOOKUP($A179,'S46'!$C:$BQ,52,0)</f>
        <v>#N/A</v>
      </c>
      <c r="AA179" s="115" t="e">
        <f>VLOOKUP($A179,'S46'!$C:$BQ,59,0)</f>
        <v>#N/A</v>
      </c>
      <c r="AB179" s="115" t="e">
        <f>VLOOKUP($A179,'S46'!$C:$BQ,60,0)</f>
        <v>#N/A</v>
      </c>
      <c r="AC179" s="107" t="e">
        <f>VLOOKUP($A179,'S47'!$C:$BQ,32,0)</f>
        <v>#N/A</v>
      </c>
      <c r="AD179" s="107" t="e">
        <f>VLOOKUP($A179,'S47'!$C:$BQ,39,0)</f>
        <v>#N/A</v>
      </c>
      <c r="AE179" s="107" t="e">
        <f>VLOOKUP($A179,'S47'!$C:$BQ,40,0)</f>
        <v>#N/A</v>
      </c>
      <c r="AF179" s="107" t="e">
        <f>VLOOKUP($A179,'S47'!$C:$BQ,22,0)</f>
        <v>#N/A</v>
      </c>
      <c r="AG179" s="115" t="e">
        <f>VLOOKUP($A179,'S47'!$C:$BQ,29,0)</f>
        <v>#N/A</v>
      </c>
      <c r="AH179" s="115" t="e">
        <f>VLOOKUP($A179,'S47'!$C:$BQ,30,0)</f>
        <v>#N/A</v>
      </c>
      <c r="AI179" s="115" t="e">
        <f>VLOOKUP($A179,'S47'!$C:$BQ,52,0)</f>
        <v>#N/A</v>
      </c>
      <c r="AJ179" s="115" t="e">
        <f>VLOOKUP($A179,'S47'!$C:$BQ,59,0)</f>
        <v>#N/A</v>
      </c>
      <c r="AK179" s="115" t="e">
        <f>VLOOKUP($A179,'S47'!$C:$BQ,60,0)</f>
        <v>#N/A</v>
      </c>
      <c r="AL179" s="107" t="e">
        <f>VLOOKUP($A179,'S48'!$C:$BQ,32,0)</f>
        <v>#N/A</v>
      </c>
      <c r="AM179" s="107" t="e">
        <f>VLOOKUP($A179,'S48'!$C:$BQ,39,0)</f>
        <v>#N/A</v>
      </c>
      <c r="AN179" s="107" t="e">
        <f>VLOOKUP($A179,'S48'!$C:$BQ,40,0)</f>
        <v>#N/A</v>
      </c>
      <c r="AO179" s="107" t="e">
        <f>VLOOKUP($A179,'S48'!$C:$BQ,22,0)</f>
        <v>#N/A</v>
      </c>
      <c r="AP179" s="115" t="e">
        <f>VLOOKUP($A179,'S48'!$C:$BQ,29,0)</f>
        <v>#N/A</v>
      </c>
      <c r="AQ179" s="115" t="e">
        <f>VLOOKUP($A179,'S48'!$C:$BQ,30,0)</f>
        <v>#N/A</v>
      </c>
      <c r="AR179" s="115" t="e">
        <f>VLOOKUP($A179,'S48'!$C:$BQ,52,0)</f>
        <v>#N/A</v>
      </c>
      <c r="AS179" s="115" t="e">
        <f>VLOOKUP($A179,'S48'!$C:$BQ,59,0)</f>
        <v>#N/A</v>
      </c>
      <c r="AT179" s="115" t="e">
        <f>VLOOKUP($A179,'S48'!$C:$BQ,60,0)</f>
        <v>#N/A</v>
      </c>
      <c r="AU179" s="107" t="e">
        <f>VLOOKUP($A179,'S49'!$C:$BQ,32,0)</f>
        <v>#N/A</v>
      </c>
      <c r="AV179" s="107" t="e">
        <f>VLOOKUP($A179,'S49'!$C:$BQ,39,0)</f>
        <v>#N/A</v>
      </c>
      <c r="AW179" s="107" t="e">
        <f>VLOOKUP($A179,'S49'!$C:$BQ,40,0)</f>
        <v>#N/A</v>
      </c>
      <c r="AX179" s="107" t="e">
        <f>VLOOKUP($A179,'S49'!$C:$BQ,22,0)</f>
        <v>#N/A</v>
      </c>
      <c r="AY179" s="115" t="e">
        <f>VLOOKUP($A179,'S49'!$C:$BQ,29,0)</f>
        <v>#N/A</v>
      </c>
      <c r="AZ179" s="115" t="e">
        <f>VLOOKUP($A179,'S49'!$C:$BQ,30,0)</f>
        <v>#N/A</v>
      </c>
      <c r="BA179" s="115" t="e">
        <f>VLOOKUP($A179,'S49'!$C:$BQ,52,0)</f>
        <v>#N/A</v>
      </c>
      <c r="BB179" s="115" t="e">
        <f>VLOOKUP($A179,'S49'!$C:$BQ,59,0)</f>
        <v>#N/A</v>
      </c>
      <c r="BC179" s="115" t="e">
        <f>VLOOKUP($A179,'S49'!$C:$BQ,60,0)</f>
        <v>#N/A</v>
      </c>
      <c r="BD179" s="107" t="e">
        <f>VLOOKUP($A179,'S50'!$C:$BQ,32,0)</f>
        <v>#N/A</v>
      </c>
      <c r="BE179" s="107" t="e">
        <f>VLOOKUP($A179,'S50'!$C:$BQ,39,0)</f>
        <v>#N/A</v>
      </c>
      <c r="BF179" s="107" t="e">
        <f>VLOOKUP($A179,'S50'!$C:$BQ,40,0)</f>
        <v>#N/A</v>
      </c>
      <c r="BG179" s="107" t="e">
        <f>VLOOKUP($A179,'S50'!$C:$BQ,22,0)</f>
        <v>#N/A</v>
      </c>
      <c r="BH179" s="115" t="e">
        <f>VLOOKUP($A179,'S50'!$C:$BQ,29,0)</f>
        <v>#N/A</v>
      </c>
      <c r="BI179" s="115" t="e">
        <f>VLOOKUP($A179,'S50'!$C:$BQ,30,0)</f>
        <v>#N/A</v>
      </c>
      <c r="BJ179" s="115" t="e">
        <f>VLOOKUP($A179,'S50'!$C:$BQ,52,0)</f>
        <v>#N/A</v>
      </c>
      <c r="BK179" s="115" t="e">
        <f>VLOOKUP($A179,'S50'!$C:$BQ,59,0)</f>
        <v>#N/A</v>
      </c>
      <c r="BL179" s="115" t="e">
        <f>VLOOKUP($A179,'S50'!$C:$BQ,60,0)</f>
        <v>#N/A</v>
      </c>
    </row>
    <row r="180" spans="1:64" x14ac:dyDescent="0.2">
      <c r="A180" s="106" t="s">
        <v>248</v>
      </c>
      <c r="B180" s="107">
        <f>VLOOKUP($A180,'S0 remplacer avec S44'!$C:$BQ,32,0)</f>
        <v>186.25</v>
      </c>
      <c r="C180" s="107">
        <f>VLOOKUP($A180,'S0 remplacer avec S44'!$C:$BQ,39,0)</f>
        <v>95</v>
      </c>
      <c r="D180" s="107">
        <f>VLOOKUP($A180,'S0 remplacer avec S44'!$C:$BQ,40,0)</f>
        <v>151</v>
      </c>
      <c r="E180" s="107">
        <f>VLOOKUP($A180,'S0 remplacer avec S44'!$C:$BQ,22,0)</f>
        <v>2215.5375650000001</v>
      </c>
      <c r="F180" s="115">
        <f>VLOOKUP($A180,'S0 remplacer avec S44'!$C:$BQ,29,0)</f>
        <v>335</v>
      </c>
      <c r="G180" s="115">
        <f>VLOOKUP($A180,'S0 remplacer avec S44'!$C:$BQ,30,0)</f>
        <v>845</v>
      </c>
      <c r="H180" s="115">
        <f>VLOOKUP($A180,'S0 remplacer avec S44'!$C:$BQ,52,0)</f>
        <v>116.8</v>
      </c>
      <c r="I180" s="115">
        <f>VLOOKUP($A180,'S0 remplacer avec S44'!$C:$BQ,59,0)</f>
        <v>26</v>
      </c>
      <c r="J180" s="115">
        <f>VLOOKUP($A180,'S0 remplacer avec S44'!$C:$BQ,60,0)</f>
        <v>55</v>
      </c>
      <c r="K180" s="107" t="e">
        <f>VLOOKUP($A180,'S45'!$C:$BQ,32,0)</f>
        <v>#N/A</v>
      </c>
      <c r="L180" s="107" t="e">
        <f>VLOOKUP($A180,'S45'!$C:$BQ,39,0)</f>
        <v>#N/A</v>
      </c>
      <c r="M180" s="107" t="e">
        <f>VLOOKUP($A180,'S45'!$C:$BQ,40,0)</f>
        <v>#N/A</v>
      </c>
      <c r="N180" s="107" t="e">
        <f>VLOOKUP($A180,'S45'!$C:$BQ,22,0)</f>
        <v>#N/A</v>
      </c>
      <c r="O180" s="115" t="e">
        <f>VLOOKUP($A180,'S45'!$C:$BQ,29,0)</f>
        <v>#N/A</v>
      </c>
      <c r="P180" s="115" t="e">
        <f>VLOOKUP($A180,'S45'!$C:$BQ,30,0)</f>
        <v>#N/A</v>
      </c>
      <c r="Q180" s="115" t="e">
        <f>VLOOKUP($A180,'S45'!$C:$BQ,52,0)</f>
        <v>#N/A</v>
      </c>
      <c r="R180" s="115" t="e">
        <f>VLOOKUP($A180,'S45'!$C:$BQ,59,0)</f>
        <v>#N/A</v>
      </c>
      <c r="S180" s="115" t="e">
        <f>VLOOKUP($A180,'S45'!$C:$BQ,60,0)</f>
        <v>#N/A</v>
      </c>
      <c r="T180" s="107" t="e">
        <f>VLOOKUP($A180,'S46'!$C:$BQ,32,0)</f>
        <v>#N/A</v>
      </c>
      <c r="U180" s="107" t="e">
        <f>VLOOKUP($A180,'S46'!$C:$BQ,39,0)</f>
        <v>#N/A</v>
      </c>
      <c r="V180" s="107" t="e">
        <f>VLOOKUP($A180,'S46'!$C:$BQ,40,0)</f>
        <v>#N/A</v>
      </c>
      <c r="W180" s="107" t="e">
        <f>VLOOKUP($A180,'S46'!$C:$BQ,22,0)</f>
        <v>#N/A</v>
      </c>
      <c r="X180" s="115" t="e">
        <f>VLOOKUP($A180,'S46'!$C:$BQ,29,0)</f>
        <v>#N/A</v>
      </c>
      <c r="Y180" s="115" t="e">
        <f>VLOOKUP($A180,'S46'!$C:$BQ,30,0)</f>
        <v>#N/A</v>
      </c>
      <c r="Z180" s="115" t="e">
        <f>VLOOKUP($A180,'S46'!$C:$BQ,52,0)</f>
        <v>#N/A</v>
      </c>
      <c r="AA180" s="115" t="e">
        <f>VLOOKUP($A180,'S46'!$C:$BQ,59,0)</f>
        <v>#N/A</v>
      </c>
      <c r="AB180" s="115" t="e">
        <f>VLOOKUP($A180,'S46'!$C:$BQ,60,0)</f>
        <v>#N/A</v>
      </c>
      <c r="AC180" s="107" t="e">
        <f>VLOOKUP($A180,'S47'!$C:$BQ,32,0)</f>
        <v>#N/A</v>
      </c>
      <c r="AD180" s="107" t="e">
        <f>VLOOKUP($A180,'S47'!$C:$BQ,39,0)</f>
        <v>#N/A</v>
      </c>
      <c r="AE180" s="107" t="e">
        <f>VLOOKUP($A180,'S47'!$C:$BQ,40,0)</f>
        <v>#N/A</v>
      </c>
      <c r="AF180" s="107" t="e">
        <f>VLOOKUP($A180,'S47'!$C:$BQ,22,0)</f>
        <v>#N/A</v>
      </c>
      <c r="AG180" s="115" t="e">
        <f>VLOOKUP($A180,'S47'!$C:$BQ,29,0)</f>
        <v>#N/A</v>
      </c>
      <c r="AH180" s="115" t="e">
        <f>VLOOKUP($A180,'S47'!$C:$BQ,30,0)</f>
        <v>#N/A</v>
      </c>
      <c r="AI180" s="115" t="e">
        <f>VLOOKUP($A180,'S47'!$C:$BQ,52,0)</f>
        <v>#N/A</v>
      </c>
      <c r="AJ180" s="115" t="e">
        <f>VLOOKUP($A180,'S47'!$C:$BQ,59,0)</f>
        <v>#N/A</v>
      </c>
      <c r="AK180" s="115" t="e">
        <f>VLOOKUP($A180,'S47'!$C:$BQ,60,0)</f>
        <v>#N/A</v>
      </c>
      <c r="AL180" s="107" t="e">
        <f>VLOOKUP($A180,'S48'!$C:$BQ,32,0)</f>
        <v>#N/A</v>
      </c>
      <c r="AM180" s="107" t="e">
        <f>VLOOKUP($A180,'S48'!$C:$BQ,39,0)</f>
        <v>#N/A</v>
      </c>
      <c r="AN180" s="107" t="e">
        <f>VLOOKUP($A180,'S48'!$C:$BQ,40,0)</f>
        <v>#N/A</v>
      </c>
      <c r="AO180" s="107" t="e">
        <f>VLOOKUP($A180,'S48'!$C:$BQ,22,0)</f>
        <v>#N/A</v>
      </c>
      <c r="AP180" s="115" t="e">
        <f>VLOOKUP($A180,'S48'!$C:$BQ,29,0)</f>
        <v>#N/A</v>
      </c>
      <c r="AQ180" s="115" t="e">
        <f>VLOOKUP($A180,'S48'!$C:$BQ,30,0)</f>
        <v>#N/A</v>
      </c>
      <c r="AR180" s="115" t="e">
        <f>VLOOKUP($A180,'S48'!$C:$BQ,52,0)</f>
        <v>#N/A</v>
      </c>
      <c r="AS180" s="115" t="e">
        <f>VLOOKUP($A180,'S48'!$C:$BQ,59,0)</f>
        <v>#N/A</v>
      </c>
      <c r="AT180" s="115" t="e">
        <f>VLOOKUP($A180,'S48'!$C:$BQ,60,0)</f>
        <v>#N/A</v>
      </c>
      <c r="AU180" s="107" t="e">
        <f>VLOOKUP($A180,'S49'!$C:$BQ,32,0)</f>
        <v>#N/A</v>
      </c>
      <c r="AV180" s="107" t="e">
        <f>VLOOKUP($A180,'S49'!$C:$BQ,39,0)</f>
        <v>#N/A</v>
      </c>
      <c r="AW180" s="107" t="e">
        <f>VLOOKUP($A180,'S49'!$C:$BQ,40,0)</f>
        <v>#N/A</v>
      </c>
      <c r="AX180" s="107" t="e">
        <f>VLOOKUP($A180,'S49'!$C:$BQ,22,0)</f>
        <v>#N/A</v>
      </c>
      <c r="AY180" s="115" t="e">
        <f>VLOOKUP($A180,'S49'!$C:$BQ,29,0)</f>
        <v>#N/A</v>
      </c>
      <c r="AZ180" s="115" t="e">
        <f>VLOOKUP($A180,'S49'!$C:$BQ,30,0)</f>
        <v>#N/A</v>
      </c>
      <c r="BA180" s="115" t="e">
        <f>VLOOKUP($A180,'S49'!$C:$BQ,52,0)</f>
        <v>#N/A</v>
      </c>
      <c r="BB180" s="115" t="e">
        <f>VLOOKUP($A180,'S49'!$C:$BQ,59,0)</f>
        <v>#N/A</v>
      </c>
      <c r="BC180" s="115" t="e">
        <f>VLOOKUP($A180,'S49'!$C:$BQ,60,0)</f>
        <v>#N/A</v>
      </c>
      <c r="BD180" s="107" t="e">
        <f>VLOOKUP($A180,'S50'!$C:$BQ,32,0)</f>
        <v>#N/A</v>
      </c>
      <c r="BE180" s="107" t="e">
        <f>VLOOKUP($A180,'S50'!$C:$BQ,39,0)</f>
        <v>#N/A</v>
      </c>
      <c r="BF180" s="107" t="e">
        <f>VLOOKUP($A180,'S50'!$C:$BQ,40,0)</f>
        <v>#N/A</v>
      </c>
      <c r="BG180" s="107" t="e">
        <f>VLOOKUP($A180,'S50'!$C:$BQ,22,0)</f>
        <v>#N/A</v>
      </c>
      <c r="BH180" s="115" t="e">
        <f>VLOOKUP($A180,'S50'!$C:$BQ,29,0)</f>
        <v>#N/A</v>
      </c>
      <c r="BI180" s="115" t="e">
        <f>VLOOKUP($A180,'S50'!$C:$BQ,30,0)</f>
        <v>#N/A</v>
      </c>
      <c r="BJ180" s="115" t="e">
        <f>VLOOKUP($A180,'S50'!$C:$BQ,52,0)</f>
        <v>#N/A</v>
      </c>
      <c r="BK180" s="115" t="e">
        <f>VLOOKUP($A180,'S50'!$C:$BQ,59,0)</f>
        <v>#N/A</v>
      </c>
      <c r="BL180" s="115" t="e">
        <f>VLOOKUP($A180,'S50'!$C:$BQ,60,0)</f>
        <v>#N/A</v>
      </c>
    </row>
    <row r="181" spans="1:64" x14ac:dyDescent="0.2">
      <c r="A181" s="106" t="s">
        <v>249</v>
      </c>
      <c r="B181" s="107">
        <f>VLOOKUP($A181,'S0 remplacer avec S44'!$C:$BQ,32,0)</f>
        <v>172.1</v>
      </c>
      <c r="C181" s="107">
        <f>VLOOKUP($A181,'S0 remplacer avec S44'!$C:$BQ,39,0)</f>
        <v>113</v>
      </c>
      <c r="D181" s="107">
        <f>VLOOKUP($A181,'S0 remplacer avec S44'!$C:$BQ,40,0)</f>
        <v>170</v>
      </c>
      <c r="E181" s="107">
        <f>VLOOKUP($A181,'S0 remplacer avec S44'!$C:$BQ,22,0)</f>
        <v>1734.065985</v>
      </c>
      <c r="F181" s="115">
        <f>VLOOKUP($A181,'S0 remplacer avec S44'!$C:$BQ,29,0)</f>
        <v>856</v>
      </c>
      <c r="G181" s="115">
        <f>VLOOKUP($A181,'S0 remplacer avec S44'!$C:$BQ,30,0)</f>
        <v>1374</v>
      </c>
      <c r="H181" s="115">
        <f>VLOOKUP($A181,'S0 remplacer avec S44'!$C:$BQ,52,0)</f>
        <v>137</v>
      </c>
      <c r="I181" s="115">
        <f>VLOOKUP($A181,'S0 remplacer avec S44'!$C:$BQ,59,0)</f>
        <v>8</v>
      </c>
      <c r="J181" s="115">
        <f>VLOOKUP($A181,'S0 remplacer avec S44'!$C:$BQ,60,0)</f>
        <v>37</v>
      </c>
      <c r="K181" s="107" t="e">
        <f>VLOOKUP($A181,'S45'!$C:$BQ,32,0)</f>
        <v>#N/A</v>
      </c>
      <c r="L181" s="107" t="e">
        <f>VLOOKUP($A181,'S45'!$C:$BQ,39,0)</f>
        <v>#N/A</v>
      </c>
      <c r="M181" s="107" t="e">
        <f>VLOOKUP($A181,'S45'!$C:$BQ,40,0)</f>
        <v>#N/A</v>
      </c>
      <c r="N181" s="107" t="e">
        <f>VLOOKUP($A181,'S45'!$C:$BQ,22,0)</f>
        <v>#N/A</v>
      </c>
      <c r="O181" s="115" t="e">
        <f>VLOOKUP($A181,'S45'!$C:$BQ,29,0)</f>
        <v>#N/A</v>
      </c>
      <c r="P181" s="115" t="e">
        <f>VLOOKUP($A181,'S45'!$C:$BQ,30,0)</f>
        <v>#N/A</v>
      </c>
      <c r="Q181" s="115" t="e">
        <f>VLOOKUP($A181,'S45'!$C:$BQ,52,0)</f>
        <v>#N/A</v>
      </c>
      <c r="R181" s="115" t="e">
        <f>VLOOKUP($A181,'S45'!$C:$BQ,59,0)</f>
        <v>#N/A</v>
      </c>
      <c r="S181" s="115" t="e">
        <f>VLOOKUP($A181,'S45'!$C:$BQ,60,0)</f>
        <v>#N/A</v>
      </c>
      <c r="T181" s="107" t="e">
        <f>VLOOKUP($A181,'S46'!$C:$BQ,32,0)</f>
        <v>#N/A</v>
      </c>
      <c r="U181" s="107" t="e">
        <f>VLOOKUP($A181,'S46'!$C:$BQ,39,0)</f>
        <v>#N/A</v>
      </c>
      <c r="V181" s="107" t="e">
        <f>VLOOKUP($A181,'S46'!$C:$BQ,40,0)</f>
        <v>#N/A</v>
      </c>
      <c r="W181" s="107" t="e">
        <f>VLOOKUP($A181,'S46'!$C:$BQ,22,0)</f>
        <v>#N/A</v>
      </c>
      <c r="X181" s="115" t="e">
        <f>VLOOKUP($A181,'S46'!$C:$BQ,29,0)</f>
        <v>#N/A</v>
      </c>
      <c r="Y181" s="115" t="e">
        <f>VLOOKUP($A181,'S46'!$C:$BQ,30,0)</f>
        <v>#N/A</v>
      </c>
      <c r="Z181" s="115" t="e">
        <f>VLOOKUP($A181,'S46'!$C:$BQ,52,0)</f>
        <v>#N/A</v>
      </c>
      <c r="AA181" s="115" t="e">
        <f>VLOOKUP($A181,'S46'!$C:$BQ,59,0)</f>
        <v>#N/A</v>
      </c>
      <c r="AB181" s="115" t="e">
        <f>VLOOKUP($A181,'S46'!$C:$BQ,60,0)</f>
        <v>#N/A</v>
      </c>
      <c r="AC181" s="107" t="e">
        <f>VLOOKUP($A181,'S47'!$C:$BQ,32,0)</f>
        <v>#N/A</v>
      </c>
      <c r="AD181" s="107" t="e">
        <f>VLOOKUP($A181,'S47'!$C:$BQ,39,0)</f>
        <v>#N/A</v>
      </c>
      <c r="AE181" s="107" t="e">
        <f>VLOOKUP($A181,'S47'!$C:$BQ,40,0)</f>
        <v>#N/A</v>
      </c>
      <c r="AF181" s="107" t="e">
        <f>VLOOKUP($A181,'S47'!$C:$BQ,22,0)</f>
        <v>#N/A</v>
      </c>
      <c r="AG181" s="115" t="e">
        <f>VLOOKUP($A181,'S47'!$C:$BQ,29,0)</f>
        <v>#N/A</v>
      </c>
      <c r="AH181" s="115" t="e">
        <f>VLOOKUP($A181,'S47'!$C:$BQ,30,0)</f>
        <v>#N/A</v>
      </c>
      <c r="AI181" s="115" t="e">
        <f>VLOOKUP($A181,'S47'!$C:$BQ,52,0)</f>
        <v>#N/A</v>
      </c>
      <c r="AJ181" s="115" t="e">
        <f>VLOOKUP($A181,'S47'!$C:$BQ,59,0)</f>
        <v>#N/A</v>
      </c>
      <c r="AK181" s="115" t="e">
        <f>VLOOKUP($A181,'S47'!$C:$BQ,60,0)</f>
        <v>#N/A</v>
      </c>
      <c r="AL181" s="107" t="e">
        <f>VLOOKUP($A181,'S48'!$C:$BQ,32,0)</f>
        <v>#N/A</v>
      </c>
      <c r="AM181" s="107" t="e">
        <f>VLOOKUP($A181,'S48'!$C:$BQ,39,0)</f>
        <v>#N/A</v>
      </c>
      <c r="AN181" s="107" t="e">
        <f>VLOOKUP($A181,'S48'!$C:$BQ,40,0)</f>
        <v>#N/A</v>
      </c>
      <c r="AO181" s="107" t="e">
        <f>VLOOKUP($A181,'S48'!$C:$BQ,22,0)</f>
        <v>#N/A</v>
      </c>
      <c r="AP181" s="115" t="e">
        <f>VLOOKUP($A181,'S48'!$C:$BQ,29,0)</f>
        <v>#N/A</v>
      </c>
      <c r="AQ181" s="115" t="e">
        <f>VLOOKUP($A181,'S48'!$C:$BQ,30,0)</f>
        <v>#N/A</v>
      </c>
      <c r="AR181" s="115" t="e">
        <f>VLOOKUP($A181,'S48'!$C:$BQ,52,0)</f>
        <v>#N/A</v>
      </c>
      <c r="AS181" s="115" t="e">
        <f>VLOOKUP($A181,'S48'!$C:$BQ,59,0)</f>
        <v>#N/A</v>
      </c>
      <c r="AT181" s="115" t="e">
        <f>VLOOKUP($A181,'S48'!$C:$BQ,60,0)</f>
        <v>#N/A</v>
      </c>
      <c r="AU181" s="107" t="e">
        <f>VLOOKUP($A181,'S49'!$C:$BQ,32,0)</f>
        <v>#N/A</v>
      </c>
      <c r="AV181" s="107" t="e">
        <f>VLOOKUP($A181,'S49'!$C:$BQ,39,0)</f>
        <v>#N/A</v>
      </c>
      <c r="AW181" s="107" t="e">
        <f>VLOOKUP($A181,'S49'!$C:$BQ,40,0)</f>
        <v>#N/A</v>
      </c>
      <c r="AX181" s="107" t="e">
        <f>VLOOKUP($A181,'S49'!$C:$BQ,22,0)</f>
        <v>#N/A</v>
      </c>
      <c r="AY181" s="115" t="e">
        <f>VLOOKUP($A181,'S49'!$C:$BQ,29,0)</f>
        <v>#N/A</v>
      </c>
      <c r="AZ181" s="115" t="e">
        <f>VLOOKUP($A181,'S49'!$C:$BQ,30,0)</f>
        <v>#N/A</v>
      </c>
      <c r="BA181" s="115" t="e">
        <f>VLOOKUP($A181,'S49'!$C:$BQ,52,0)</f>
        <v>#N/A</v>
      </c>
      <c r="BB181" s="115" t="e">
        <f>VLOOKUP($A181,'S49'!$C:$BQ,59,0)</f>
        <v>#N/A</v>
      </c>
      <c r="BC181" s="115" t="e">
        <f>VLOOKUP($A181,'S49'!$C:$BQ,60,0)</f>
        <v>#N/A</v>
      </c>
      <c r="BD181" s="107" t="e">
        <f>VLOOKUP($A181,'S50'!$C:$BQ,32,0)</f>
        <v>#N/A</v>
      </c>
      <c r="BE181" s="107" t="e">
        <f>VLOOKUP($A181,'S50'!$C:$BQ,39,0)</f>
        <v>#N/A</v>
      </c>
      <c r="BF181" s="107" t="e">
        <f>VLOOKUP($A181,'S50'!$C:$BQ,40,0)</f>
        <v>#N/A</v>
      </c>
      <c r="BG181" s="107" t="e">
        <f>VLOOKUP($A181,'S50'!$C:$BQ,22,0)</f>
        <v>#N/A</v>
      </c>
      <c r="BH181" s="115" t="e">
        <f>VLOOKUP($A181,'S50'!$C:$BQ,29,0)</f>
        <v>#N/A</v>
      </c>
      <c r="BI181" s="115" t="e">
        <f>VLOOKUP($A181,'S50'!$C:$BQ,30,0)</f>
        <v>#N/A</v>
      </c>
      <c r="BJ181" s="115" t="e">
        <f>VLOOKUP($A181,'S50'!$C:$BQ,52,0)</f>
        <v>#N/A</v>
      </c>
      <c r="BK181" s="115" t="e">
        <f>VLOOKUP($A181,'S50'!$C:$BQ,59,0)</f>
        <v>#N/A</v>
      </c>
      <c r="BL181" s="115" t="e">
        <f>VLOOKUP($A181,'S50'!$C:$BQ,60,0)</f>
        <v>#N/A</v>
      </c>
    </row>
    <row r="182" spans="1:64" x14ac:dyDescent="0.2">
      <c r="A182" s="106" t="s">
        <v>250</v>
      </c>
      <c r="B182" s="107">
        <f>VLOOKUP($A182,'S0 remplacer avec S44'!$C:$BQ,32,0)</f>
        <v>113.8</v>
      </c>
      <c r="C182" s="107">
        <f>VLOOKUP($A182,'S0 remplacer avec S44'!$C:$BQ,39,0)</f>
        <v>78</v>
      </c>
      <c r="D182" s="107">
        <f>VLOOKUP($A182,'S0 remplacer avec S44'!$C:$BQ,40,0)</f>
        <v>116</v>
      </c>
      <c r="E182" s="107">
        <f>VLOOKUP($A182,'S0 remplacer avec S44'!$C:$BQ,22,0)</f>
        <v>1067.1387050000001</v>
      </c>
      <c r="F182" s="115">
        <f>VLOOKUP($A182,'S0 remplacer avec S44'!$C:$BQ,29,0)</f>
        <v>672</v>
      </c>
      <c r="G182" s="115">
        <f>VLOOKUP($A182,'S0 remplacer avec S44'!$C:$BQ,30,0)</f>
        <v>1020</v>
      </c>
      <c r="H182" s="115">
        <f>VLOOKUP($A182,'S0 remplacer avec S44'!$C:$BQ,52,0)</f>
        <v>75</v>
      </c>
      <c r="I182" s="115">
        <f>VLOOKUP($A182,'S0 remplacer avec S44'!$C:$BQ,59,0)</f>
        <v>23</v>
      </c>
      <c r="J182" s="115">
        <f>VLOOKUP($A182,'S0 remplacer avec S44'!$C:$BQ,60,0)</f>
        <v>42</v>
      </c>
      <c r="K182" s="107" t="e">
        <f>VLOOKUP($A182,'S45'!$C:$BQ,32,0)</f>
        <v>#N/A</v>
      </c>
      <c r="L182" s="107" t="e">
        <f>VLOOKUP($A182,'S45'!$C:$BQ,39,0)</f>
        <v>#N/A</v>
      </c>
      <c r="M182" s="107" t="e">
        <f>VLOOKUP($A182,'S45'!$C:$BQ,40,0)</f>
        <v>#N/A</v>
      </c>
      <c r="N182" s="107" t="e">
        <f>VLOOKUP($A182,'S45'!$C:$BQ,22,0)</f>
        <v>#N/A</v>
      </c>
      <c r="O182" s="115" t="e">
        <f>VLOOKUP($A182,'S45'!$C:$BQ,29,0)</f>
        <v>#N/A</v>
      </c>
      <c r="P182" s="115" t="e">
        <f>VLOOKUP($A182,'S45'!$C:$BQ,30,0)</f>
        <v>#N/A</v>
      </c>
      <c r="Q182" s="115" t="e">
        <f>VLOOKUP($A182,'S45'!$C:$BQ,52,0)</f>
        <v>#N/A</v>
      </c>
      <c r="R182" s="115" t="e">
        <f>VLOOKUP($A182,'S45'!$C:$BQ,59,0)</f>
        <v>#N/A</v>
      </c>
      <c r="S182" s="115" t="e">
        <f>VLOOKUP($A182,'S45'!$C:$BQ,60,0)</f>
        <v>#N/A</v>
      </c>
      <c r="T182" s="107" t="e">
        <f>VLOOKUP($A182,'S46'!$C:$BQ,32,0)</f>
        <v>#N/A</v>
      </c>
      <c r="U182" s="107" t="e">
        <f>VLOOKUP($A182,'S46'!$C:$BQ,39,0)</f>
        <v>#N/A</v>
      </c>
      <c r="V182" s="107" t="e">
        <f>VLOOKUP($A182,'S46'!$C:$BQ,40,0)</f>
        <v>#N/A</v>
      </c>
      <c r="W182" s="107" t="e">
        <f>VLOOKUP($A182,'S46'!$C:$BQ,22,0)</f>
        <v>#N/A</v>
      </c>
      <c r="X182" s="115" t="e">
        <f>VLOOKUP($A182,'S46'!$C:$BQ,29,0)</f>
        <v>#N/A</v>
      </c>
      <c r="Y182" s="115" t="e">
        <f>VLOOKUP($A182,'S46'!$C:$BQ,30,0)</f>
        <v>#N/A</v>
      </c>
      <c r="Z182" s="115" t="e">
        <f>VLOOKUP($A182,'S46'!$C:$BQ,52,0)</f>
        <v>#N/A</v>
      </c>
      <c r="AA182" s="115" t="e">
        <f>VLOOKUP($A182,'S46'!$C:$BQ,59,0)</f>
        <v>#N/A</v>
      </c>
      <c r="AB182" s="115" t="e">
        <f>VLOOKUP($A182,'S46'!$C:$BQ,60,0)</f>
        <v>#N/A</v>
      </c>
      <c r="AC182" s="107" t="e">
        <f>VLOOKUP($A182,'S47'!$C:$BQ,32,0)</f>
        <v>#N/A</v>
      </c>
      <c r="AD182" s="107" t="e">
        <f>VLOOKUP($A182,'S47'!$C:$BQ,39,0)</f>
        <v>#N/A</v>
      </c>
      <c r="AE182" s="107" t="e">
        <f>VLOOKUP($A182,'S47'!$C:$BQ,40,0)</f>
        <v>#N/A</v>
      </c>
      <c r="AF182" s="107" t="e">
        <f>VLOOKUP($A182,'S47'!$C:$BQ,22,0)</f>
        <v>#N/A</v>
      </c>
      <c r="AG182" s="115" t="e">
        <f>VLOOKUP($A182,'S47'!$C:$BQ,29,0)</f>
        <v>#N/A</v>
      </c>
      <c r="AH182" s="115" t="e">
        <f>VLOOKUP($A182,'S47'!$C:$BQ,30,0)</f>
        <v>#N/A</v>
      </c>
      <c r="AI182" s="115" t="e">
        <f>VLOOKUP($A182,'S47'!$C:$BQ,52,0)</f>
        <v>#N/A</v>
      </c>
      <c r="AJ182" s="115" t="e">
        <f>VLOOKUP($A182,'S47'!$C:$BQ,59,0)</f>
        <v>#N/A</v>
      </c>
      <c r="AK182" s="115" t="e">
        <f>VLOOKUP($A182,'S47'!$C:$BQ,60,0)</f>
        <v>#N/A</v>
      </c>
      <c r="AL182" s="107" t="e">
        <f>VLOOKUP($A182,'S48'!$C:$BQ,32,0)</f>
        <v>#N/A</v>
      </c>
      <c r="AM182" s="107" t="e">
        <f>VLOOKUP($A182,'S48'!$C:$BQ,39,0)</f>
        <v>#N/A</v>
      </c>
      <c r="AN182" s="107" t="e">
        <f>VLOOKUP($A182,'S48'!$C:$BQ,40,0)</f>
        <v>#N/A</v>
      </c>
      <c r="AO182" s="107" t="e">
        <f>VLOOKUP($A182,'S48'!$C:$BQ,22,0)</f>
        <v>#N/A</v>
      </c>
      <c r="AP182" s="115" t="e">
        <f>VLOOKUP($A182,'S48'!$C:$BQ,29,0)</f>
        <v>#N/A</v>
      </c>
      <c r="AQ182" s="115" t="e">
        <f>VLOOKUP($A182,'S48'!$C:$BQ,30,0)</f>
        <v>#N/A</v>
      </c>
      <c r="AR182" s="115" t="e">
        <f>VLOOKUP($A182,'S48'!$C:$BQ,52,0)</f>
        <v>#N/A</v>
      </c>
      <c r="AS182" s="115" t="e">
        <f>VLOOKUP($A182,'S48'!$C:$BQ,59,0)</f>
        <v>#N/A</v>
      </c>
      <c r="AT182" s="115" t="e">
        <f>VLOOKUP($A182,'S48'!$C:$BQ,60,0)</f>
        <v>#N/A</v>
      </c>
      <c r="AU182" s="107" t="e">
        <f>VLOOKUP($A182,'S49'!$C:$BQ,32,0)</f>
        <v>#N/A</v>
      </c>
      <c r="AV182" s="107" t="e">
        <f>VLOOKUP($A182,'S49'!$C:$BQ,39,0)</f>
        <v>#N/A</v>
      </c>
      <c r="AW182" s="107" t="e">
        <f>VLOOKUP($A182,'S49'!$C:$BQ,40,0)</f>
        <v>#N/A</v>
      </c>
      <c r="AX182" s="107" t="e">
        <f>VLOOKUP($A182,'S49'!$C:$BQ,22,0)</f>
        <v>#N/A</v>
      </c>
      <c r="AY182" s="115" t="e">
        <f>VLOOKUP($A182,'S49'!$C:$BQ,29,0)</f>
        <v>#N/A</v>
      </c>
      <c r="AZ182" s="115" t="e">
        <f>VLOOKUP($A182,'S49'!$C:$BQ,30,0)</f>
        <v>#N/A</v>
      </c>
      <c r="BA182" s="115" t="e">
        <f>VLOOKUP($A182,'S49'!$C:$BQ,52,0)</f>
        <v>#N/A</v>
      </c>
      <c r="BB182" s="115" t="e">
        <f>VLOOKUP($A182,'S49'!$C:$BQ,59,0)</f>
        <v>#N/A</v>
      </c>
      <c r="BC182" s="115" t="e">
        <f>VLOOKUP($A182,'S49'!$C:$BQ,60,0)</f>
        <v>#N/A</v>
      </c>
      <c r="BD182" s="107" t="e">
        <f>VLOOKUP($A182,'S50'!$C:$BQ,32,0)</f>
        <v>#N/A</v>
      </c>
      <c r="BE182" s="107" t="e">
        <f>VLOOKUP($A182,'S50'!$C:$BQ,39,0)</f>
        <v>#N/A</v>
      </c>
      <c r="BF182" s="107" t="e">
        <f>VLOOKUP($A182,'S50'!$C:$BQ,40,0)</f>
        <v>#N/A</v>
      </c>
      <c r="BG182" s="107" t="e">
        <f>VLOOKUP($A182,'S50'!$C:$BQ,22,0)</f>
        <v>#N/A</v>
      </c>
      <c r="BH182" s="115" t="e">
        <f>VLOOKUP($A182,'S50'!$C:$BQ,29,0)</f>
        <v>#N/A</v>
      </c>
      <c r="BI182" s="115" t="e">
        <f>VLOOKUP($A182,'S50'!$C:$BQ,30,0)</f>
        <v>#N/A</v>
      </c>
      <c r="BJ182" s="115" t="e">
        <f>VLOOKUP($A182,'S50'!$C:$BQ,52,0)</f>
        <v>#N/A</v>
      </c>
      <c r="BK182" s="115" t="e">
        <f>VLOOKUP($A182,'S50'!$C:$BQ,59,0)</f>
        <v>#N/A</v>
      </c>
      <c r="BL182" s="115" t="e">
        <f>VLOOKUP($A182,'S50'!$C:$BQ,60,0)</f>
        <v>#N/A</v>
      </c>
    </row>
    <row r="183" spans="1:64" x14ac:dyDescent="0.2">
      <c r="A183" s="106" t="s">
        <v>251</v>
      </c>
      <c r="B183" s="107">
        <f>VLOOKUP($A183,'S0 remplacer avec S44'!$C:$BQ,32,0)</f>
        <v>181.9</v>
      </c>
      <c r="C183" s="107">
        <f>VLOOKUP($A183,'S0 remplacer avec S44'!$C:$BQ,39,0)</f>
        <v>66</v>
      </c>
      <c r="D183" s="107">
        <f>VLOOKUP($A183,'S0 remplacer avec S44'!$C:$BQ,40,0)</f>
        <v>115</v>
      </c>
      <c r="E183" s="107">
        <f>VLOOKUP($A183,'S0 remplacer avec S44'!$C:$BQ,22,0)</f>
        <v>1855.43102</v>
      </c>
      <c r="F183" s="115">
        <f>VLOOKUP($A183,'S0 remplacer avec S44'!$C:$BQ,29,0)</f>
        <v>394</v>
      </c>
      <c r="G183" s="115">
        <f>VLOOKUP($A183,'S0 remplacer avec S44'!$C:$BQ,30,0)</f>
        <v>843</v>
      </c>
      <c r="H183" s="115">
        <f>VLOOKUP($A183,'S0 remplacer avec S44'!$C:$BQ,52,0)</f>
        <v>206.6</v>
      </c>
      <c r="I183" s="115">
        <f>VLOOKUP($A183,'S0 remplacer avec S44'!$C:$BQ,59,0)</f>
        <v>0</v>
      </c>
      <c r="J183" s="115">
        <f>VLOOKUP($A183,'S0 remplacer avec S44'!$C:$BQ,60,0)</f>
        <v>0</v>
      </c>
      <c r="K183" s="107" t="e">
        <f>VLOOKUP($A183,'S45'!$C:$BQ,32,0)</f>
        <v>#N/A</v>
      </c>
      <c r="L183" s="107" t="e">
        <f>VLOOKUP($A183,'S45'!$C:$BQ,39,0)</f>
        <v>#N/A</v>
      </c>
      <c r="M183" s="107" t="e">
        <f>VLOOKUP($A183,'S45'!$C:$BQ,40,0)</f>
        <v>#N/A</v>
      </c>
      <c r="N183" s="107" t="e">
        <f>VLOOKUP($A183,'S45'!$C:$BQ,22,0)</f>
        <v>#N/A</v>
      </c>
      <c r="O183" s="115" t="e">
        <f>VLOOKUP($A183,'S45'!$C:$BQ,29,0)</f>
        <v>#N/A</v>
      </c>
      <c r="P183" s="115" t="e">
        <f>VLOOKUP($A183,'S45'!$C:$BQ,30,0)</f>
        <v>#N/A</v>
      </c>
      <c r="Q183" s="115" t="e">
        <f>VLOOKUP($A183,'S45'!$C:$BQ,52,0)</f>
        <v>#N/A</v>
      </c>
      <c r="R183" s="115" t="e">
        <f>VLOOKUP($A183,'S45'!$C:$BQ,59,0)</f>
        <v>#N/A</v>
      </c>
      <c r="S183" s="115" t="e">
        <f>VLOOKUP($A183,'S45'!$C:$BQ,60,0)</f>
        <v>#N/A</v>
      </c>
      <c r="T183" s="107" t="e">
        <f>VLOOKUP($A183,'S46'!$C:$BQ,32,0)</f>
        <v>#N/A</v>
      </c>
      <c r="U183" s="107" t="e">
        <f>VLOOKUP($A183,'S46'!$C:$BQ,39,0)</f>
        <v>#N/A</v>
      </c>
      <c r="V183" s="107" t="e">
        <f>VLOOKUP($A183,'S46'!$C:$BQ,40,0)</f>
        <v>#N/A</v>
      </c>
      <c r="W183" s="107" t="e">
        <f>VLOOKUP($A183,'S46'!$C:$BQ,22,0)</f>
        <v>#N/A</v>
      </c>
      <c r="X183" s="115" t="e">
        <f>VLOOKUP($A183,'S46'!$C:$BQ,29,0)</f>
        <v>#N/A</v>
      </c>
      <c r="Y183" s="115" t="e">
        <f>VLOOKUP($A183,'S46'!$C:$BQ,30,0)</f>
        <v>#N/A</v>
      </c>
      <c r="Z183" s="115" t="e">
        <f>VLOOKUP($A183,'S46'!$C:$BQ,52,0)</f>
        <v>#N/A</v>
      </c>
      <c r="AA183" s="115" t="e">
        <f>VLOOKUP($A183,'S46'!$C:$BQ,59,0)</f>
        <v>#N/A</v>
      </c>
      <c r="AB183" s="115" t="e">
        <f>VLOOKUP($A183,'S46'!$C:$BQ,60,0)</f>
        <v>#N/A</v>
      </c>
      <c r="AC183" s="107" t="e">
        <f>VLOOKUP($A183,'S47'!$C:$BQ,32,0)</f>
        <v>#N/A</v>
      </c>
      <c r="AD183" s="107" t="e">
        <f>VLOOKUP($A183,'S47'!$C:$BQ,39,0)</f>
        <v>#N/A</v>
      </c>
      <c r="AE183" s="107" t="e">
        <f>VLOOKUP($A183,'S47'!$C:$BQ,40,0)</f>
        <v>#N/A</v>
      </c>
      <c r="AF183" s="107" t="e">
        <f>VLOOKUP($A183,'S47'!$C:$BQ,22,0)</f>
        <v>#N/A</v>
      </c>
      <c r="AG183" s="115" t="e">
        <f>VLOOKUP($A183,'S47'!$C:$BQ,29,0)</f>
        <v>#N/A</v>
      </c>
      <c r="AH183" s="115" t="e">
        <f>VLOOKUP($A183,'S47'!$C:$BQ,30,0)</f>
        <v>#N/A</v>
      </c>
      <c r="AI183" s="115" t="e">
        <f>VLOOKUP($A183,'S47'!$C:$BQ,52,0)</f>
        <v>#N/A</v>
      </c>
      <c r="AJ183" s="115" t="e">
        <f>VLOOKUP($A183,'S47'!$C:$BQ,59,0)</f>
        <v>#N/A</v>
      </c>
      <c r="AK183" s="115" t="e">
        <f>VLOOKUP($A183,'S47'!$C:$BQ,60,0)</f>
        <v>#N/A</v>
      </c>
      <c r="AL183" s="107" t="e">
        <f>VLOOKUP($A183,'S48'!$C:$BQ,32,0)</f>
        <v>#N/A</v>
      </c>
      <c r="AM183" s="107" t="e">
        <f>VLOOKUP($A183,'S48'!$C:$BQ,39,0)</f>
        <v>#N/A</v>
      </c>
      <c r="AN183" s="107" t="e">
        <f>VLOOKUP($A183,'S48'!$C:$BQ,40,0)</f>
        <v>#N/A</v>
      </c>
      <c r="AO183" s="107" t="e">
        <f>VLOOKUP($A183,'S48'!$C:$BQ,22,0)</f>
        <v>#N/A</v>
      </c>
      <c r="AP183" s="115" t="e">
        <f>VLOOKUP($A183,'S48'!$C:$BQ,29,0)</f>
        <v>#N/A</v>
      </c>
      <c r="AQ183" s="115" t="e">
        <f>VLOOKUP($A183,'S48'!$C:$BQ,30,0)</f>
        <v>#N/A</v>
      </c>
      <c r="AR183" s="115" t="e">
        <f>VLOOKUP($A183,'S48'!$C:$BQ,52,0)</f>
        <v>#N/A</v>
      </c>
      <c r="AS183" s="115" t="e">
        <f>VLOOKUP($A183,'S48'!$C:$BQ,59,0)</f>
        <v>#N/A</v>
      </c>
      <c r="AT183" s="115" t="e">
        <f>VLOOKUP($A183,'S48'!$C:$BQ,60,0)</f>
        <v>#N/A</v>
      </c>
      <c r="AU183" s="107" t="e">
        <f>VLOOKUP($A183,'S49'!$C:$BQ,32,0)</f>
        <v>#N/A</v>
      </c>
      <c r="AV183" s="107" t="e">
        <f>VLOOKUP($A183,'S49'!$C:$BQ,39,0)</f>
        <v>#N/A</v>
      </c>
      <c r="AW183" s="107" t="e">
        <f>VLOOKUP($A183,'S49'!$C:$BQ,40,0)</f>
        <v>#N/A</v>
      </c>
      <c r="AX183" s="107" t="e">
        <f>VLOOKUP($A183,'S49'!$C:$BQ,22,0)</f>
        <v>#N/A</v>
      </c>
      <c r="AY183" s="115" t="e">
        <f>VLOOKUP($A183,'S49'!$C:$BQ,29,0)</f>
        <v>#N/A</v>
      </c>
      <c r="AZ183" s="115" t="e">
        <f>VLOOKUP($A183,'S49'!$C:$BQ,30,0)</f>
        <v>#N/A</v>
      </c>
      <c r="BA183" s="115" t="e">
        <f>VLOOKUP($A183,'S49'!$C:$BQ,52,0)</f>
        <v>#N/A</v>
      </c>
      <c r="BB183" s="115" t="e">
        <f>VLOOKUP($A183,'S49'!$C:$BQ,59,0)</f>
        <v>#N/A</v>
      </c>
      <c r="BC183" s="115" t="e">
        <f>VLOOKUP($A183,'S49'!$C:$BQ,60,0)</f>
        <v>#N/A</v>
      </c>
      <c r="BD183" s="107" t="e">
        <f>VLOOKUP($A183,'S50'!$C:$BQ,32,0)</f>
        <v>#N/A</v>
      </c>
      <c r="BE183" s="107" t="e">
        <f>VLOOKUP($A183,'S50'!$C:$BQ,39,0)</f>
        <v>#N/A</v>
      </c>
      <c r="BF183" s="107" t="e">
        <f>VLOOKUP($A183,'S50'!$C:$BQ,40,0)</f>
        <v>#N/A</v>
      </c>
      <c r="BG183" s="107" t="e">
        <f>VLOOKUP($A183,'S50'!$C:$BQ,22,0)</f>
        <v>#N/A</v>
      </c>
      <c r="BH183" s="115" t="e">
        <f>VLOOKUP($A183,'S50'!$C:$BQ,29,0)</f>
        <v>#N/A</v>
      </c>
      <c r="BI183" s="115" t="e">
        <f>VLOOKUP($A183,'S50'!$C:$BQ,30,0)</f>
        <v>#N/A</v>
      </c>
      <c r="BJ183" s="115" t="e">
        <f>VLOOKUP($A183,'S50'!$C:$BQ,52,0)</f>
        <v>#N/A</v>
      </c>
      <c r="BK183" s="115" t="e">
        <f>VLOOKUP($A183,'S50'!$C:$BQ,59,0)</f>
        <v>#N/A</v>
      </c>
      <c r="BL183" s="115" t="e">
        <f>VLOOKUP($A183,'S50'!$C:$BQ,60,0)</f>
        <v>#N/A</v>
      </c>
    </row>
    <row r="184" spans="1:64" x14ac:dyDescent="0.2">
      <c r="A184" s="106" t="s">
        <v>252</v>
      </c>
      <c r="B184" s="107">
        <f>VLOOKUP($A184,'S0 remplacer avec S44'!$C:$BQ,32,0)</f>
        <v>156.19999999999999</v>
      </c>
      <c r="C184" s="107">
        <f>VLOOKUP($A184,'S0 remplacer avec S44'!$C:$BQ,39,0)</f>
        <v>0</v>
      </c>
      <c r="D184" s="107">
        <f>VLOOKUP($A184,'S0 remplacer avec S44'!$C:$BQ,40,0)</f>
        <v>0</v>
      </c>
      <c r="E184" s="107">
        <f>VLOOKUP($A184,'S0 remplacer avec S44'!$C:$BQ,22,0)</f>
        <v>1223.796405</v>
      </c>
      <c r="F184" s="115">
        <f>VLOOKUP($A184,'S0 remplacer avec S44'!$C:$BQ,29,0)</f>
        <v>0</v>
      </c>
      <c r="G184" s="115">
        <f>VLOOKUP($A184,'S0 remplacer avec S44'!$C:$BQ,30,0)</f>
        <v>34</v>
      </c>
      <c r="H184" s="115">
        <f>VLOOKUP($A184,'S0 remplacer avec S44'!$C:$BQ,52,0)</f>
        <v>83</v>
      </c>
      <c r="I184" s="115">
        <f>VLOOKUP($A184,'S0 remplacer avec S44'!$C:$BQ,59,0)</f>
        <v>0</v>
      </c>
      <c r="J184" s="115">
        <f>VLOOKUP($A184,'S0 remplacer avec S44'!$C:$BQ,60,0)</f>
        <v>0</v>
      </c>
      <c r="K184" s="107" t="e">
        <f>VLOOKUP($A184,'S45'!$C:$BQ,32,0)</f>
        <v>#N/A</v>
      </c>
      <c r="L184" s="107" t="e">
        <f>VLOOKUP($A184,'S45'!$C:$BQ,39,0)</f>
        <v>#N/A</v>
      </c>
      <c r="M184" s="107" t="e">
        <f>VLOOKUP($A184,'S45'!$C:$BQ,40,0)</f>
        <v>#N/A</v>
      </c>
      <c r="N184" s="107" t="e">
        <f>VLOOKUP($A184,'S45'!$C:$BQ,22,0)</f>
        <v>#N/A</v>
      </c>
      <c r="O184" s="115" t="e">
        <f>VLOOKUP($A184,'S45'!$C:$BQ,29,0)</f>
        <v>#N/A</v>
      </c>
      <c r="P184" s="115" t="e">
        <f>VLOOKUP($A184,'S45'!$C:$BQ,30,0)</f>
        <v>#N/A</v>
      </c>
      <c r="Q184" s="115" t="e">
        <f>VLOOKUP($A184,'S45'!$C:$BQ,52,0)</f>
        <v>#N/A</v>
      </c>
      <c r="R184" s="115" t="e">
        <f>VLOOKUP($A184,'S45'!$C:$BQ,59,0)</f>
        <v>#N/A</v>
      </c>
      <c r="S184" s="115" t="e">
        <f>VLOOKUP($A184,'S45'!$C:$BQ,60,0)</f>
        <v>#N/A</v>
      </c>
      <c r="T184" s="107" t="e">
        <f>VLOOKUP($A184,'S46'!$C:$BQ,32,0)</f>
        <v>#N/A</v>
      </c>
      <c r="U184" s="107" t="e">
        <f>VLOOKUP($A184,'S46'!$C:$BQ,39,0)</f>
        <v>#N/A</v>
      </c>
      <c r="V184" s="107" t="e">
        <f>VLOOKUP($A184,'S46'!$C:$BQ,40,0)</f>
        <v>#N/A</v>
      </c>
      <c r="W184" s="107" t="e">
        <f>VLOOKUP($A184,'S46'!$C:$BQ,22,0)</f>
        <v>#N/A</v>
      </c>
      <c r="X184" s="115" t="e">
        <f>VLOOKUP($A184,'S46'!$C:$BQ,29,0)</f>
        <v>#N/A</v>
      </c>
      <c r="Y184" s="115" t="e">
        <f>VLOOKUP($A184,'S46'!$C:$BQ,30,0)</f>
        <v>#N/A</v>
      </c>
      <c r="Z184" s="115" t="e">
        <f>VLOOKUP($A184,'S46'!$C:$BQ,52,0)</f>
        <v>#N/A</v>
      </c>
      <c r="AA184" s="115" t="e">
        <f>VLOOKUP($A184,'S46'!$C:$BQ,59,0)</f>
        <v>#N/A</v>
      </c>
      <c r="AB184" s="115" t="e">
        <f>VLOOKUP($A184,'S46'!$C:$BQ,60,0)</f>
        <v>#N/A</v>
      </c>
      <c r="AC184" s="107" t="e">
        <f>VLOOKUP($A184,'S47'!$C:$BQ,32,0)</f>
        <v>#N/A</v>
      </c>
      <c r="AD184" s="107" t="e">
        <f>VLOOKUP($A184,'S47'!$C:$BQ,39,0)</f>
        <v>#N/A</v>
      </c>
      <c r="AE184" s="107" t="e">
        <f>VLOOKUP($A184,'S47'!$C:$BQ,40,0)</f>
        <v>#N/A</v>
      </c>
      <c r="AF184" s="107" t="e">
        <f>VLOOKUP($A184,'S47'!$C:$BQ,22,0)</f>
        <v>#N/A</v>
      </c>
      <c r="AG184" s="115" t="e">
        <f>VLOOKUP($A184,'S47'!$C:$BQ,29,0)</f>
        <v>#N/A</v>
      </c>
      <c r="AH184" s="115" t="e">
        <f>VLOOKUP($A184,'S47'!$C:$BQ,30,0)</f>
        <v>#N/A</v>
      </c>
      <c r="AI184" s="115" t="e">
        <f>VLOOKUP($A184,'S47'!$C:$BQ,52,0)</f>
        <v>#N/A</v>
      </c>
      <c r="AJ184" s="115" t="e">
        <f>VLOOKUP($A184,'S47'!$C:$BQ,59,0)</f>
        <v>#N/A</v>
      </c>
      <c r="AK184" s="115" t="e">
        <f>VLOOKUP($A184,'S47'!$C:$BQ,60,0)</f>
        <v>#N/A</v>
      </c>
      <c r="AL184" s="107" t="e">
        <f>VLOOKUP($A184,'S48'!$C:$BQ,32,0)</f>
        <v>#N/A</v>
      </c>
      <c r="AM184" s="107" t="e">
        <f>VLOOKUP($A184,'S48'!$C:$BQ,39,0)</f>
        <v>#N/A</v>
      </c>
      <c r="AN184" s="107" t="e">
        <f>VLOOKUP($A184,'S48'!$C:$BQ,40,0)</f>
        <v>#N/A</v>
      </c>
      <c r="AO184" s="107" t="e">
        <f>VLOOKUP($A184,'S48'!$C:$BQ,22,0)</f>
        <v>#N/A</v>
      </c>
      <c r="AP184" s="115" t="e">
        <f>VLOOKUP($A184,'S48'!$C:$BQ,29,0)</f>
        <v>#N/A</v>
      </c>
      <c r="AQ184" s="115" t="e">
        <f>VLOOKUP($A184,'S48'!$C:$BQ,30,0)</f>
        <v>#N/A</v>
      </c>
      <c r="AR184" s="115" t="e">
        <f>VLOOKUP($A184,'S48'!$C:$BQ,52,0)</f>
        <v>#N/A</v>
      </c>
      <c r="AS184" s="115" t="e">
        <f>VLOOKUP($A184,'S48'!$C:$BQ,59,0)</f>
        <v>#N/A</v>
      </c>
      <c r="AT184" s="115" t="e">
        <f>VLOOKUP($A184,'S48'!$C:$BQ,60,0)</f>
        <v>#N/A</v>
      </c>
      <c r="AU184" s="107" t="e">
        <f>VLOOKUP($A184,'S49'!$C:$BQ,32,0)</f>
        <v>#N/A</v>
      </c>
      <c r="AV184" s="107" t="e">
        <f>VLOOKUP($A184,'S49'!$C:$BQ,39,0)</f>
        <v>#N/A</v>
      </c>
      <c r="AW184" s="107" t="e">
        <f>VLOOKUP($A184,'S49'!$C:$BQ,40,0)</f>
        <v>#N/A</v>
      </c>
      <c r="AX184" s="107" t="e">
        <f>VLOOKUP($A184,'S49'!$C:$BQ,22,0)</f>
        <v>#N/A</v>
      </c>
      <c r="AY184" s="115" t="e">
        <f>VLOOKUP($A184,'S49'!$C:$BQ,29,0)</f>
        <v>#N/A</v>
      </c>
      <c r="AZ184" s="115" t="e">
        <f>VLOOKUP($A184,'S49'!$C:$BQ,30,0)</f>
        <v>#N/A</v>
      </c>
      <c r="BA184" s="115" t="e">
        <f>VLOOKUP($A184,'S49'!$C:$BQ,52,0)</f>
        <v>#N/A</v>
      </c>
      <c r="BB184" s="115" t="e">
        <f>VLOOKUP($A184,'S49'!$C:$BQ,59,0)</f>
        <v>#N/A</v>
      </c>
      <c r="BC184" s="115" t="e">
        <f>VLOOKUP($A184,'S49'!$C:$BQ,60,0)</f>
        <v>#N/A</v>
      </c>
      <c r="BD184" s="107" t="e">
        <f>VLOOKUP($A184,'S50'!$C:$BQ,32,0)</f>
        <v>#N/A</v>
      </c>
      <c r="BE184" s="107" t="e">
        <f>VLOOKUP($A184,'S50'!$C:$BQ,39,0)</f>
        <v>#N/A</v>
      </c>
      <c r="BF184" s="107" t="e">
        <f>VLOOKUP($A184,'S50'!$C:$BQ,40,0)</f>
        <v>#N/A</v>
      </c>
      <c r="BG184" s="107" t="e">
        <f>VLOOKUP($A184,'S50'!$C:$BQ,22,0)</f>
        <v>#N/A</v>
      </c>
      <c r="BH184" s="115" t="e">
        <f>VLOOKUP($A184,'S50'!$C:$BQ,29,0)</f>
        <v>#N/A</v>
      </c>
      <c r="BI184" s="115" t="e">
        <f>VLOOKUP($A184,'S50'!$C:$BQ,30,0)</f>
        <v>#N/A</v>
      </c>
      <c r="BJ184" s="115" t="e">
        <f>VLOOKUP($A184,'S50'!$C:$BQ,52,0)</f>
        <v>#N/A</v>
      </c>
      <c r="BK184" s="115" t="e">
        <f>VLOOKUP($A184,'S50'!$C:$BQ,59,0)</f>
        <v>#N/A</v>
      </c>
      <c r="BL184" s="115" t="e">
        <f>VLOOKUP($A184,'S50'!$C:$BQ,60,0)</f>
        <v>#N/A</v>
      </c>
    </row>
    <row r="185" spans="1:64" x14ac:dyDescent="0.2">
      <c r="A185" s="106" t="s">
        <v>253</v>
      </c>
      <c r="B185" s="107">
        <f>VLOOKUP($A185,'S0 remplacer avec S44'!$C:$BQ,32,0)</f>
        <v>157.19999999999999</v>
      </c>
      <c r="C185" s="107">
        <f>VLOOKUP($A185,'S0 remplacer avec S44'!$C:$BQ,39,0)</f>
        <v>33</v>
      </c>
      <c r="D185" s="107">
        <f>VLOOKUP($A185,'S0 remplacer avec S44'!$C:$BQ,40,0)</f>
        <v>71</v>
      </c>
      <c r="E185" s="107">
        <f>VLOOKUP($A185,'S0 remplacer avec S44'!$C:$BQ,22,0)</f>
        <v>1814.5659450000001</v>
      </c>
      <c r="F185" s="115">
        <f>VLOOKUP($A185,'S0 remplacer avec S44'!$C:$BQ,29,0)</f>
        <v>0</v>
      </c>
      <c r="G185" s="115">
        <f>VLOOKUP($A185,'S0 remplacer avec S44'!$C:$BQ,30,0)</f>
        <v>257</v>
      </c>
      <c r="H185" s="115">
        <f>VLOOKUP($A185,'S0 remplacer avec S44'!$C:$BQ,52,0)</f>
        <v>90</v>
      </c>
      <c r="I185" s="115">
        <f>VLOOKUP($A185,'S0 remplacer avec S44'!$C:$BQ,59,0)</f>
        <v>7</v>
      </c>
      <c r="J185" s="115">
        <f>VLOOKUP($A185,'S0 remplacer avec S44'!$C:$BQ,60,0)</f>
        <v>26</v>
      </c>
      <c r="K185" s="107" t="e">
        <f>VLOOKUP($A185,'S45'!$C:$BQ,32,0)</f>
        <v>#N/A</v>
      </c>
      <c r="L185" s="107" t="e">
        <f>VLOOKUP($A185,'S45'!$C:$BQ,39,0)</f>
        <v>#N/A</v>
      </c>
      <c r="M185" s="107" t="e">
        <f>VLOOKUP($A185,'S45'!$C:$BQ,40,0)</f>
        <v>#N/A</v>
      </c>
      <c r="N185" s="107" t="e">
        <f>VLOOKUP($A185,'S45'!$C:$BQ,22,0)</f>
        <v>#N/A</v>
      </c>
      <c r="O185" s="115" t="e">
        <f>VLOOKUP($A185,'S45'!$C:$BQ,29,0)</f>
        <v>#N/A</v>
      </c>
      <c r="P185" s="115" t="e">
        <f>VLOOKUP($A185,'S45'!$C:$BQ,30,0)</f>
        <v>#N/A</v>
      </c>
      <c r="Q185" s="115" t="e">
        <f>VLOOKUP($A185,'S45'!$C:$BQ,52,0)</f>
        <v>#N/A</v>
      </c>
      <c r="R185" s="115" t="e">
        <f>VLOOKUP($A185,'S45'!$C:$BQ,59,0)</f>
        <v>#N/A</v>
      </c>
      <c r="S185" s="115" t="e">
        <f>VLOOKUP($A185,'S45'!$C:$BQ,60,0)</f>
        <v>#N/A</v>
      </c>
      <c r="T185" s="107" t="e">
        <f>VLOOKUP($A185,'S46'!$C:$BQ,32,0)</f>
        <v>#N/A</v>
      </c>
      <c r="U185" s="107" t="e">
        <f>VLOOKUP($A185,'S46'!$C:$BQ,39,0)</f>
        <v>#N/A</v>
      </c>
      <c r="V185" s="107" t="e">
        <f>VLOOKUP($A185,'S46'!$C:$BQ,40,0)</f>
        <v>#N/A</v>
      </c>
      <c r="W185" s="107" t="e">
        <f>VLOOKUP($A185,'S46'!$C:$BQ,22,0)</f>
        <v>#N/A</v>
      </c>
      <c r="X185" s="115" t="e">
        <f>VLOOKUP($A185,'S46'!$C:$BQ,29,0)</f>
        <v>#N/A</v>
      </c>
      <c r="Y185" s="115" t="e">
        <f>VLOOKUP($A185,'S46'!$C:$BQ,30,0)</f>
        <v>#N/A</v>
      </c>
      <c r="Z185" s="115" t="e">
        <f>VLOOKUP($A185,'S46'!$C:$BQ,52,0)</f>
        <v>#N/A</v>
      </c>
      <c r="AA185" s="115" t="e">
        <f>VLOOKUP($A185,'S46'!$C:$BQ,59,0)</f>
        <v>#N/A</v>
      </c>
      <c r="AB185" s="115" t="e">
        <f>VLOOKUP($A185,'S46'!$C:$BQ,60,0)</f>
        <v>#N/A</v>
      </c>
      <c r="AC185" s="107" t="e">
        <f>VLOOKUP($A185,'S47'!$C:$BQ,32,0)</f>
        <v>#N/A</v>
      </c>
      <c r="AD185" s="107" t="e">
        <f>VLOOKUP($A185,'S47'!$C:$BQ,39,0)</f>
        <v>#N/A</v>
      </c>
      <c r="AE185" s="107" t="e">
        <f>VLOOKUP($A185,'S47'!$C:$BQ,40,0)</f>
        <v>#N/A</v>
      </c>
      <c r="AF185" s="107" t="e">
        <f>VLOOKUP($A185,'S47'!$C:$BQ,22,0)</f>
        <v>#N/A</v>
      </c>
      <c r="AG185" s="115" t="e">
        <f>VLOOKUP($A185,'S47'!$C:$BQ,29,0)</f>
        <v>#N/A</v>
      </c>
      <c r="AH185" s="115" t="e">
        <f>VLOOKUP($A185,'S47'!$C:$BQ,30,0)</f>
        <v>#N/A</v>
      </c>
      <c r="AI185" s="115" t="e">
        <f>VLOOKUP($A185,'S47'!$C:$BQ,52,0)</f>
        <v>#N/A</v>
      </c>
      <c r="AJ185" s="115" t="e">
        <f>VLOOKUP($A185,'S47'!$C:$BQ,59,0)</f>
        <v>#N/A</v>
      </c>
      <c r="AK185" s="115" t="e">
        <f>VLOOKUP($A185,'S47'!$C:$BQ,60,0)</f>
        <v>#N/A</v>
      </c>
      <c r="AL185" s="107" t="e">
        <f>VLOOKUP($A185,'S48'!$C:$BQ,32,0)</f>
        <v>#N/A</v>
      </c>
      <c r="AM185" s="107" t="e">
        <f>VLOOKUP($A185,'S48'!$C:$BQ,39,0)</f>
        <v>#N/A</v>
      </c>
      <c r="AN185" s="107" t="e">
        <f>VLOOKUP($A185,'S48'!$C:$BQ,40,0)</f>
        <v>#N/A</v>
      </c>
      <c r="AO185" s="107" t="e">
        <f>VLOOKUP($A185,'S48'!$C:$BQ,22,0)</f>
        <v>#N/A</v>
      </c>
      <c r="AP185" s="115" t="e">
        <f>VLOOKUP($A185,'S48'!$C:$BQ,29,0)</f>
        <v>#N/A</v>
      </c>
      <c r="AQ185" s="115" t="e">
        <f>VLOOKUP($A185,'S48'!$C:$BQ,30,0)</f>
        <v>#N/A</v>
      </c>
      <c r="AR185" s="115" t="e">
        <f>VLOOKUP($A185,'S48'!$C:$BQ,52,0)</f>
        <v>#N/A</v>
      </c>
      <c r="AS185" s="115" t="e">
        <f>VLOOKUP($A185,'S48'!$C:$BQ,59,0)</f>
        <v>#N/A</v>
      </c>
      <c r="AT185" s="115" t="e">
        <f>VLOOKUP($A185,'S48'!$C:$BQ,60,0)</f>
        <v>#N/A</v>
      </c>
      <c r="AU185" s="107" t="e">
        <f>VLOOKUP($A185,'S49'!$C:$BQ,32,0)</f>
        <v>#N/A</v>
      </c>
      <c r="AV185" s="107" t="e">
        <f>VLOOKUP($A185,'S49'!$C:$BQ,39,0)</f>
        <v>#N/A</v>
      </c>
      <c r="AW185" s="107" t="e">
        <f>VLOOKUP($A185,'S49'!$C:$BQ,40,0)</f>
        <v>#N/A</v>
      </c>
      <c r="AX185" s="107" t="e">
        <f>VLOOKUP($A185,'S49'!$C:$BQ,22,0)</f>
        <v>#N/A</v>
      </c>
      <c r="AY185" s="115" t="e">
        <f>VLOOKUP($A185,'S49'!$C:$BQ,29,0)</f>
        <v>#N/A</v>
      </c>
      <c r="AZ185" s="115" t="e">
        <f>VLOOKUP($A185,'S49'!$C:$BQ,30,0)</f>
        <v>#N/A</v>
      </c>
      <c r="BA185" s="115" t="e">
        <f>VLOOKUP($A185,'S49'!$C:$BQ,52,0)</f>
        <v>#N/A</v>
      </c>
      <c r="BB185" s="115" t="e">
        <f>VLOOKUP($A185,'S49'!$C:$BQ,59,0)</f>
        <v>#N/A</v>
      </c>
      <c r="BC185" s="115" t="e">
        <f>VLOOKUP($A185,'S49'!$C:$BQ,60,0)</f>
        <v>#N/A</v>
      </c>
      <c r="BD185" s="107" t="e">
        <f>VLOOKUP($A185,'S50'!$C:$BQ,32,0)</f>
        <v>#N/A</v>
      </c>
      <c r="BE185" s="107" t="e">
        <f>VLOOKUP($A185,'S50'!$C:$BQ,39,0)</f>
        <v>#N/A</v>
      </c>
      <c r="BF185" s="107" t="e">
        <f>VLOOKUP($A185,'S50'!$C:$BQ,40,0)</f>
        <v>#N/A</v>
      </c>
      <c r="BG185" s="107" t="e">
        <f>VLOOKUP($A185,'S50'!$C:$BQ,22,0)</f>
        <v>#N/A</v>
      </c>
      <c r="BH185" s="115" t="e">
        <f>VLOOKUP($A185,'S50'!$C:$BQ,29,0)</f>
        <v>#N/A</v>
      </c>
      <c r="BI185" s="115" t="e">
        <f>VLOOKUP($A185,'S50'!$C:$BQ,30,0)</f>
        <v>#N/A</v>
      </c>
      <c r="BJ185" s="115" t="e">
        <f>VLOOKUP($A185,'S50'!$C:$BQ,52,0)</f>
        <v>#N/A</v>
      </c>
      <c r="BK185" s="115" t="e">
        <f>VLOOKUP($A185,'S50'!$C:$BQ,59,0)</f>
        <v>#N/A</v>
      </c>
      <c r="BL185" s="115" t="e">
        <f>VLOOKUP($A185,'S50'!$C:$BQ,60,0)</f>
        <v>#N/A</v>
      </c>
    </row>
    <row r="186" spans="1:64" x14ac:dyDescent="0.2">
      <c r="A186" s="106" t="s">
        <v>254</v>
      </c>
      <c r="B186" s="107">
        <f>VLOOKUP($A186,'S0 remplacer avec S44'!$C:$BQ,32,0)</f>
        <v>156.85</v>
      </c>
      <c r="C186" s="107">
        <f>VLOOKUP($A186,'S0 remplacer avec S44'!$C:$BQ,39,0)</f>
        <v>14</v>
      </c>
      <c r="D186" s="107">
        <f>VLOOKUP($A186,'S0 remplacer avec S44'!$C:$BQ,40,0)</f>
        <v>48</v>
      </c>
      <c r="E186" s="107">
        <f>VLOOKUP($A186,'S0 remplacer avec S44'!$C:$BQ,22,0)</f>
        <v>1568.5617500000001</v>
      </c>
      <c r="F186" s="115">
        <f>VLOOKUP($A186,'S0 remplacer avec S44'!$C:$BQ,29,0)</f>
        <v>0</v>
      </c>
      <c r="G186" s="115">
        <f>VLOOKUP($A186,'S0 remplacer avec S44'!$C:$BQ,30,0)</f>
        <v>287</v>
      </c>
      <c r="H186" s="115">
        <f>VLOOKUP($A186,'S0 remplacer avec S44'!$C:$BQ,52,0)</f>
        <v>90.4</v>
      </c>
      <c r="I186" s="115">
        <f>VLOOKUP($A186,'S0 remplacer avec S44'!$C:$BQ,59,0)</f>
        <v>0</v>
      </c>
      <c r="J186" s="115">
        <f>VLOOKUP($A186,'S0 remplacer avec S44'!$C:$BQ,60,0)</f>
        <v>14</v>
      </c>
      <c r="K186" s="107" t="e">
        <f>VLOOKUP($A186,'S45'!$C:$BQ,32,0)</f>
        <v>#N/A</v>
      </c>
      <c r="L186" s="107" t="e">
        <f>VLOOKUP($A186,'S45'!$C:$BQ,39,0)</f>
        <v>#N/A</v>
      </c>
      <c r="M186" s="107" t="e">
        <f>VLOOKUP($A186,'S45'!$C:$BQ,40,0)</f>
        <v>#N/A</v>
      </c>
      <c r="N186" s="107" t="e">
        <f>VLOOKUP($A186,'S45'!$C:$BQ,22,0)</f>
        <v>#N/A</v>
      </c>
      <c r="O186" s="115" t="e">
        <f>VLOOKUP($A186,'S45'!$C:$BQ,29,0)</f>
        <v>#N/A</v>
      </c>
      <c r="P186" s="115" t="e">
        <f>VLOOKUP($A186,'S45'!$C:$BQ,30,0)</f>
        <v>#N/A</v>
      </c>
      <c r="Q186" s="115" t="e">
        <f>VLOOKUP($A186,'S45'!$C:$BQ,52,0)</f>
        <v>#N/A</v>
      </c>
      <c r="R186" s="115" t="e">
        <f>VLOOKUP($A186,'S45'!$C:$BQ,59,0)</f>
        <v>#N/A</v>
      </c>
      <c r="S186" s="115" t="e">
        <f>VLOOKUP($A186,'S45'!$C:$BQ,60,0)</f>
        <v>#N/A</v>
      </c>
      <c r="T186" s="107" t="e">
        <f>VLOOKUP($A186,'S46'!$C:$BQ,32,0)</f>
        <v>#N/A</v>
      </c>
      <c r="U186" s="107" t="e">
        <f>VLOOKUP($A186,'S46'!$C:$BQ,39,0)</f>
        <v>#N/A</v>
      </c>
      <c r="V186" s="107" t="e">
        <f>VLOOKUP($A186,'S46'!$C:$BQ,40,0)</f>
        <v>#N/A</v>
      </c>
      <c r="W186" s="107" t="e">
        <f>VLOOKUP($A186,'S46'!$C:$BQ,22,0)</f>
        <v>#N/A</v>
      </c>
      <c r="X186" s="115" t="e">
        <f>VLOOKUP($A186,'S46'!$C:$BQ,29,0)</f>
        <v>#N/A</v>
      </c>
      <c r="Y186" s="115" t="e">
        <f>VLOOKUP($A186,'S46'!$C:$BQ,30,0)</f>
        <v>#N/A</v>
      </c>
      <c r="Z186" s="115" t="e">
        <f>VLOOKUP($A186,'S46'!$C:$BQ,52,0)</f>
        <v>#N/A</v>
      </c>
      <c r="AA186" s="115" t="e">
        <f>VLOOKUP($A186,'S46'!$C:$BQ,59,0)</f>
        <v>#N/A</v>
      </c>
      <c r="AB186" s="115" t="e">
        <f>VLOOKUP($A186,'S46'!$C:$BQ,60,0)</f>
        <v>#N/A</v>
      </c>
      <c r="AC186" s="107" t="e">
        <f>VLOOKUP($A186,'S47'!$C:$BQ,32,0)</f>
        <v>#N/A</v>
      </c>
      <c r="AD186" s="107" t="e">
        <f>VLOOKUP($A186,'S47'!$C:$BQ,39,0)</f>
        <v>#N/A</v>
      </c>
      <c r="AE186" s="107" t="e">
        <f>VLOOKUP($A186,'S47'!$C:$BQ,40,0)</f>
        <v>#N/A</v>
      </c>
      <c r="AF186" s="107" t="e">
        <f>VLOOKUP($A186,'S47'!$C:$BQ,22,0)</f>
        <v>#N/A</v>
      </c>
      <c r="AG186" s="115" t="e">
        <f>VLOOKUP($A186,'S47'!$C:$BQ,29,0)</f>
        <v>#N/A</v>
      </c>
      <c r="AH186" s="115" t="e">
        <f>VLOOKUP($A186,'S47'!$C:$BQ,30,0)</f>
        <v>#N/A</v>
      </c>
      <c r="AI186" s="115" t="e">
        <f>VLOOKUP($A186,'S47'!$C:$BQ,52,0)</f>
        <v>#N/A</v>
      </c>
      <c r="AJ186" s="115" t="e">
        <f>VLOOKUP($A186,'S47'!$C:$BQ,59,0)</f>
        <v>#N/A</v>
      </c>
      <c r="AK186" s="115" t="e">
        <f>VLOOKUP($A186,'S47'!$C:$BQ,60,0)</f>
        <v>#N/A</v>
      </c>
      <c r="AL186" s="107" t="e">
        <f>VLOOKUP($A186,'S48'!$C:$BQ,32,0)</f>
        <v>#N/A</v>
      </c>
      <c r="AM186" s="107" t="e">
        <f>VLOOKUP($A186,'S48'!$C:$BQ,39,0)</f>
        <v>#N/A</v>
      </c>
      <c r="AN186" s="107" t="e">
        <f>VLOOKUP($A186,'S48'!$C:$BQ,40,0)</f>
        <v>#N/A</v>
      </c>
      <c r="AO186" s="107" t="e">
        <f>VLOOKUP($A186,'S48'!$C:$BQ,22,0)</f>
        <v>#N/A</v>
      </c>
      <c r="AP186" s="115" t="e">
        <f>VLOOKUP($A186,'S48'!$C:$BQ,29,0)</f>
        <v>#N/A</v>
      </c>
      <c r="AQ186" s="115" t="e">
        <f>VLOOKUP($A186,'S48'!$C:$BQ,30,0)</f>
        <v>#N/A</v>
      </c>
      <c r="AR186" s="115" t="e">
        <f>VLOOKUP($A186,'S48'!$C:$BQ,52,0)</f>
        <v>#N/A</v>
      </c>
      <c r="AS186" s="115" t="e">
        <f>VLOOKUP($A186,'S48'!$C:$BQ,59,0)</f>
        <v>#N/A</v>
      </c>
      <c r="AT186" s="115" t="e">
        <f>VLOOKUP($A186,'S48'!$C:$BQ,60,0)</f>
        <v>#N/A</v>
      </c>
      <c r="AU186" s="107" t="e">
        <f>VLOOKUP($A186,'S49'!$C:$BQ,32,0)</f>
        <v>#N/A</v>
      </c>
      <c r="AV186" s="107" t="e">
        <f>VLOOKUP($A186,'S49'!$C:$BQ,39,0)</f>
        <v>#N/A</v>
      </c>
      <c r="AW186" s="107" t="e">
        <f>VLOOKUP($A186,'S49'!$C:$BQ,40,0)</f>
        <v>#N/A</v>
      </c>
      <c r="AX186" s="107" t="e">
        <f>VLOOKUP($A186,'S49'!$C:$BQ,22,0)</f>
        <v>#N/A</v>
      </c>
      <c r="AY186" s="115" t="e">
        <f>VLOOKUP($A186,'S49'!$C:$BQ,29,0)</f>
        <v>#N/A</v>
      </c>
      <c r="AZ186" s="115" t="e">
        <f>VLOOKUP($A186,'S49'!$C:$BQ,30,0)</f>
        <v>#N/A</v>
      </c>
      <c r="BA186" s="115" t="e">
        <f>VLOOKUP($A186,'S49'!$C:$BQ,52,0)</f>
        <v>#N/A</v>
      </c>
      <c r="BB186" s="115" t="e">
        <f>VLOOKUP($A186,'S49'!$C:$BQ,59,0)</f>
        <v>#N/A</v>
      </c>
      <c r="BC186" s="115" t="e">
        <f>VLOOKUP($A186,'S49'!$C:$BQ,60,0)</f>
        <v>#N/A</v>
      </c>
      <c r="BD186" s="107" t="e">
        <f>VLOOKUP($A186,'S50'!$C:$BQ,32,0)</f>
        <v>#N/A</v>
      </c>
      <c r="BE186" s="107" t="e">
        <f>VLOOKUP($A186,'S50'!$C:$BQ,39,0)</f>
        <v>#N/A</v>
      </c>
      <c r="BF186" s="107" t="e">
        <f>VLOOKUP($A186,'S50'!$C:$BQ,40,0)</f>
        <v>#N/A</v>
      </c>
      <c r="BG186" s="107" t="e">
        <f>VLOOKUP($A186,'S50'!$C:$BQ,22,0)</f>
        <v>#N/A</v>
      </c>
      <c r="BH186" s="115" t="e">
        <f>VLOOKUP($A186,'S50'!$C:$BQ,29,0)</f>
        <v>#N/A</v>
      </c>
      <c r="BI186" s="115" t="e">
        <f>VLOOKUP($A186,'S50'!$C:$BQ,30,0)</f>
        <v>#N/A</v>
      </c>
      <c r="BJ186" s="115" t="e">
        <f>VLOOKUP($A186,'S50'!$C:$BQ,52,0)</f>
        <v>#N/A</v>
      </c>
      <c r="BK186" s="115" t="e">
        <f>VLOOKUP($A186,'S50'!$C:$BQ,59,0)</f>
        <v>#N/A</v>
      </c>
      <c r="BL186" s="115" t="e">
        <f>VLOOKUP($A186,'S50'!$C:$BQ,60,0)</f>
        <v>#N/A</v>
      </c>
    </row>
    <row r="187" spans="1:64" x14ac:dyDescent="0.2">
      <c r="A187" s="106" t="s">
        <v>255</v>
      </c>
      <c r="B187" s="107">
        <f>VLOOKUP($A187,'S0 remplacer avec S44'!$C:$BQ,32,0)</f>
        <v>197.8</v>
      </c>
      <c r="C187" s="107">
        <f>VLOOKUP($A187,'S0 remplacer avec S44'!$C:$BQ,39,0)</f>
        <v>0</v>
      </c>
      <c r="D187" s="107">
        <f>VLOOKUP($A187,'S0 remplacer avec S44'!$C:$BQ,40,0)</f>
        <v>0</v>
      </c>
      <c r="E187" s="107">
        <f>VLOOKUP($A187,'S0 remplacer avec S44'!$C:$BQ,22,0)</f>
        <v>2033.4898499999999</v>
      </c>
      <c r="F187" s="115">
        <f>VLOOKUP($A187,'S0 remplacer avec S44'!$C:$BQ,29,0)</f>
        <v>0</v>
      </c>
      <c r="G187" s="115">
        <f>VLOOKUP($A187,'S0 remplacer avec S44'!$C:$BQ,30,0)</f>
        <v>0</v>
      </c>
      <c r="H187" s="115">
        <f>VLOOKUP($A187,'S0 remplacer avec S44'!$C:$BQ,52,0)</f>
        <v>136.19999999999999</v>
      </c>
      <c r="I187" s="115">
        <f>VLOOKUP($A187,'S0 remplacer avec S44'!$C:$BQ,59,0)</f>
        <v>0</v>
      </c>
      <c r="J187" s="115">
        <f>VLOOKUP($A187,'S0 remplacer avec S44'!$C:$BQ,60,0)</f>
        <v>0</v>
      </c>
      <c r="K187" s="107" t="e">
        <f>VLOOKUP($A187,'S45'!$C:$BQ,32,0)</f>
        <v>#N/A</v>
      </c>
      <c r="L187" s="107" t="e">
        <f>VLOOKUP($A187,'S45'!$C:$BQ,39,0)</f>
        <v>#N/A</v>
      </c>
      <c r="M187" s="107" t="e">
        <f>VLOOKUP($A187,'S45'!$C:$BQ,40,0)</f>
        <v>#N/A</v>
      </c>
      <c r="N187" s="107" t="e">
        <f>VLOOKUP($A187,'S45'!$C:$BQ,22,0)</f>
        <v>#N/A</v>
      </c>
      <c r="O187" s="115" t="e">
        <f>VLOOKUP($A187,'S45'!$C:$BQ,29,0)</f>
        <v>#N/A</v>
      </c>
      <c r="P187" s="115" t="e">
        <f>VLOOKUP($A187,'S45'!$C:$BQ,30,0)</f>
        <v>#N/A</v>
      </c>
      <c r="Q187" s="115" t="e">
        <f>VLOOKUP($A187,'S45'!$C:$BQ,52,0)</f>
        <v>#N/A</v>
      </c>
      <c r="R187" s="115" t="e">
        <f>VLOOKUP($A187,'S45'!$C:$BQ,59,0)</f>
        <v>#N/A</v>
      </c>
      <c r="S187" s="115" t="e">
        <f>VLOOKUP($A187,'S45'!$C:$BQ,60,0)</f>
        <v>#N/A</v>
      </c>
      <c r="T187" s="107" t="e">
        <f>VLOOKUP($A187,'S46'!$C:$BQ,32,0)</f>
        <v>#N/A</v>
      </c>
      <c r="U187" s="107" t="e">
        <f>VLOOKUP($A187,'S46'!$C:$BQ,39,0)</f>
        <v>#N/A</v>
      </c>
      <c r="V187" s="107" t="e">
        <f>VLOOKUP($A187,'S46'!$C:$BQ,40,0)</f>
        <v>#N/A</v>
      </c>
      <c r="W187" s="107" t="e">
        <f>VLOOKUP($A187,'S46'!$C:$BQ,22,0)</f>
        <v>#N/A</v>
      </c>
      <c r="X187" s="115" t="e">
        <f>VLOOKUP($A187,'S46'!$C:$BQ,29,0)</f>
        <v>#N/A</v>
      </c>
      <c r="Y187" s="115" t="e">
        <f>VLOOKUP($A187,'S46'!$C:$BQ,30,0)</f>
        <v>#N/A</v>
      </c>
      <c r="Z187" s="115" t="e">
        <f>VLOOKUP($A187,'S46'!$C:$BQ,52,0)</f>
        <v>#N/A</v>
      </c>
      <c r="AA187" s="115" t="e">
        <f>VLOOKUP($A187,'S46'!$C:$BQ,59,0)</f>
        <v>#N/A</v>
      </c>
      <c r="AB187" s="115" t="e">
        <f>VLOOKUP($A187,'S46'!$C:$BQ,60,0)</f>
        <v>#N/A</v>
      </c>
      <c r="AC187" s="107" t="e">
        <f>VLOOKUP($A187,'S47'!$C:$BQ,32,0)</f>
        <v>#N/A</v>
      </c>
      <c r="AD187" s="107" t="e">
        <f>VLOOKUP($A187,'S47'!$C:$BQ,39,0)</f>
        <v>#N/A</v>
      </c>
      <c r="AE187" s="107" t="e">
        <f>VLOOKUP($A187,'S47'!$C:$BQ,40,0)</f>
        <v>#N/A</v>
      </c>
      <c r="AF187" s="107" t="e">
        <f>VLOOKUP($A187,'S47'!$C:$BQ,22,0)</f>
        <v>#N/A</v>
      </c>
      <c r="AG187" s="115" t="e">
        <f>VLOOKUP($A187,'S47'!$C:$BQ,29,0)</f>
        <v>#N/A</v>
      </c>
      <c r="AH187" s="115" t="e">
        <f>VLOOKUP($A187,'S47'!$C:$BQ,30,0)</f>
        <v>#N/A</v>
      </c>
      <c r="AI187" s="115" t="e">
        <f>VLOOKUP($A187,'S47'!$C:$BQ,52,0)</f>
        <v>#N/A</v>
      </c>
      <c r="AJ187" s="115" t="e">
        <f>VLOOKUP($A187,'S47'!$C:$BQ,59,0)</f>
        <v>#N/A</v>
      </c>
      <c r="AK187" s="115" t="e">
        <f>VLOOKUP($A187,'S47'!$C:$BQ,60,0)</f>
        <v>#N/A</v>
      </c>
      <c r="AL187" s="107" t="e">
        <f>VLOOKUP($A187,'S48'!$C:$BQ,32,0)</f>
        <v>#N/A</v>
      </c>
      <c r="AM187" s="107" t="e">
        <f>VLOOKUP($A187,'S48'!$C:$BQ,39,0)</f>
        <v>#N/A</v>
      </c>
      <c r="AN187" s="107" t="e">
        <f>VLOOKUP($A187,'S48'!$C:$BQ,40,0)</f>
        <v>#N/A</v>
      </c>
      <c r="AO187" s="107" t="e">
        <f>VLOOKUP($A187,'S48'!$C:$BQ,22,0)</f>
        <v>#N/A</v>
      </c>
      <c r="AP187" s="115" t="e">
        <f>VLOOKUP($A187,'S48'!$C:$BQ,29,0)</f>
        <v>#N/A</v>
      </c>
      <c r="AQ187" s="115" t="e">
        <f>VLOOKUP($A187,'S48'!$C:$BQ,30,0)</f>
        <v>#N/A</v>
      </c>
      <c r="AR187" s="115" t="e">
        <f>VLOOKUP($A187,'S48'!$C:$BQ,52,0)</f>
        <v>#N/A</v>
      </c>
      <c r="AS187" s="115" t="e">
        <f>VLOOKUP($A187,'S48'!$C:$BQ,59,0)</f>
        <v>#N/A</v>
      </c>
      <c r="AT187" s="115" t="e">
        <f>VLOOKUP($A187,'S48'!$C:$BQ,60,0)</f>
        <v>#N/A</v>
      </c>
      <c r="AU187" s="107" t="e">
        <f>VLOOKUP($A187,'S49'!$C:$BQ,32,0)</f>
        <v>#N/A</v>
      </c>
      <c r="AV187" s="107" t="e">
        <f>VLOOKUP($A187,'S49'!$C:$BQ,39,0)</f>
        <v>#N/A</v>
      </c>
      <c r="AW187" s="107" t="e">
        <f>VLOOKUP($A187,'S49'!$C:$BQ,40,0)</f>
        <v>#N/A</v>
      </c>
      <c r="AX187" s="107" t="e">
        <f>VLOOKUP($A187,'S49'!$C:$BQ,22,0)</f>
        <v>#N/A</v>
      </c>
      <c r="AY187" s="115" t="e">
        <f>VLOOKUP($A187,'S49'!$C:$BQ,29,0)</f>
        <v>#N/A</v>
      </c>
      <c r="AZ187" s="115" t="e">
        <f>VLOOKUP($A187,'S49'!$C:$BQ,30,0)</f>
        <v>#N/A</v>
      </c>
      <c r="BA187" s="115" t="e">
        <f>VLOOKUP($A187,'S49'!$C:$BQ,52,0)</f>
        <v>#N/A</v>
      </c>
      <c r="BB187" s="115" t="e">
        <f>VLOOKUP($A187,'S49'!$C:$BQ,59,0)</f>
        <v>#N/A</v>
      </c>
      <c r="BC187" s="115" t="e">
        <f>VLOOKUP($A187,'S49'!$C:$BQ,60,0)</f>
        <v>#N/A</v>
      </c>
      <c r="BD187" s="107" t="e">
        <f>VLOOKUP($A187,'S50'!$C:$BQ,32,0)</f>
        <v>#N/A</v>
      </c>
      <c r="BE187" s="107" t="e">
        <f>VLOOKUP($A187,'S50'!$C:$BQ,39,0)</f>
        <v>#N/A</v>
      </c>
      <c r="BF187" s="107" t="e">
        <f>VLOOKUP($A187,'S50'!$C:$BQ,40,0)</f>
        <v>#N/A</v>
      </c>
      <c r="BG187" s="107" t="e">
        <f>VLOOKUP($A187,'S50'!$C:$BQ,22,0)</f>
        <v>#N/A</v>
      </c>
      <c r="BH187" s="115" t="e">
        <f>VLOOKUP($A187,'S50'!$C:$BQ,29,0)</f>
        <v>#N/A</v>
      </c>
      <c r="BI187" s="115" t="e">
        <f>VLOOKUP($A187,'S50'!$C:$BQ,30,0)</f>
        <v>#N/A</v>
      </c>
      <c r="BJ187" s="115" t="e">
        <f>VLOOKUP($A187,'S50'!$C:$BQ,52,0)</f>
        <v>#N/A</v>
      </c>
      <c r="BK187" s="115" t="e">
        <f>VLOOKUP($A187,'S50'!$C:$BQ,59,0)</f>
        <v>#N/A</v>
      </c>
      <c r="BL187" s="115" t="e">
        <f>VLOOKUP($A187,'S50'!$C:$BQ,60,0)</f>
        <v>#N/A</v>
      </c>
    </row>
    <row r="188" spans="1:64" x14ac:dyDescent="0.2">
      <c r="A188" s="106" t="s">
        <v>256</v>
      </c>
      <c r="B188" s="107">
        <f>VLOOKUP($A188,'S0 remplacer avec S44'!$C:$BQ,32,0)</f>
        <v>134.80000000000001</v>
      </c>
      <c r="C188" s="107">
        <f>VLOOKUP($A188,'S0 remplacer avec S44'!$C:$BQ,39,0)</f>
        <v>87</v>
      </c>
      <c r="D188" s="107">
        <f>VLOOKUP($A188,'S0 remplacer avec S44'!$C:$BQ,40,0)</f>
        <v>132</v>
      </c>
      <c r="E188" s="107">
        <f>VLOOKUP($A188,'S0 remplacer avec S44'!$C:$BQ,22,0)</f>
        <v>1459.57818</v>
      </c>
      <c r="F188" s="115">
        <f>VLOOKUP($A188,'S0 remplacer avec S44'!$C:$BQ,29,0)</f>
        <v>556</v>
      </c>
      <c r="G188" s="115">
        <f>VLOOKUP($A188,'S0 remplacer avec S44'!$C:$BQ,30,0)</f>
        <v>959</v>
      </c>
      <c r="H188" s="115">
        <f>VLOOKUP($A188,'S0 remplacer avec S44'!$C:$BQ,52,0)</f>
        <v>101.4</v>
      </c>
      <c r="I188" s="115">
        <f>VLOOKUP($A188,'S0 remplacer avec S44'!$C:$BQ,59,0)</f>
        <v>12</v>
      </c>
      <c r="J188" s="115">
        <f>VLOOKUP($A188,'S0 remplacer avec S44'!$C:$BQ,60,0)</f>
        <v>34</v>
      </c>
      <c r="K188" s="107" t="e">
        <f>VLOOKUP($A188,'S45'!$C:$BQ,32,0)</f>
        <v>#N/A</v>
      </c>
      <c r="L188" s="107" t="e">
        <f>VLOOKUP($A188,'S45'!$C:$BQ,39,0)</f>
        <v>#N/A</v>
      </c>
      <c r="M188" s="107" t="e">
        <f>VLOOKUP($A188,'S45'!$C:$BQ,40,0)</f>
        <v>#N/A</v>
      </c>
      <c r="N188" s="107" t="e">
        <f>VLOOKUP($A188,'S45'!$C:$BQ,22,0)</f>
        <v>#N/A</v>
      </c>
      <c r="O188" s="115" t="e">
        <f>VLOOKUP($A188,'S45'!$C:$BQ,29,0)</f>
        <v>#N/A</v>
      </c>
      <c r="P188" s="115" t="e">
        <f>VLOOKUP($A188,'S45'!$C:$BQ,30,0)</f>
        <v>#N/A</v>
      </c>
      <c r="Q188" s="115" t="e">
        <f>VLOOKUP($A188,'S45'!$C:$BQ,52,0)</f>
        <v>#N/A</v>
      </c>
      <c r="R188" s="115" t="e">
        <f>VLOOKUP($A188,'S45'!$C:$BQ,59,0)</f>
        <v>#N/A</v>
      </c>
      <c r="S188" s="115" t="e">
        <f>VLOOKUP($A188,'S45'!$C:$BQ,60,0)</f>
        <v>#N/A</v>
      </c>
      <c r="T188" s="107" t="e">
        <f>VLOOKUP($A188,'S46'!$C:$BQ,32,0)</f>
        <v>#N/A</v>
      </c>
      <c r="U188" s="107" t="e">
        <f>VLOOKUP($A188,'S46'!$C:$BQ,39,0)</f>
        <v>#N/A</v>
      </c>
      <c r="V188" s="107" t="e">
        <f>VLOOKUP($A188,'S46'!$C:$BQ,40,0)</f>
        <v>#N/A</v>
      </c>
      <c r="W188" s="107" t="e">
        <f>VLOOKUP($A188,'S46'!$C:$BQ,22,0)</f>
        <v>#N/A</v>
      </c>
      <c r="X188" s="115" t="e">
        <f>VLOOKUP($A188,'S46'!$C:$BQ,29,0)</f>
        <v>#N/A</v>
      </c>
      <c r="Y188" s="115" t="e">
        <f>VLOOKUP($A188,'S46'!$C:$BQ,30,0)</f>
        <v>#N/A</v>
      </c>
      <c r="Z188" s="115" t="e">
        <f>VLOOKUP($A188,'S46'!$C:$BQ,52,0)</f>
        <v>#N/A</v>
      </c>
      <c r="AA188" s="115" t="e">
        <f>VLOOKUP($A188,'S46'!$C:$BQ,59,0)</f>
        <v>#N/A</v>
      </c>
      <c r="AB188" s="115" t="e">
        <f>VLOOKUP($A188,'S46'!$C:$BQ,60,0)</f>
        <v>#N/A</v>
      </c>
      <c r="AC188" s="107" t="e">
        <f>VLOOKUP($A188,'S47'!$C:$BQ,32,0)</f>
        <v>#N/A</v>
      </c>
      <c r="AD188" s="107" t="e">
        <f>VLOOKUP($A188,'S47'!$C:$BQ,39,0)</f>
        <v>#N/A</v>
      </c>
      <c r="AE188" s="107" t="e">
        <f>VLOOKUP($A188,'S47'!$C:$BQ,40,0)</f>
        <v>#N/A</v>
      </c>
      <c r="AF188" s="107" t="e">
        <f>VLOOKUP($A188,'S47'!$C:$BQ,22,0)</f>
        <v>#N/A</v>
      </c>
      <c r="AG188" s="115" t="e">
        <f>VLOOKUP($A188,'S47'!$C:$BQ,29,0)</f>
        <v>#N/A</v>
      </c>
      <c r="AH188" s="115" t="e">
        <f>VLOOKUP($A188,'S47'!$C:$BQ,30,0)</f>
        <v>#N/A</v>
      </c>
      <c r="AI188" s="115" t="e">
        <f>VLOOKUP($A188,'S47'!$C:$BQ,52,0)</f>
        <v>#N/A</v>
      </c>
      <c r="AJ188" s="115" t="e">
        <f>VLOOKUP($A188,'S47'!$C:$BQ,59,0)</f>
        <v>#N/A</v>
      </c>
      <c r="AK188" s="115" t="e">
        <f>VLOOKUP($A188,'S47'!$C:$BQ,60,0)</f>
        <v>#N/A</v>
      </c>
      <c r="AL188" s="107" t="e">
        <f>VLOOKUP($A188,'S48'!$C:$BQ,32,0)</f>
        <v>#N/A</v>
      </c>
      <c r="AM188" s="107" t="e">
        <f>VLOOKUP($A188,'S48'!$C:$BQ,39,0)</f>
        <v>#N/A</v>
      </c>
      <c r="AN188" s="107" t="e">
        <f>VLOOKUP($A188,'S48'!$C:$BQ,40,0)</f>
        <v>#N/A</v>
      </c>
      <c r="AO188" s="107" t="e">
        <f>VLOOKUP($A188,'S48'!$C:$BQ,22,0)</f>
        <v>#N/A</v>
      </c>
      <c r="AP188" s="115" t="e">
        <f>VLOOKUP($A188,'S48'!$C:$BQ,29,0)</f>
        <v>#N/A</v>
      </c>
      <c r="AQ188" s="115" t="e">
        <f>VLOOKUP($A188,'S48'!$C:$BQ,30,0)</f>
        <v>#N/A</v>
      </c>
      <c r="AR188" s="115" t="e">
        <f>VLOOKUP($A188,'S48'!$C:$BQ,52,0)</f>
        <v>#N/A</v>
      </c>
      <c r="AS188" s="115" t="e">
        <f>VLOOKUP($A188,'S48'!$C:$BQ,59,0)</f>
        <v>#N/A</v>
      </c>
      <c r="AT188" s="115" t="e">
        <f>VLOOKUP($A188,'S48'!$C:$BQ,60,0)</f>
        <v>#N/A</v>
      </c>
      <c r="AU188" s="107" t="e">
        <f>VLOOKUP($A188,'S49'!$C:$BQ,32,0)</f>
        <v>#N/A</v>
      </c>
      <c r="AV188" s="107" t="e">
        <f>VLOOKUP($A188,'S49'!$C:$BQ,39,0)</f>
        <v>#N/A</v>
      </c>
      <c r="AW188" s="107" t="e">
        <f>VLOOKUP($A188,'S49'!$C:$BQ,40,0)</f>
        <v>#N/A</v>
      </c>
      <c r="AX188" s="107" t="e">
        <f>VLOOKUP($A188,'S49'!$C:$BQ,22,0)</f>
        <v>#N/A</v>
      </c>
      <c r="AY188" s="115" t="e">
        <f>VLOOKUP($A188,'S49'!$C:$BQ,29,0)</f>
        <v>#N/A</v>
      </c>
      <c r="AZ188" s="115" t="e">
        <f>VLOOKUP($A188,'S49'!$C:$BQ,30,0)</f>
        <v>#N/A</v>
      </c>
      <c r="BA188" s="115" t="e">
        <f>VLOOKUP($A188,'S49'!$C:$BQ,52,0)</f>
        <v>#N/A</v>
      </c>
      <c r="BB188" s="115" t="e">
        <f>VLOOKUP($A188,'S49'!$C:$BQ,59,0)</f>
        <v>#N/A</v>
      </c>
      <c r="BC188" s="115" t="e">
        <f>VLOOKUP($A188,'S49'!$C:$BQ,60,0)</f>
        <v>#N/A</v>
      </c>
      <c r="BD188" s="107" t="e">
        <f>VLOOKUP($A188,'S50'!$C:$BQ,32,0)</f>
        <v>#N/A</v>
      </c>
      <c r="BE188" s="107" t="e">
        <f>VLOOKUP($A188,'S50'!$C:$BQ,39,0)</f>
        <v>#N/A</v>
      </c>
      <c r="BF188" s="107" t="e">
        <f>VLOOKUP($A188,'S50'!$C:$BQ,40,0)</f>
        <v>#N/A</v>
      </c>
      <c r="BG188" s="107" t="e">
        <f>VLOOKUP($A188,'S50'!$C:$BQ,22,0)</f>
        <v>#N/A</v>
      </c>
      <c r="BH188" s="115" t="e">
        <f>VLOOKUP($A188,'S50'!$C:$BQ,29,0)</f>
        <v>#N/A</v>
      </c>
      <c r="BI188" s="115" t="e">
        <f>VLOOKUP($A188,'S50'!$C:$BQ,30,0)</f>
        <v>#N/A</v>
      </c>
      <c r="BJ188" s="115" t="e">
        <f>VLOOKUP($A188,'S50'!$C:$BQ,52,0)</f>
        <v>#N/A</v>
      </c>
      <c r="BK188" s="115" t="e">
        <f>VLOOKUP($A188,'S50'!$C:$BQ,59,0)</f>
        <v>#N/A</v>
      </c>
      <c r="BL188" s="115" t="e">
        <f>VLOOKUP($A188,'S50'!$C:$BQ,60,0)</f>
        <v>#N/A</v>
      </c>
    </row>
    <row r="189" spans="1:64" x14ac:dyDescent="0.2">
      <c r="A189" s="106" t="s">
        <v>257</v>
      </c>
      <c r="B189" s="107">
        <f>VLOOKUP($A189,'S0 remplacer avec S44'!$C:$BQ,32,0)</f>
        <v>414.5</v>
      </c>
      <c r="C189" s="107">
        <f>VLOOKUP($A189,'S0 remplacer avec S44'!$C:$BQ,39,0)</f>
        <v>55</v>
      </c>
      <c r="D189" s="107">
        <f>VLOOKUP($A189,'S0 remplacer avec S44'!$C:$BQ,40,0)</f>
        <v>149</v>
      </c>
      <c r="E189" s="107">
        <f>VLOOKUP($A189,'S0 remplacer avec S44'!$C:$BQ,22,0)</f>
        <v>4067.36715</v>
      </c>
      <c r="F189" s="115">
        <f>VLOOKUP($A189,'S0 remplacer avec S44'!$C:$BQ,29,0)</f>
        <v>200</v>
      </c>
      <c r="G189" s="115">
        <f>VLOOKUP($A189,'S0 remplacer avec S44'!$C:$BQ,30,0)</f>
        <v>1053</v>
      </c>
      <c r="H189" s="115">
        <f>VLOOKUP($A189,'S0 remplacer avec S44'!$C:$BQ,52,0)</f>
        <v>249.4</v>
      </c>
      <c r="I189" s="115">
        <f>VLOOKUP($A189,'S0 remplacer avec S44'!$C:$BQ,59,0)</f>
        <v>0</v>
      </c>
      <c r="J189" s="115">
        <f>VLOOKUP($A189,'S0 remplacer avec S44'!$C:$BQ,60,0)</f>
        <v>37</v>
      </c>
      <c r="K189" s="107" t="e">
        <f>VLOOKUP($A189,'S45'!$C:$BQ,32,0)</f>
        <v>#N/A</v>
      </c>
      <c r="L189" s="107" t="e">
        <f>VLOOKUP($A189,'S45'!$C:$BQ,39,0)</f>
        <v>#N/A</v>
      </c>
      <c r="M189" s="107" t="e">
        <f>VLOOKUP($A189,'S45'!$C:$BQ,40,0)</f>
        <v>#N/A</v>
      </c>
      <c r="N189" s="107" t="e">
        <f>VLOOKUP($A189,'S45'!$C:$BQ,22,0)</f>
        <v>#N/A</v>
      </c>
      <c r="O189" s="115" t="e">
        <f>VLOOKUP($A189,'S45'!$C:$BQ,29,0)</f>
        <v>#N/A</v>
      </c>
      <c r="P189" s="115" t="e">
        <f>VLOOKUP($A189,'S45'!$C:$BQ,30,0)</f>
        <v>#N/A</v>
      </c>
      <c r="Q189" s="115" t="e">
        <f>VLOOKUP($A189,'S45'!$C:$BQ,52,0)</f>
        <v>#N/A</v>
      </c>
      <c r="R189" s="115" t="e">
        <f>VLOOKUP($A189,'S45'!$C:$BQ,59,0)</f>
        <v>#N/A</v>
      </c>
      <c r="S189" s="115" t="e">
        <f>VLOOKUP($A189,'S45'!$C:$BQ,60,0)</f>
        <v>#N/A</v>
      </c>
      <c r="T189" s="107" t="e">
        <f>VLOOKUP($A189,'S46'!$C:$BQ,32,0)</f>
        <v>#N/A</v>
      </c>
      <c r="U189" s="107" t="e">
        <f>VLOOKUP($A189,'S46'!$C:$BQ,39,0)</f>
        <v>#N/A</v>
      </c>
      <c r="V189" s="107" t="e">
        <f>VLOOKUP($A189,'S46'!$C:$BQ,40,0)</f>
        <v>#N/A</v>
      </c>
      <c r="W189" s="107" t="e">
        <f>VLOOKUP($A189,'S46'!$C:$BQ,22,0)</f>
        <v>#N/A</v>
      </c>
      <c r="X189" s="115" t="e">
        <f>VLOOKUP($A189,'S46'!$C:$BQ,29,0)</f>
        <v>#N/A</v>
      </c>
      <c r="Y189" s="115" t="e">
        <f>VLOOKUP($A189,'S46'!$C:$BQ,30,0)</f>
        <v>#N/A</v>
      </c>
      <c r="Z189" s="115" t="e">
        <f>VLOOKUP($A189,'S46'!$C:$BQ,52,0)</f>
        <v>#N/A</v>
      </c>
      <c r="AA189" s="115" t="e">
        <f>VLOOKUP($A189,'S46'!$C:$BQ,59,0)</f>
        <v>#N/A</v>
      </c>
      <c r="AB189" s="115" t="e">
        <f>VLOOKUP($A189,'S46'!$C:$BQ,60,0)</f>
        <v>#N/A</v>
      </c>
      <c r="AC189" s="107" t="e">
        <f>VLOOKUP($A189,'S47'!$C:$BQ,32,0)</f>
        <v>#N/A</v>
      </c>
      <c r="AD189" s="107" t="e">
        <f>VLOOKUP($A189,'S47'!$C:$BQ,39,0)</f>
        <v>#N/A</v>
      </c>
      <c r="AE189" s="107" t="e">
        <f>VLOOKUP($A189,'S47'!$C:$BQ,40,0)</f>
        <v>#N/A</v>
      </c>
      <c r="AF189" s="107" t="e">
        <f>VLOOKUP($A189,'S47'!$C:$BQ,22,0)</f>
        <v>#N/A</v>
      </c>
      <c r="AG189" s="115" t="e">
        <f>VLOOKUP($A189,'S47'!$C:$BQ,29,0)</f>
        <v>#N/A</v>
      </c>
      <c r="AH189" s="115" t="e">
        <f>VLOOKUP($A189,'S47'!$C:$BQ,30,0)</f>
        <v>#N/A</v>
      </c>
      <c r="AI189" s="115" t="e">
        <f>VLOOKUP($A189,'S47'!$C:$BQ,52,0)</f>
        <v>#N/A</v>
      </c>
      <c r="AJ189" s="115" t="e">
        <f>VLOOKUP($A189,'S47'!$C:$BQ,59,0)</f>
        <v>#N/A</v>
      </c>
      <c r="AK189" s="115" t="e">
        <f>VLOOKUP($A189,'S47'!$C:$BQ,60,0)</f>
        <v>#N/A</v>
      </c>
      <c r="AL189" s="107" t="e">
        <f>VLOOKUP($A189,'S48'!$C:$BQ,32,0)</f>
        <v>#N/A</v>
      </c>
      <c r="AM189" s="107" t="e">
        <f>VLOOKUP($A189,'S48'!$C:$BQ,39,0)</f>
        <v>#N/A</v>
      </c>
      <c r="AN189" s="107" t="e">
        <f>VLOOKUP($A189,'S48'!$C:$BQ,40,0)</f>
        <v>#N/A</v>
      </c>
      <c r="AO189" s="107" t="e">
        <f>VLOOKUP($A189,'S48'!$C:$BQ,22,0)</f>
        <v>#N/A</v>
      </c>
      <c r="AP189" s="115" t="e">
        <f>VLOOKUP($A189,'S48'!$C:$BQ,29,0)</f>
        <v>#N/A</v>
      </c>
      <c r="AQ189" s="115" t="e">
        <f>VLOOKUP($A189,'S48'!$C:$BQ,30,0)</f>
        <v>#N/A</v>
      </c>
      <c r="AR189" s="115" t="e">
        <f>VLOOKUP($A189,'S48'!$C:$BQ,52,0)</f>
        <v>#N/A</v>
      </c>
      <c r="AS189" s="115" t="e">
        <f>VLOOKUP($A189,'S48'!$C:$BQ,59,0)</f>
        <v>#N/A</v>
      </c>
      <c r="AT189" s="115" t="e">
        <f>VLOOKUP($A189,'S48'!$C:$BQ,60,0)</f>
        <v>#N/A</v>
      </c>
      <c r="AU189" s="107" t="e">
        <f>VLOOKUP($A189,'S49'!$C:$BQ,32,0)</f>
        <v>#N/A</v>
      </c>
      <c r="AV189" s="107" t="e">
        <f>VLOOKUP($A189,'S49'!$C:$BQ,39,0)</f>
        <v>#N/A</v>
      </c>
      <c r="AW189" s="107" t="e">
        <f>VLOOKUP($A189,'S49'!$C:$BQ,40,0)</f>
        <v>#N/A</v>
      </c>
      <c r="AX189" s="107" t="e">
        <f>VLOOKUP($A189,'S49'!$C:$BQ,22,0)</f>
        <v>#N/A</v>
      </c>
      <c r="AY189" s="115" t="e">
        <f>VLOOKUP($A189,'S49'!$C:$BQ,29,0)</f>
        <v>#N/A</v>
      </c>
      <c r="AZ189" s="115" t="e">
        <f>VLOOKUP($A189,'S49'!$C:$BQ,30,0)</f>
        <v>#N/A</v>
      </c>
      <c r="BA189" s="115" t="e">
        <f>VLOOKUP($A189,'S49'!$C:$BQ,52,0)</f>
        <v>#N/A</v>
      </c>
      <c r="BB189" s="115" t="e">
        <f>VLOOKUP($A189,'S49'!$C:$BQ,59,0)</f>
        <v>#N/A</v>
      </c>
      <c r="BC189" s="115" t="e">
        <f>VLOOKUP($A189,'S49'!$C:$BQ,60,0)</f>
        <v>#N/A</v>
      </c>
      <c r="BD189" s="107" t="e">
        <f>VLOOKUP($A189,'S50'!$C:$BQ,32,0)</f>
        <v>#N/A</v>
      </c>
      <c r="BE189" s="107" t="e">
        <f>VLOOKUP($A189,'S50'!$C:$BQ,39,0)</f>
        <v>#N/A</v>
      </c>
      <c r="BF189" s="107" t="e">
        <f>VLOOKUP($A189,'S50'!$C:$BQ,40,0)</f>
        <v>#N/A</v>
      </c>
      <c r="BG189" s="107" t="e">
        <f>VLOOKUP($A189,'S50'!$C:$BQ,22,0)</f>
        <v>#N/A</v>
      </c>
      <c r="BH189" s="115" t="e">
        <f>VLOOKUP($A189,'S50'!$C:$BQ,29,0)</f>
        <v>#N/A</v>
      </c>
      <c r="BI189" s="115" t="e">
        <f>VLOOKUP($A189,'S50'!$C:$BQ,30,0)</f>
        <v>#N/A</v>
      </c>
      <c r="BJ189" s="115" t="e">
        <f>VLOOKUP($A189,'S50'!$C:$BQ,52,0)</f>
        <v>#N/A</v>
      </c>
      <c r="BK189" s="115" t="e">
        <f>VLOOKUP($A189,'S50'!$C:$BQ,59,0)</f>
        <v>#N/A</v>
      </c>
      <c r="BL189" s="115" t="e">
        <f>VLOOKUP($A189,'S50'!$C:$BQ,60,0)</f>
        <v>#N/A</v>
      </c>
    </row>
    <row r="190" spans="1:64" x14ac:dyDescent="0.2">
      <c r="A190" s="106" t="s">
        <v>258</v>
      </c>
      <c r="B190" s="107">
        <f>VLOOKUP($A190,'S0 remplacer avec S44'!$C:$BQ,32,0)</f>
        <v>2066.4</v>
      </c>
      <c r="C190" s="107">
        <f>VLOOKUP($A190,'S0 remplacer avec S44'!$C:$BQ,39,0)</f>
        <v>0</v>
      </c>
      <c r="D190" s="107">
        <f>VLOOKUP($A190,'S0 remplacer avec S44'!$C:$BQ,40,0)</f>
        <v>0</v>
      </c>
      <c r="E190" s="107">
        <f>VLOOKUP($A190,'S0 remplacer avec S44'!$C:$BQ,22,0)</f>
        <v>16609.936594999999</v>
      </c>
      <c r="F190" s="115">
        <f>VLOOKUP($A190,'S0 remplacer avec S44'!$C:$BQ,29,0)</f>
        <v>0</v>
      </c>
      <c r="G190" s="115">
        <f>VLOOKUP($A190,'S0 remplacer avec S44'!$C:$BQ,30,0)</f>
        <v>0</v>
      </c>
      <c r="H190" s="115">
        <f>VLOOKUP($A190,'S0 remplacer avec S44'!$C:$BQ,52,0)</f>
        <v>1248.4000000000001</v>
      </c>
      <c r="I190" s="115">
        <f>VLOOKUP($A190,'S0 remplacer avec S44'!$C:$BQ,59,0)</f>
        <v>0</v>
      </c>
      <c r="J190" s="115">
        <f>VLOOKUP($A190,'S0 remplacer avec S44'!$C:$BQ,60,0)</f>
        <v>0</v>
      </c>
      <c r="K190" s="107" t="e">
        <f>VLOOKUP($A190,'S45'!$C:$BQ,32,0)</f>
        <v>#N/A</v>
      </c>
      <c r="L190" s="107" t="e">
        <f>VLOOKUP($A190,'S45'!$C:$BQ,39,0)</f>
        <v>#N/A</v>
      </c>
      <c r="M190" s="107" t="e">
        <f>VLOOKUP($A190,'S45'!$C:$BQ,40,0)</f>
        <v>#N/A</v>
      </c>
      <c r="N190" s="107" t="e">
        <f>VLOOKUP($A190,'S45'!$C:$BQ,22,0)</f>
        <v>#N/A</v>
      </c>
      <c r="O190" s="115" t="e">
        <f>VLOOKUP($A190,'S45'!$C:$BQ,29,0)</f>
        <v>#N/A</v>
      </c>
      <c r="P190" s="115" t="e">
        <f>VLOOKUP($A190,'S45'!$C:$BQ,30,0)</f>
        <v>#N/A</v>
      </c>
      <c r="Q190" s="115" t="e">
        <f>VLOOKUP($A190,'S45'!$C:$BQ,52,0)</f>
        <v>#N/A</v>
      </c>
      <c r="R190" s="115" t="e">
        <f>VLOOKUP($A190,'S45'!$C:$BQ,59,0)</f>
        <v>#N/A</v>
      </c>
      <c r="S190" s="115" t="e">
        <f>VLOOKUP($A190,'S45'!$C:$BQ,60,0)</f>
        <v>#N/A</v>
      </c>
      <c r="T190" s="107" t="e">
        <f>VLOOKUP($A190,'S46'!$C:$BQ,32,0)</f>
        <v>#N/A</v>
      </c>
      <c r="U190" s="107" t="e">
        <f>VLOOKUP($A190,'S46'!$C:$BQ,39,0)</f>
        <v>#N/A</v>
      </c>
      <c r="V190" s="107" t="e">
        <f>VLOOKUP($A190,'S46'!$C:$BQ,40,0)</f>
        <v>#N/A</v>
      </c>
      <c r="W190" s="107" t="e">
        <f>VLOOKUP($A190,'S46'!$C:$BQ,22,0)</f>
        <v>#N/A</v>
      </c>
      <c r="X190" s="115" t="e">
        <f>VLOOKUP($A190,'S46'!$C:$BQ,29,0)</f>
        <v>#N/A</v>
      </c>
      <c r="Y190" s="115" t="e">
        <f>VLOOKUP($A190,'S46'!$C:$BQ,30,0)</f>
        <v>#N/A</v>
      </c>
      <c r="Z190" s="115" t="e">
        <f>VLOOKUP($A190,'S46'!$C:$BQ,52,0)</f>
        <v>#N/A</v>
      </c>
      <c r="AA190" s="115" t="e">
        <f>VLOOKUP($A190,'S46'!$C:$BQ,59,0)</f>
        <v>#N/A</v>
      </c>
      <c r="AB190" s="115" t="e">
        <f>VLOOKUP($A190,'S46'!$C:$BQ,60,0)</f>
        <v>#N/A</v>
      </c>
      <c r="AC190" s="107" t="e">
        <f>VLOOKUP($A190,'S47'!$C:$BQ,32,0)</f>
        <v>#N/A</v>
      </c>
      <c r="AD190" s="107" t="e">
        <f>VLOOKUP($A190,'S47'!$C:$BQ,39,0)</f>
        <v>#N/A</v>
      </c>
      <c r="AE190" s="107" t="e">
        <f>VLOOKUP($A190,'S47'!$C:$BQ,40,0)</f>
        <v>#N/A</v>
      </c>
      <c r="AF190" s="107" t="e">
        <f>VLOOKUP($A190,'S47'!$C:$BQ,22,0)</f>
        <v>#N/A</v>
      </c>
      <c r="AG190" s="115" t="e">
        <f>VLOOKUP($A190,'S47'!$C:$BQ,29,0)</f>
        <v>#N/A</v>
      </c>
      <c r="AH190" s="115" t="e">
        <f>VLOOKUP($A190,'S47'!$C:$BQ,30,0)</f>
        <v>#N/A</v>
      </c>
      <c r="AI190" s="115" t="e">
        <f>VLOOKUP($A190,'S47'!$C:$BQ,52,0)</f>
        <v>#N/A</v>
      </c>
      <c r="AJ190" s="115" t="e">
        <f>VLOOKUP($A190,'S47'!$C:$BQ,59,0)</f>
        <v>#N/A</v>
      </c>
      <c r="AK190" s="115" t="e">
        <f>VLOOKUP($A190,'S47'!$C:$BQ,60,0)</f>
        <v>#N/A</v>
      </c>
      <c r="AL190" s="107" t="e">
        <f>VLOOKUP($A190,'S48'!$C:$BQ,32,0)</f>
        <v>#N/A</v>
      </c>
      <c r="AM190" s="107" t="e">
        <f>VLOOKUP($A190,'S48'!$C:$BQ,39,0)</f>
        <v>#N/A</v>
      </c>
      <c r="AN190" s="107" t="e">
        <f>VLOOKUP($A190,'S48'!$C:$BQ,40,0)</f>
        <v>#N/A</v>
      </c>
      <c r="AO190" s="107" t="e">
        <f>VLOOKUP($A190,'S48'!$C:$BQ,22,0)</f>
        <v>#N/A</v>
      </c>
      <c r="AP190" s="115" t="e">
        <f>VLOOKUP($A190,'S48'!$C:$BQ,29,0)</f>
        <v>#N/A</v>
      </c>
      <c r="AQ190" s="115" t="e">
        <f>VLOOKUP($A190,'S48'!$C:$BQ,30,0)</f>
        <v>#N/A</v>
      </c>
      <c r="AR190" s="115" t="e">
        <f>VLOOKUP($A190,'S48'!$C:$BQ,52,0)</f>
        <v>#N/A</v>
      </c>
      <c r="AS190" s="115" t="e">
        <f>VLOOKUP($A190,'S48'!$C:$BQ,59,0)</f>
        <v>#N/A</v>
      </c>
      <c r="AT190" s="115" t="e">
        <f>VLOOKUP($A190,'S48'!$C:$BQ,60,0)</f>
        <v>#N/A</v>
      </c>
      <c r="AU190" s="107" t="e">
        <f>VLOOKUP($A190,'S49'!$C:$BQ,32,0)</f>
        <v>#N/A</v>
      </c>
      <c r="AV190" s="107" t="e">
        <f>VLOOKUP($A190,'S49'!$C:$BQ,39,0)</f>
        <v>#N/A</v>
      </c>
      <c r="AW190" s="107" t="e">
        <f>VLOOKUP($A190,'S49'!$C:$BQ,40,0)</f>
        <v>#N/A</v>
      </c>
      <c r="AX190" s="107" t="e">
        <f>VLOOKUP($A190,'S49'!$C:$BQ,22,0)</f>
        <v>#N/A</v>
      </c>
      <c r="AY190" s="115" t="e">
        <f>VLOOKUP($A190,'S49'!$C:$BQ,29,0)</f>
        <v>#N/A</v>
      </c>
      <c r="AZ190" s="115" t="e">
        <f>VLOOKUP($A190,'S49'!$C:$BQ,30,0)</f>
        <v>#N/A</v>
      </c>
      <c r="BA190" s="115" t="e">
        <f>VLOOKUP($A190,'S49'!$C:$BQ,52,0)</f>
        <v>#N/A</v>
      </c>
      <c r="BB190" s="115" t="e">
        <f>VLOOKUP($A190,'S49'!$C:$BQ,59,0)</f>
        <v>#N/A</v>
      </c>
      <c r="BC190" s="115" t="e">
        <f>VLOOKUP($A190,'S49'!$C:$BQ,60,0)</f>
        <v>#N/A</v>
      </c>
      <c r="BD190" s="107" t="e">
        <f>VLOOKUP($A190,'S50'!$C:$BQ,32,0)</f>
        <v>#N/A</v>
      </c>
      <c r="BE190" s="107" t="e">
        <f>VLOOKUP($A190,'S50'!$C:$BQ,39,0)</f>
        <v>#N/A</v>
      </c>
      <c r="BF190" s="107" t="e">
        <f>VLOOKUP($A190,'S50'!$C:$BQ,40,0)</f>
        <v>#N/A</v>
      </c>
      <c r="BG190" s="107" t="e">
        <f>VLOOKUP($A190,'S50'!$C:$BQ,22,0)</f>
        <v>#N/A</v>
      </c>
      <c r="BH190" s="115" t="e">
        <f>VLOOKUP($A190,'S50'!$C:$BQ,29,0)</f>
        <v>#N/A</v>
      </c>
      <c r="BI190" s="115" t="e">
        <f>VLOOKUP($A190,'S50'!$C:$BQ,30,0)</f>
        <v>#N/A</v>
      </c>
      <c r="BJ190" s="115" t="e">
        <f>VLOOKUP($A190,'S50'!$C:$BQ,52,0)</f>
        <v>#N/A</v>
      </c>
      <c r="BK190" s="115" t="e">
        <f>VLOOKUP($A190,'S50'!$C:$BQ,59,0)</f>
        <v>#N/A</v>
      </c>
      <c r="BL190" s="115" t="e">
        <f>VLOOKUP($A190,'S50'!$C:$BQ,60,0)</f>
        <v>#N/A</v>
      </c>
    </row>
    <row r="191" spans="1:64" x14ac:dyDescent="0.2">
      <c r="A191" s="106" t="s">
        <v>259</v>
      </c>
      <c r="B191" s="107">
        <f>VLOOKUP($A191,'S0 remplacer avec S44'!$C:$BQ,32,0)</f>
        <v>77.650000000000006</v>
      </c>
      <c r="C191" s="107">
        <f>VLOOKUP($A191,'S0 remplacer avec S44'!$C:$BQ,39,0)</f>
        <v>32</v>
      </c>
      <c r="D191" s="107">
        <f>VLOOKUP($A191,'S0 remplacer avec S44'!$C:$BQ,40,0)</f>
        <v>54</v>
      </c>
      <c r="E191" s="107">
        <f>VLOOKUP($A191,'S0 remplacer avec S44'!$C:$BQ,22,0)</f>
        <v>1042.5763449999999</v>
      </c>
      <c r="F191" s="115">
        <f>VLOOKUP($A191,'S0 remplacer avec S44'!$C:$BQ,29,0)</f>
        <v>0</v>
      </c>
      <c r="G191" s="115">
        <f>VLOOKUP($A191,'S0 remplacer avec S44'!$C:$BQ,30,0)</f>
        <v>153</v>
      </c>
      <c r="H191" s="115">
        <f>VLOOKUP($A191,'S0 remplacer avec S44'!$C:$BQ,52,0)</f>
        <v>49.6</v>
      </c>
      <c r="I191" s="115">
        <f>VLOOKUP($A191,'S0 remplacer avec S44'!$C:$BQ,59,0)</f>
        <v>7</v>
      </c>
      <c r="J191" s="115">
        <f>VLOOKUP($A191,'S0 remplacer avec S44'!$C:$BQ,60,0)</f>
        <v>18</v>
      </c>
      <c r="K191" s="107" t="e">
        <f>VLOOKUP($A191,'S45'!$C:$BQ,32,0)</f>
        <v>#N/A</v>
      </c>
      <c r="L191" s="107" t="e">
        <f>VLOOKUP($A191,'S45'!$C:$BQ,39,0)</f>
        <v>#N/A</v>
      </c>
      <c r="M191" s="107" t="e">
        <f>VLOOKUP($A191,'S45'!$C:$BQ,40,0)</f>
        <v>#N/A</v>
      </c>
      <c r="N191" s="107" t="e">
        <f>VLOOKUP($A191,'S45'!$C:$BQ,22,0)</f>
        <v>#N/A</v>
      </c>
      <c r="O191" s="115" t="e">
        <f>VLOOKUP($A191,'S45'!$C:$BQ,29,0)</f>
        <v>#N/A</v>
      </c>
      <c r="P191" s="115" t="e">
        <f>VLOOKUP($A191,'S45'!$C:$BQ,30,0)</f>
        <v>#N/A</v>
      </c>
      <c r="Q191" s="115" t="e">
        <f>VLOOKUP($A191,'S45'!$C:$BQ,52,0)</f>
        <v>#N/A</v>
      </c>
      <c r="R191" s="115" t="e">
        <f>VLOOKUP($A191,'S45'!$C:$BQ,59,0)</f>
        <v>#N/A</v>
      </c>
      <c r="S191" s="115" t="e">
        <f>VLOOKUP($A191,'S45'!$C:$BQ,60,0)</f>
        <v>#N/A</v>
      </c>
      <c r="T191" s="107" t="e">
        <f>VLOOKUP($A191,'S46'!$C:$BQ,32,0)</f>
        <v>#N/A</v>
      </c>
      <c r="U191" s="107" t="e">
        <f>VLOOKUP($A191,'S46'!$C:$BQ,39,0)</f>
        <v>#N/A</v>
      </c>
      <c r="V191" s="107" t="e">
        <f>VLOOKUP($A191,'S46'!$C:$BQ,40,0)</f>
        <v>#N/A</v>
      </c>
      <c r="W191" s="107" t="e">
        <f>VLOOKUP($A191,'S46'!$C:$BQ,22,0)</f>
        <v>#N/A</v>
      </c>
      <c r="X191" s="115" t="e">
        <f>VLOOKUP($A191,'S46'!$C:$BQ,29,0)</f>
        <v>#N/A</v>
      </c>
      <c r="Y191" s="115" t="e">
        <f>VLOOKUP($A191,'S46'!$C:$BQ,30,0)</f>
        <v>#N/A</v>
      </c>
      <c r="Z191" s="115" t="e">
        <f>VLOOKUP($A191,'S46'!$C:$BQ,52,0)</f>
        <v>#N/A</v>
      </c>
      <c r="AA191" s="115" t="e">
        <f>VLOOKUP($A191,'S46'!$C:$BQ,59,0)</f>
        <v>#N/A</v>
      </c>
      <c r="AB191" s="115" t="e">
        <f>VLOOKUP($A191,'S46'!$C:$BQ,60,0)</f>
        <v>#N/A</v>
      </c>
      <c r="AC191" s="107" t="e">
        <f>VLOOKUP($A191,'S47'!$C:$BQ,32,0)</f>
        <v>#N/A</v>
      </c>
      <c r="AD191" s="107" t="e">
        <f>VLOOKUP($A191,'S47'!$C:$BQ,39,0)</f>
        <v>#N/A</v>
      </c>
      <c r="AE191" s="107" t="e">
        <f>VLOOKUP($A191,'S47'!$C:$BQ,40,0)</f>
        <v>#N/A</v>
      </c>
      <c r="AF191" s="107" t="e">
        <f>VLOOKUP($A191,'S47'!$C:$BQ,22,0)</f>
        <v>#N/A</v>
      </c>
      <c r="AG191" s="115" t="e">
        <f>VLOOKUP($A191,'S47'!$C:$BQ,29,0)</f>
        <v>#N/A</v>
      </c>
      <c r="AH191" s="115" t="e">
        <f>VLOOKUP($A191,'S47'!$C:$BQ,30,0)</f>
        <v>#N/A</v>
      </c>
      <c r="AI191" s="115" t="e">
        <f>VLOOKUP($A191,'S47'!$C:$BQ,52,0)</f>
        <v>#N/A</v>
      </c>
      <c r="AJ191" s="115" t="e">
        <f>VLOOKUP($A191,'S47'!$C:$BQ,59,0)</f>
        <v>#N/A</v>
      </c>
      <c r="AK191" s="115" t="e">
        <f>VLOOKUP($A191,'S47'!$C:$BQ,60,0)</f>
        <v>#N/A</v>
      </c>
      <c r="AL191" s="107" t="e">
        <f>VLOOKUP($A191,'S48'!$C:$BQ,32,0)</f>
        <v>#N/A</v>
      </c>
      <c r="AM191" s="107" t="e">
        <f>VLOOKUP($A191,'S48'!$C:$BQ,39,0)</f>
        <v>#N/A</v>
      </c>
      <c r="AN191" s="107" t="e">
        <f>VLOOKUP($A191,'S48'!$C:$BQ,40,0)</f>
        <v>#N/A</v>
      </c>
      <c r="AO191" s="107" t="e">
        <f>VLOOKUP($A191,'S48'!$C:$BQ,22,0)</f>
        <v>#N/A</v>
      </c>
      <c r="AP191" s="115" t="e">
        <f>VLOOKUP($A191,'S48'!$C:$BQ,29,0)</f>
        <v>#N/A</v>
      </c>
      <c r="AQ191" s="115" t="e">
        <f>VLOOKUP($A191,'S48'!$C:$BQ,30,0)</f>
        <v>#N/A</v>
      </c>
      <c r="AR191" s="115" t="e">
        <f>VLOOKUP($A191,'S48'!$C:$BQ,52,0)</f>
        <v>#N/A</v>
      </c>
      <c r="AS191" s="115" t="e">
        <f>VLOOKUP($A191,'S48'!$C:$BQ,59,0)</f>
        <v>#N/A</v>
      </c>
      <c r="AT191" s="115" t="e">
        <f>VLOOKUP($A191,'S48'!$C:$BQ,60,0)</f>
        <v>#N/A</v>
      </c>
      <c r="AU191" s="107" t="e">
        <f>VLOOKUP($A191,'S49'!$C:$BQ,32,0)</f>
        <v>#N/A</v>
      </c>
      <c r="AV191" s="107" t="e">
        <f>VLOOKUP($A191,'S49'!$C:$BQ,39,0)</f>
        <v>#N/A</v>
      </c>
      <c r="AW191" s="107" t="e">
        <f>VLOOKUP($A191,'S49'!$C:$BQ,40,0)</f>
        <v>#N/A</v>
      </c>
      <c r="AX191" s="107" t="e">
        <f>VLOOKUP($A191,'S49'!$C:$BQ,22,0)</f>
        <v>#N/A</v>
      </c>
      <c r="AY191" s="115" t="e">
        <f>VLOOKUP($A191,'S49'!$C:$BQ,29,0)</f>
        <v>#N/A</v>
      </c>
      <c r="AZ191" s="115" t="e">
        <f>VLOOKUP($A191,'S49'!$C:$BQ,30,0)</f>
        <v>#N/A</v>
      </c>
      <c r="BA191" s="115" t="e">
        <f>VLOOKUP($A191,'S49'!$C:$BQ,52,0)</f>
        <v>#N/A</v>
      </c>
      <c r="BB191" s="115" t="e">
        <f>VLOOKUP($A191,'S49'!$C:$BQ,59,0)</f>
        <v>#N/A</v>
      </c>
      <c r="BC191" s="115" t="e">
        <f>VLOOKUP($A191,'S49'!$C:$BQ,60,0)</f>
        <v>#N/A</v>
      </c>
      <c r="BD191" s="107" t="e">
        <f>VLOOKUP($A191,'S50'!$C:$BQ,32,0)</f>
        <v>#N/A</v>
      </c>
      <c r="BE191" s="107" t="e">
        <f>VLOOKUP($A191,'S50'!$C:$BQ,39,0)</f>
        <v>#N/A</v>
      </c>
      <c r="BF191" s="107" t="e">
        <f>VLOOKUP($A191,'S50'!$C:$BQ,40,0)</f>
        <v>#N/A</v>
      </c>
      <c r="BG191" s="107" t="e">
        <f>VLOOKUP($A191,'S50'!$C:$BQ,22,0)</f>
        <v>#N/A</v>
      </c>
      <c r="BH191" s="115" t="e">
        <f>VLOOKUP($A191,'S50'!$C:$BQ,29,0)</f>
        <v>#N/A</v>
      </c>
      <c r="BI191" s="115" t="e">
        <f>VLOOKUP($A191,'S50'!$C:$BQ,30,0)</f>
        <v>#N/A</v>
      </c>
      <c r="BJ191" s="115" t="e">
        <f>VLOOKUP($A191,'S50'!$C:$BQ,52,0)</f>
        <v>#N/A</v>
      </c>
      <c r="BK191" s="115" t="e">
        <f>VLOOKUP($A191,'S50'!$C:$BQ,59,0)</f>
        <v>#N/A</v>
      </c>
      <c r="BL191" s="115" t="e">
        <f>VLOOKUP($A191,'S50'!$C:$BQ,60,0)</f>
        <v>#N/A</v>
      </c>
    </row>
    <row r="192" spans="1:64" x14ac:dyDescent="0.2">
      <c r="A192" s="106" t="s">
        <v>260</v>
      </c>
      <c r="B192" s="107">
        <f>VLOOKUP($A192,'S0 remplacer avec S44'!$C:$BQ,32,0)</f>
        <v>314.05</v>
      </c>
      <c r="C192" s="107">
        <f>VLOOKUP($A192,'S0 remplacer avec S44'!$C:$BQ,39,0)</f>
        <v>0</v>
      </c>
      <c r="D192" s="107">
        <f>VLOOKUP($A192,'S0 remplacer avec S44'!$C:$BQ,40,0)</f>
        <v>30</v>
      </c>
      <c r="E192" s="107">
        <f>VLOOKUP($A192,'S0 remplacer avec S44'!$C:$BQ,22,0)</f>
        <v>2596.271585</v>
      </c>
      <c r="F192" s="115">
        <f>VLOOKUP($A192,'S0 remplacer avec S44'!$C:$BQ,29,0)</f>
        <v>5</v>
      </c>
      <c r="G192" s="115">
        <f>VLOOKUP($A192,'S0 remplacer avec S44'!$C:$BQ,30,0)</f>
        <v>525</v>
      </c>
      <c r="H192" s="115">
        <f>VLOOKUP($A192,'S0 remplacer avec S44'!$C:$BQ,52,0)</f>
        <v>188.8</v>
      </c>
      <c r="I192" s="115">
        <f>VLOOKUP($A192,'S0 remplacer avec S44'!$C:$BQ,59,0)</f>
        <v>0</v>
      </c>
      <c r="J192" s="115">
        <f>VLOOKUP($A192,'S0 remplacer avec S44'!$C:$BQ,60,0)</f>
        <v>0</v>
      </c>
      <c r="K192" s="107" t="e">
        <f>VLOOKUP($A192,'S45'!$C:$BQ,32,0)</f>
        <v>#N/A</v>
      </c>
      <c r="L192" s="107" t="e">
        <f>VLOOKUP($A192,'S45'!$C:$BQ,39,0)</f>
        <v>#N/A</v>
      </c>
      <c r="M192" s="107" t="e">
        <f>VLOOKUP($A192,'S45'!$C:$BQ,40,0)</f>
        <v>#N/A</v>
      </c>
      <c r="N192" s="107" t="e">
        <f>VLOOKUP($A192,'S45'!$C:$BQ,22,0)</f>
        <v>#N/A</v>
      </c>
      <c r="O192" s="115" t="e">
        <f>VLOOKUP($A192,'S45'!$C:$BQ,29,0)</f>
        <v>#N/A</v>
      </c>
      <c r="P192" s="115" t="e">
        <f>VLOOKUP($A192,'S45'!$C:$BQ,30,0)</f>
        <v>#N/A</v>
      </c>
      <c r="Q192" s="115" t="e">
        <f>VLOOKUP($A192,'S45'!$C:$BQ,52,0)</f>
        <v>#N/A</v>
      </c>
      <c r="R192" s="115" t="e">
        <f>VLOOKUP($A192,'S45'!$C:$BQ,59,0)</f>
        <v>#N/A</v>
      </c>
      <c r="S192" s="115" t="e">
        <f>VLOOKUP($A192,'S45'!$C:$BQ,60,0)</f>
        <v>#N/A</v>
      </c>
      <c r="T192" s="107" t="e">
        <f>VLOOKUP($A192,'S46'!$C:$BQ,32,0)</f>
        <v>#N/A</v>
      </c>
      <c r="U192" s="107" t="e">
        <f>VLOOKUP($A192,'S46'!$C:$BQ,39,0)</f>
        <v>#N/A</v>
      </c>
      <c r="V192" s="107" t="e">
        <f>VLOOKUP($A192,'S46'!$C:$BQ,40,0)</f>
        <v>#N/A</v>
      </c>
      <c r="W192" s="107" t="e">
        <f>VLOOKUP($A192,'S46'!$C:$BQ,22,0)</f>
        <v>#N/A</v>
      </c>
      <c r="X192" s="115" t="e">
        <f>VLOOKUP($A192,'S46'!$C:$BQ,29,0)</f>
        <v>#N/A</v>
      </c>
      <c r="Y192" s="115" t="e">
        <f>VLOOKUP($A192,'S46'!$C:$BQ,30,0)</f>
        <v>#N/A</v>
      </c>
      <c r="Z192" s="115" t="e">
        <f>VLOOKUP($A192,'S46'!$C:$BQ,52,0)</f>
        <v>#N/A</v>
      </c>
      <c r="AA192" s="115" t="e">
        <f>VLOOKUP($A192,'S46'!$C:$BQ,59,0)</f>
        <v>#N/A</v>
      </c>
      <c r="AB192" s="115" t="e">
        <f>VLOOKUP($A192,'S46'!$C:$BQ,60,0)</f>
        <v>#N/A</v>
      </c>
      <c r="AC192" s="107" t="e">
        <f>VLOOKUP($A192,'S47'!$C:$BQ,32,0)</f>
        <v>#N/A</v>
      </c>
      <c r="AD192" s="107" t="e">
        <f>VLOOKUP($A192,'S47'!$C:$BQ,39,0)</f>
        <v>#N/A</v>
      </c>
      <c r="AE192" s="107" t="e">
        <f>VLOOKUP($A192,'S47'!$C:$BQ,40,0)</f>
        <v>#N/A</v>
      </c>
      <c r="AF192" s="107" t="e">
        <f>VLOOKUP($A192,'S47'!$C:$BQ,22,0)</f>
        <v>#N/A</v>
      </c>
      <c r="AG192" s="115" t="e">
        <f>VLOOKUP($A192,'S47'!$C:$BQ,29,0)</f>
        <v>#N/A</v>
      </c>
      <c r="AH192" s="115" t="e">
        <f>VLOOKUP($A192,'S47'!$C:$BQ,30,0)</f>
        <v>#N/A</v>
      </c>
      <c r="AI192" s="115" t="e">
        <f>VLOOKUP($A192,'S47'!$C:$BQ,52,0)</f>
        <v>#N/A</v>
      </c>
      <c r="AJ192" s="115" t="e">
        <f>VLOOKUP($A192,'S47'!$C:$BQ,59,0)</f>
        <v>#N/A</v>
      </c>
      <c r="AK192" s="115" t="e">
        <f>VLOOKUP($A192,'S47'!$C:$BQ,60,0)</f>
        <v>#N/A</v>
      </c>
      <c r="AL192" s="107" t="e">
        <f>VLOOKUP($A192,'S48'!$C:$BQ,32,0)</f>
        <v>#N/A</v>
      </c>
      <c r="AM192" s="107" t="e">
        <f>VLOOKUP($A192,'S48'!$C:$BQ,39,0)</f>
        <v>#N/A</v>
      </c>
      <c r="AN192" s="107" t="e">
        <f>VLOOKUP($A192,'S48'!$C:$BQ,40,0)</f>
        <v>#N/A</v>
      </c>
      <c r="AO192" s="107" t="e">
        <f>VLOOKUP($A192,'S48'!$C:$BQ,22,0)</f>
        <v>#N/A</v>
      </c>
      <c r="AP192" s="115" t="e">
        <f>VLOOKUP($A192,'S48'!$C:$BQ,29,0)</f>
        <v>#N/A</v>
      </c>
      <c r="AQ192" s="115" t="e">
        <f>VLOOKUP($A192,'S48'!$C:$BQ,30,0)</f>
        <v>#N/A</v>
      </c>
      <c r="AR192" s="115" t="e">
        <f>VLOOKUP($A192,'S48'!$C:$BQ,52,0)</f>
        <v>#N/A</v>
      </c>
      <c r="AS192" s="115" t="e">
        <f>VLOOKUP($A192,'S48'!$C:$BQ,59,0)</f>
        <v>#N/A</v>
      </c>
      <c r="AT192" s="115" t="e">
        <f>VLOOKUP($A192,'S48'!$C:$BQ,60,0)</f>
        <v>#N/A</v>
      </c>
      <c r="AU192" s="107" t="e">
        <f>VLOOKUP($A192,'S49'!$C:$BQ,32,0)</f>
        <v>#N/A</v>
      </c>
      <c r="AV192" s="107" t="e">
        <f>VLOOKUP($A192,'S49'!$C:$BQ,39,0)</f>
        <v>#N/A</v>
      </c>
      <c r="AW192" s="107" t="e">
        <f>VLOOKUP($A192,'S49'!$C:$BQ,40,0)</f>
        <v>#N/A</v>
      </c>
      <c r="AX192" s="107" t="e">
        <f>VLOOKUP($A192,'S49'!$C:$BQ,22,0)</f>
        <v>#N/A</v>
      </c>
      <c r="AY192" s="115" t="e">
        <f>VLOOKUP($A192,'S49'!$C:$BQ,29,0)</f>
        <v>#N/A</v>
      </c>
      <c r="AZ192" s="115" t="e">
        <f>VLOOKUP($A192,'S49'!$C:$BQ,30,0)</f>
        <v>#N/A</v>
      </c>
      <c r="BA192" s="115" t="e">
        <f>VLOOKUP($A192,'S49'!$C:$BQ,52,0)</f>
        <v>#N/A</v>
      </c>
      <c r="BB192" s="115" t="e">
        <f>VLOOKUP($A192,'S49'!$C:$BQ,59,0)</f>
        <v>#N/A</v>
      </c>
      <c r="BC192" s="115" t="e">
        <f>VLOOKUP($A192,'S49'!$C:$BQ,60,0)</f>
        <v>#N/A</v>
      </c>
      <c r="BD192" s="107" t="e">
        <f>VLOOKUP($A192,'S50'!$C:$BQ,32,0)</f>
        <v>#N/A</v>
      </c>
      <c r="BE192" s="107" t="e">
        <f>VLOOKUP($A192,'S50'!$C:$BQ,39,0)</f>
        <v>#N/A</v>
      </c>
      <c r="BF192" s="107" t="e">
        <f>VLOOKUP($A192,'S50'!$C:$BQ,40,0)</f>
        <v>#N/A</v>
      </c>
      <c r="BG192" s="107" t="e">
        <f>VLOOKUP($A192,'S50'!$C:$BQ,22,0)</f>
        <v>#N/A</v>
      </c>
      <c r="BH192" s="115" t="e">
        <f>VLOOKUP($A192,'S50'!$C:$BQ,29,0)</f>
        <v>#N/A</v>
      </c>
      <c r="BI192" s="115" t="e">
        <f>VLOOKUP($A192,'S50'!$C:$BQ,30,0)</f>
        <v>#N/A</v>
      </c>
      <c r="BJ192" s="115" t="e">
        <f>VLOOKUP($A192,'S50'!$C:$BQ,52,0)</f>
        <v>#N/A</v>
      </c>
      <c r="BK192" s="115" t="e">
        <f>VLOOKUP($A192,'S50'!$C:$BQ,59,0)</f>
        <v>#N/A</v>
      </c>
      <c r="BL192" s="115" t="e">
        <f>VLOOKUP($A192,'S50'!$C:$BQ,60,0)</f>
        <v>#N/A</v>
      </c>
    </row>
    <row r="193" spans="1:64" x14ac:dyDescent="0.2">
      <c r="A193" s="106" t="s">
        <v>262</v>
      </c>
      <c r="B193" s="107">
        <f>VLOOKUP($A193,'S0 remplacer avec S44'!$C:$BQ,32,0)</f>
        <v>466.6</v>
      </c>
      <c r="C193" s="107">
        <f>VLOOKUP($A193,'S0 remplacer avec S44'!$C:$BQ,39,0)</f>
        <v>139</v>
      </c>
      <c r="D193" s="107">
        <f>VLOOKUP($A193,'S0 remplacer avec S44'!$C:$BQ,40,0)</f>
        <v>260</v>
      </c>
      <c r="E193" s="107">
        <f>VLOOKUP($A193,'S0 remplacer avec S44'!$C:$BQ,22,0)</f>
        <v>4920.4223650000004</v>
      </c>
      <c r="F193" s="115">
        <f>VLOOKUP($A193,'S0 remplacer avec S44'!$C:$BQ,29,0)</f>
        <v>581</v>
      </c>
      <c r="G193" s="115">
        <f>VLOOKUP($A193,'S0 remplacer avec S44'!$C:$BQ,30,0)</f>
        <v>1682</v>
      </c>
      <c r="H193" s="115">
        <f>VLOOKUP($A193,'S0 remplacer avec S44'!$C:$BQ,52,0)</f>
        <v>318.60000000000002</v>
      </c>
      <c r="I193" s="115">
        <f>VLOOKUP($A193,'S0 remplacer avec S44'!$C:$BQ,59,0)</f>
        <v>0</v>
      </c>
      <c r="J193" s="115">
        <f>VLOOKUP($A193,'S0 remplacer avec S44'!$C:$BQ,60,0)</f>
        <v>51</v>
      </c>
      <c r="K193" s="107" t="e">
        <f>VLOOKUP($A193,'S45'!$C:$BQ,32,0)</f>
        <v>#N/A</v>
      </c>
      <c r="L193" s="107" t="e">
        <f>VLOOKUP($A193,'S45'!$C:$BQ,39,0)</f>
        <v>#N/A</v>
      </c>
      <c r="M193" s="107" t="e">
        <f>VLOOKUP($A193,'S45'!$C:$BQ,40,0)</f>
        <v>#N/A</v>
      </c>
      <c r="N193" s="107" t="e">
        <f>VLOOKUP($A193,'S45'!$C:$BQ,22,0)</f>
        <v>#N/A</v>
      </c>
      <c r="O193" s="115" t="e">
        <f>VLOOKUP($A193,'S45'!$C:$BQ,29,0)</f>
        <v>#N/A</v>
      </c>
      <c r="P193" s="115" t="e">
        <f>VLOOKUP($A193,'S45'!$C:$BQ,30,0)</f>
        <v>#N/A</v>
      </c>
      <c r="Q193" s="115" t="e">
        <f>VLOOKUP($A193,'S45'!$C:$BQ,52,0)</f>
        <v>#N/A</v>
      </c>
      <c r="R193" s="115" t="e">
        <f>VLOOKUP($A193,'S45'!$C:$BQ,59,0)</f>
        <v>#N/A</v>
      </c>
      <c r="S193" s="115" t="e">
        <f>VLOOKUP($A193,'S45'!$C:$BQ,60,0)</f>
        <v>#N/A</v>
      </c>
      <c r="T193" s="107" t="e">
        <f>VLOOKUP($A193,'S46'!$C:$BQ,32,0)</f>
        <v>#N/A</v>
      </c>
      <c r="U193" s="107" t="e">
        <f>VLOOKUP($A193,'S46'!$C:$BQ,39,0)</f>
        <v>#N/A</v>
      </c>
      <c r="V193" s="107" t="e">
        <f>VLOOKUP($A193,'S46'!$C:$BQ,40,0)</f>
        <v>#N/A</v>
      </c>
      <c r="W193" s="107" t="e">
        <f>VLOOKUP($A193,'S46'!$C:$BQ,22,0)</f>
        <v>#N/A</v>
      </c>
      <c r="X193" s="115" t="e">
        <f>VLOOKUP($A193,'S46'!$C:$BQ,29,0)</f>
        <v>#N/A</v>
      </c>
      <c r="Y193" s="115" t="e">
        <f>VLOOKUP($A193,'S46'!$C:$BQ,30,0)</f>
        <v>#N/A</v>
      </c>
      <c r="Z193" s="115" t="e">
        <f>VLOOKUP($A193,'S46'!$C:$BQ,52,0)</f>
        <v>#N/A</v>
      </c>
      <c r="AA193" s="115" t="e">
        <f>VLOOKUP($A193,'S46'!$C:$BQ,59,0)</f>
        <v>#N/A</v>
      </c>
      <c r="AB193" s="115" t="e">
        <f>VLOOKUP($A193,'S46'!$C:$BQ,60,0)</f>
        <v>#N/A</v>
      </c>
      <c r="AC193" s="107" t="e">
        <f>VLOOKUP($A193,'S47'!$C:$BQ,32,0)</f>
        <v>#N/A</v>
      </c>
      <c r="AD193" s="107" t="e">
        <f>VLOOKUP($A193,'S47'!$C:$BQ,39,0)</f>
        <v>#N/A</v>
      </c>
      <c r="AE193" s="107" t="e">
        <f>VLOOKUP($A193,'S47'!$C:$BQ,40,0)</f>
        <v>#N/A</v>
      </c>
      <c r="AF193" s="107" t="e">
        <f>VLOOKUP($A193,'S47'!$C:$BQ,22,0)</f>
        <v>#N/A</v>
      </c>
      <c r="AG193" s="115" t="e">
        <f>VLOOKUP($A193,'S47'!$C:$BQ,29,0)</f>
        <v>#N/A</v>
      </c>
      <c r="AH193" s="115" t="e">
        <f>VLOOKUP($A193,'S47'!$C:$BQ,30,0)</f>
        <v>#N/A</v>
      </c>
      <c r="AI193" s="115" t="e">
        <f>VLOOKUP($A193,'S47'!$C:$BQ,52,0)</f>
        <v>#N/A</v>
      </c>
      <c r="AJ193" s="115" t="e">
        <f>VLOOKUP($A193,'S47'!$C:$BQ,59,0)</f>
        <v>#N/A</v>
      </c>
      <c r="AK193" s="115" t="e">
        <f>VLOOKUP($A193,'S47'!$C:$BQ,60,0)</f>
        <v>#N/A</v>
      </c>
      <c r="AL193" s="107" t="e">
        <f>VLOOKUP($A193,'S48'!$C:$BQ,32,0)</f>
        <v>#N/A</v>
      </c>
      <c r="AM193" s="107" t="e">
        <f>VLOOKUP($A193,'S48'!$C:$BQ,39,0)</f>
        <v>#N/A</v>
      </c>
      <c r="AN193" s="107" t="e">
        <f>VLOOKUP($A193,'S48'!$C:$BQ,40,0)</f>
        <v>#N/A</v>
      </c>
      <c r="AO193" s="107" t="e">
        <f>VLOOKUP($A193,'S48'!$C:$BQ,22,0)</f>
        <v>#N/A</v>
      </c>
      <c r="AP193" s="115" t="e">
        <f>VLOOKUP($A193,'S48'!$C:$BQ,29,0)</f>
        <v>#N/A</v>
      </c>
      <c r="AQ193" s="115" t="e">
        <f>VLOOKUP($A193,'S48'!$C:$BQ,30,0)</f>
        <v>#N/A</v>
      </c>
      <c r="AR193" s="115" t="e">
        <f>VLOOKUP($A193,'S48'!$C:$BQ,52,0)</f>
        <v>#N/A</v>
      </c>
      <c r="AS193" s="115" t="e">
        <f>VLOOKUP($A193,'S48'!$C:$BQ,59,0)</f>
        <v>#N/A</v>
      </c>
      <c r="AT193" s="115" t="e">
        <f>VLOOKUP($A193,'S48'!$C:$BQ,60,0)</f>
        <v>#N/A</v>
      </c>
      <c r="AU193" s="107" t="e">
        <f>VLOOKUP($A193,'S49'!$C:$BQ,32,0)</f>
        <v>#N/A</v>
      </c>
      <c r="AV193" s="107" t="e">
        <f>VLOOKUP($A193,'S49'!$C:$BQ,39,0)</f>
        <v>#N/A</v>
      </c>
      <c r="AW193" s="107" t="e">
        <f>VLOOKUP($A193,'S49'!$C:$BQ,40,0)</f>
        <v>#N/A</v>
      </c>
      <c r="AX193" s="107" t="e">
        <f>VLOOKUP($A193,'S49'!$C:$BQ,22,0)</f>
        <v>#N/A</v>
      </c>
      <c r="AY193" s="115" t="e">
        <f>VLOOKUP($A193,'S49'!$C:$BQ,29,0)</f>
        <v>#N/A</v>
      </c>
      <c r="AZ193" s="115" t="e">
        <f>VLOOKUP($A193,'S49'!$C:$BQ,30,0)</f>
        <v>#N/A</v>
      </c>
      <c r="BA193" s="115" t="e">
        <f>VLOOKUP($A193,'S49'!$C:$BQ,52,0)</f>
        <v>#N/A</v>
      </c>
      <c r="BB193" s="115" t="e">
        <f>VLOOKUP($A193,'S49'!$C:$BQ,59,0)</f>
        <v>#N/A</v>
      </c>
      <c r="BC193" s="115" t="e">
        <f>VLOOKUP($A193,'S49'!$C:$BQ,60,0)</f>
        <v>#N/A</v>
      </c>
      <c r="BD193" s="107" t="e">
        <f>VLOOKUP($A193,'S50'!$C:$BQ,32,0)</f>
        <v>#N/A</v>
      </c>
      <c r="BE193" s="107" t="e">
        <f>VLOOKUP($A193,'S50'!$C:$BQ,39,0)</f>
        <v>#N/A</v>
      </c>
      <c r="BF193" s="107" t="e">
        <f>VLOOKUP($A193,'S50'!$C:$BQ,40,0)</f>
        <v>#N/A</v>
      </c>
      <c r="BG193" s="107" t="e">
        <f>VLOOKUP($A193,'S50'!$C:$BQ,22,0)</f>
        <v>#N/A</v>
      </c>
      <c r="BH193" s="115" t="e">
        <f>VLOOKUP($A193,'S50'!$C:$BQ,29,0)</f>
        <v>#N/A</v>
      </c>
      <c r="BI193" s="115" t="e">
        <f>VLOOKUP($A193,'S50'!$C:$BQ,30,0)</f>
        <v>#N/A</v>
      </c>
      <c r="BJ193" s="115" t="e">
        <f>VLOOKUP($A193,'S50'!$C:$BQ,52,0)</f>
        <v>#N/A</v>
      </c>
      <c r="BK193" s="115" t="e">
        <f>VLOOKUP($A193,'S50'!$C:$BQ,59,0)</f>
        <v>#N/A</v>
      </c>
      <c r="BL193" s="115" t="e">
        <f>VLOOKUP($A193,'S50'!$C:$BQ,60,0)</f>
        <v>#N/A</v>
      </c>
    </row>
    <row r="194" spans="1:64" x14ac:dyDescent="0.2">
      <c r="A194" s="106" t="s">
        <v>263</v>
      </c>
      <c r="B194" s="107">
        <f>VLOOKUP($A194,'S0 remplacer avec S44'!$C:$BQ,32,0)</f>
        <v>224.15</v>
      </c>
      <c r="C194" s="107">
        <f>VLOOKUP($A194,'S0 remplacer avec S44'!$C:$BQ,39,0)</f>
        <v>66</v>
      </c>
      <c r="D194" s="107">
        <f>VLOOKUP($A194,'S0 remplacer avec S44'!$C:$BQ,40,0)</f>
        <v>124</v>
      </c>
      <c r="E194" s="107">
        <f>VLOOKUP($A194,'S0 remplacer avec S44'!$C:$BQ,22,0)</f>
        <v>2547.8084650000001</v>
      </c>
      <c r="F194" s="115">
        <f>VLOOKUP($A194,'S0 remplacer avec S44'!$C:$BQ,29,0)</f>
        <v>85</v>
      </c>
      <c r="G194" s="115">
        <f>VLOOKUP($A194,'S0 remplacer avec S44'!$C:$BQ,30,0)</f>
        <v>611</v>
      </c>
      <c r="H194" s="115">
        <f>VLOOKUP($A194,'S0 remplacer avec S44'!$C:$BQ,52,0)</f>
        <v>134</v>
      </c>
      <c r="I194" s="115">
        <f>VLOOKUP($A194,'S0 remplacer avec S44'!$C:$BQ,59,0)</f>
        <v>13</v>
      </c>
      <c r="J194" s="115">
        <f>VLOOKUP($A194,'S0 remplacer avec S44'!$C:$BQ,60,0)</f>
        <v>43</v>
      </c>
      <c r="K194" s="107" t="e">
        <f>VLOOKUP($A194,'S45'!$C:$BQ,32,0)</f>
        <v>#N/A</v>
      </c>
      <c r="L194" s="107" t="e">
        <f>VLOOKUP($A194,'S45'!$C:$BQ,39,0)</f>
        <v>#N/A</v>
      </c>
      <c r="M194" s="107" t="e">
        <f>VLOOKUP($A194,'S45'!$C:$BQ,40,0)</f>
        <v>#N/A</v>
      </c>
      <c r="N194" s="107" t="e">
        <f>VLOOKUP($A194,'S45'!$C:$BQ,22,0)</f>
        <v>#N/A</v>
      </c>
      <c r="O194" s="115" t="e">
        <f>VLOOKUP($A194,'S45'!$C:$BQ,29,0)</f>
        <v>#N/A</v>
      </c>
      <c r="P194" s="115" t="e">
        <f>VLOOKUP($A194,'S45'!$C:$BQ,30,0)</f>
        <v>#N/A</v>
      </c>
      <c r="Q194" s="115" t="e">
        <f>VLOOKUP($A194,'S45'!$C:$BQ,52,0)</f>
        <v>#N/A</v>
      </c>
      <c r="R194" s="115" t="e">
        <f>VLOOKUP($A194,'S45'!$C:$BQ,59,0)</f>
        <v>#N/A</v>
      </c>
      <c r="S194" s="115" t="e">
        <f>VLOOKUP($A194,'S45'!$C:$BQ,60,0)</f>
        <v>#N/A</v>
      </c>
      <c r="T194" s="107" t="e">
        <f>VLOOKUP($A194,'S46'!$C:$BQ,32,0)</f>
        <v>#N/A</v>
      </c>
      <c r="U194" s="107" t="e">
        <f>VLOOKUP($A194,'S46'!$C:$BQ,39,0)</f>
        <v>#N/A</v>
      </c>
      <c r="V194" s="107" t="e">
        <f>VLOOKUP($A194,'S46'!$C:$BQ,40,0)</f>
        <v>#N/A</v>
      </c>
      <c r="W194" s="107" t="e">
        <f>VLOOKUP($A194,'S46'!$C:$BQ,22,0)</f>
        <v>#N/A</v>
      </c>
      <c r="X194" s="115" t="e">
        <f>VLOOKUP($A194,'S46'!$C:$BQ,29,0)</f>
        <v>#N/A</v>
      </c>
      <c r="Y194" s="115" t="e">
        <f>VLOOKUP($A194,'S46'!$C:$BQ,30,0)</f>
        <v>#N/A</v>
      </c>
      <c r="Z194" s="115" t="e">
        <f>VLOOKUP($A194,'S46'!$C:$BQ,52,0)</f>
        <v>#N/A</v>
      </c>
      <c r="AA194" s="115" t="e">
        <f>VLOOKUP($A194,'S46'!$C:$BQ,59,0)</f>
        <v>#N/A</v>
      </c>
      <c r="AB194" s="115" t="e">
        <f>VLOOKUP($A194,'S46'!$C:$BQ,60,0)</f>
        <v>#N/A</v>
      </c>
      <c r="AC194" s="107" t="e">
        <f>VLOOKUP($A194,'S47'!$C:$BQ,32,0)</f>
        <v>#N/A</v>
      </c>
      <c r="AD194" s="107" t="e">
        <f>VLOOKUP($A194,'S47'!$C:$BQ,39,0)</f>
        <v>#N/A</v>
      </c>
      <c r="AE194" s="107" t="e">
        <f>VLOOKUP($A194,'S47'!$C:$BQ,40,0)</f>
        <v>#N/A</v>
      </c>
      <c r="AF194" s="107" t="e">
        <f>VLOOKUP($A194,'S47'!$C:$BQ,22,0)</f>
        <v>#N/A</v>
      </c>
      <c r="AG194" s="115" t="e">
        <f>VLOOKUP($A194,'S47'!$C:$BQ,29,0)</f>
        <v>#N/A</v>
      </c>
      <c r="AH194" s="115" t="e">
        <f>VLOOKUP($A194,'S47'!$C:$BQ,30,0)</f>
        <v>#N/A</v>
      </c>
      <c r="AI194" s="115" t="e">
        <f>VLOOKUP($A194,'S47'!$C:$BQ,52,0)</f>
        <v>#N/A</v>
      </c>
      <c r="AJ194" s="115" t="e">
        <f>VLOOKUP($A194,'S47'!$C:$BQ,59,0)</f>
        <v>#N/A</v>
      </c>
      <c r="AK194" s="115" t="e">
        <f>VLOOKUP($A194,'S47'!$C:$BQ,60,0)</f>
        <v>#N/A</v>
      </c>
      <c r="AL194" s="107" t="e">
        <f>VLOOKUP($A194,'S48'!$C:$BQ,32,0)</f>
        <v>#N/A</v>
      </c>
      <c r="AM194" s="107" t="e">
        <f>VLOOKUP($A194,'S48'!$C:$BQ,39,0)</f>
        <v>#N/A</v>
      </c>
      <c r="AN194" s="107" t="e">
        <f>VLOOKUP($A194,'S48'!$C:$BQ,40,0)</f>
        <v>#N/A</v>
      </c>
      <c r="AO194" s="107" t="e">
        <f>VLOOKUP($A194,'S48'!$C:$BQ,22,0)</f>
        <v>#N/A</v>
      </c>
      <c r="AP194" s="115" t="e">
        <f>VLOOKUP($A194,'S48'!$C:$BQ,29,0)</f>
        <v>#N/A</v>
      </c>
      <c r="AQ194" s="115" t="e">
        <f>VLOOKUP($A194,'S48'!$C:$BQ,30,0)</f>
        <v>#N/A</v>
      </c>
      <c r="AR194" s="115" t="e">
        <f>VLOOKUP($A194,'S48'!$C:$BQ,52,0)</f>
        <v>#N/A</v>
      </c>
      <c r="AS194" s="115" t="e">
        <f>VLOOKUP($A194,'S48'!$C:$BQ,59,0)</f>
        <v>#N/A</v>
      </c>
      <c r="AT194" s="115" t="e">
        <f>VLOOKUP($A194,'S48'!$C:$BQ,60,0)</f>
        <v>#N/A</v>
      </c>
      <c r="AU194" s="107" t="e">
        <f>VLOOKUP($A194,'S49'!$C:$BQ,32,0)</f>
        <v>#N/A</v>
      </c>
      <c r="AV194" s="107" t="e">
        <f>VLOOKUP($A194,'S49'!$C:$BQ,39,0)</f>
        <v>#N/A</v>
      </c>
      <c r="AW194" s="107" t="e">
        <f>VLOOKUP($A194,'S49'!$C:$BQ,40,0)</f>
        <v>#N/A</v>
      </c>
      <c r="AX194" s="107" t="e">
        <f>VLOOKUP($A194,'S49'!$C:$BQ,22,0)</f>
        <v>#N/A</v>
      </c>
      <c r="AY194" s="115" t="e">
        <f>VLOOKUP($A194,'S49'!$C:$BQ,29,0)</f>
        <v>#N/A</v>
      </c>
      <c r="AZ194" s="115" t="e">
        <f>VLOOKUP($A194,'S49'!$C:$BQ,30,0)</f>
        <v>#N/A</v>
      </c>
      <c r="BA194" s="115" t="e">
        <f>VLOOKUP($A194,'S49'!$C:$BQ,52,0)</f>
        <v>#N/A</v>
      </c>
      <c r="BB194" s="115" t="e">
        <f>VLOOKUP($A194,'S49'!$C:$BQ,59,0)</f>
        <v>#N/A</v>
      </c>
      <c r="BC194" s="115" t="e">
        <f>VLOOKUP($A194,'S49'!$C:$BQ,60,0)</f>
        <v>#N/A</v>
      </c>
      <c r="BD194" s="107" t="e">
        <f>VLOOKUP($A194,'S50'!$C:$BQ,32,0)</f>
        <v>#N/A</v>
      </c>
      <c r="BE194" s="107" t="e">
        <f>VLOOKUP($A194,'S50'!$C:$BQ,39,0)</f>
        <v>#N/A</v>
      </c>
      <c r="BF194" s="107" t="e">
        <f>VLOOKUP($A194,'S50'!$C:$BQ,40,0)</f>
        <v>#N/A</v>
      </c>
      <c r="BG194" s="107" t="e">
        <f>VLOOKUP($A194,'S50'!$C:$BQ,22,0)</f>
        <v>#N/A</v>
      </c>
      <c r="BH194" s="115" t="e">
        <f>VLOOKUP($A194,'S50'!$C:$BQ,29,0)</f>
        <v>#N/A</v>
      </c>
      <c r="BI194" s="115" t="e">
        <f>VLOOKUP($A194,'S50'!$C:$BQ,30,0)</f>
        <v>#N/A</v>
      </c>
      <c r="BJ194" s="115" t="e">
        <f>VLOOKUP($A194,'S50'!$C:$BQ,52,0)</f>
        <v>#N/A</v>
      </c>
      <c r="BK194" s="115" t="e">
        <f>VLOOKUP($A194,'S50'!$C:$BQ,59,0)</f>
        <v>#N/A</v>
      </c>
      <c r="BL194" s="115" t="e">
        <f>VLOOKUP($A194,'S50'!$C:$BQ,60,0)</f>
        <v>#N/A</v>
      </c>
    </row>
    <row r="195" spans="1:64" x14ac:dyDescent="0.2">
      <c r="A195" s="106" t="s">
        <v>264</v>
      </c>
      <c r="B195" s="107">
        <f>VLOOKUP($A195,'S0 remplacer avec S44'!$C:$BQ,32,0)</f>
        <v>103.8</v>
      </c>
      <c r="C195" s="107">
        <f>VLOOKUP($A195,'S0 remplacer avec S44'!$C:$BQ,39,0)</f>
        <v>20</v>
      </c>
      <c r="D195" s="107">
        <f>VLOOKUP($A195,'S0 remplacer avec S44'!$C:$BQ,40,0)</f>
        <v>45</v>
      </c>
      <c r="E195" s="107">
        <f>VLOOKUP($A195,'S0 remplacer avec S44'!$C:$BQ,22,0)</f>
        <v>1296.9192350000001</v>
      </c>
      <c r="F195" s="115">
        <f>VLOOKUP($A195,'S0 remplacer avec S44'!$C:$BQ,29,0)</f>
        <v>0</v>
      </c>
      <c r="G195" s="115">
        <f>VLOOKUP($A195,'S0 remplacer avec S44'!$C:$BQ,30,0)</f>
        <v>49</v>
      </c>
      <c r="H195" s="115">
        <f>VLOOKUP($A195,'S0 remplacer avec S44'!$C:$BQ,52,0)</f>
        <v>63.8</v>
      </c>
      <c r="I195" s="115">
        <f>VLOOKUP($A195,'S0 remplacer avec S44'!$C:$BQ,59,0)</f>
        <v>0</v>
      </c>
      <c r="J195" s="115">
        <f>VLOOKUP($A195,'S0 remplacer avec S44'!$C:$BQ,60,0)</f>
        <v>12</v>
      </c>
      <c r="K195" s="107" t="e">
        <f>VLOOKUP($A195,'S45'!$C:$BQ,32,0)</f>
        <v>#N/A</v>
      </c>
      <c r="L195" s="107" t="e">
        <f>VLOOKUP($A195,'S45'!$C:$BQ,39,0)</f>
        <v>#N/A</v>
      </c>
      <c r="M195" s="107" t="e">
        <f>VLOOKUP($A195,'S45'!$C:$BQ,40,0)</f>
        <v>#N/A</v>
      </c>
      <c r="N195" s="107" t="e">
        <f>VLOOKUP($A195,'S45'!$C:$BQ,22,0)</f>
        <v>#N/A</v>
      </c>
      <c r="O195" s="115" t="e">
        <f>VLOOKUP($A195,'S45'!$C:$BQ,29,0)</f>
        <v>#N/A</v>
      </c>
      <c r="P195" s="115" t="e">
        <f>VLOOKUP($A195,'S45'!$C:$BQ,30,0)</f>
        <v>#N/A</v>
      </c>
      <c r="Q195" s="115" t="e">
        <f>VLOOKUP($A195,'S45'!$C:$BQ,52,0)</f>
        <v>#N/A</v>
      </c>
      <c r="R195" s="115" t="e">
        <f>VLOOKUP($A195,'S45'!$C:$BQ,59,0)</f>
        <v>#N/A</v>
      </c>
      <c r="S195" s="115" t="e">
        <f>VLOOKUP($A195,'S45'!$C:$BQ,60,0)</f>
        <v>#N/A</v>
      </c>
      <c r="T195" s="107" t="e">
        <f>VLOOKUP($A195,'S46'!$C:$BQ,32,0)</f>
        <v>#N/A</v>
      </c>
      <c r="U195" s="107" t="e">
        <f>VLOOKUP($A195,'S46'!$C:$BQ,39,0)</f>
        <v>#N/A</v>
      </c>
      <c r="V195" s="107" t="e">
        <f>VLOOKUP($A195,'S46'!$C:$BQ,40,0)</f>
        <v>#N/A</v>
      </c>
      <c r="W195" s="107" t="e">
        <f>VLOOKUP($A195,'S46'!$C:$BQ,22,0)</f>
        <v>#N/A</v>
      </c>
      <c r="X195" s="115" t="e">
        <f>VLOOKUP($A195,'S46'!$C:$BQ,29,0)</f>
        <v>#N/A</v>
      </c>
      <c r="Y195" s="115" t="e">
        <f>VLOOKUP($A195,'S46'!$C:$BQ,30,0)</f>
        <v>#N/A</v>
      </c>
      <c r="Z195" s="115" t="e">
        <f>VLOOKUP($A195,'S46'!$C:$BQ,52,0)</f>
        <v>#N/A</v>
      </c>
      <c r="AA195" s="115" t="e">
        <f>VLOOKUP($A195,'S46'!$C:$BQ,59,0)</f>
        <v>#N/A</v>
      </c>
      <c r="AB195" s="115" t="e">
        <f>VLOOKUP($A195,'S46'!$C:$BQ,60,0)</f>
        <v>#N/A</v>
      </c>
      <c r="AC195" s="107" t="e">
        <f>VLOOKUP($A195,'S47'!$C:$BQ,32,0)</f>
        <v>#N/A</v>
      </c>
      <c r="AD195" s="107" t="e">
        <f>VLOOKUP($A195,'S47'!$C:$BQ,39,0)</f>
        <v>#N/A</v>
      </c>
      <c r="AE195" s="107" t="e">
        <f>VLOOKUP($A195,'S47'!$C:$BQ,40,0)</f>
        <v>#N/A</v>
      </c>
      <c r="AF195" s="107" t="e">
        <f>VLOOKUP($A195,'S47'!$C:$BQ,22,0)</f>
        <v>#N/A</v>
      </c>
      <c r="AG195" s="115" t="e">
        <f>VLOOKUP($A195,'S47'!$C:$BQ,29,0)</f>
        <v>#N/A</v>
      </c>
      <c r="AH195" s="115" t="e">
        <f>VLOOKUP($A195,'S47'!$C:$BQ,30,0)</f>
        <v>#N/A</v>
      </c>
      <c r="AI195" s="115" t="e">
        <f>VLOOKUP($A195,'S47'!$C:$BQ,52,0)</f>
        <v>#N/A</v>
      </c>
      <c r="AJ195" s="115" t="e">
        <f>VLOOKUP($A195,'S47'!$C:$BQ,59,0)</f>
        <v>#N/A</v>
      </c>
      <c r="AK195" s="115" t="e">
        <f>VLOOKUP($A195,'S47'!$C:$BQ,60,0)</f>
        <v>#N/A</v>
      </c>
      <c r="AL195" s="107" t="e">
        <f>VLOOKUP($A195,'S48'!$C:$BQ,32,0)</f>
        <v>#N/A</v>
      </c>
      <c r="AM195" s="107" t="e">
        <f>VLOOKUP($A195,'S48'!$C:$BQ,39,0)</f>
        <v>#N/A</v>
      </c>
      <c r="AN195" s="107" t="e">
        <f>VLOOKUP($A195,'S48'!$C:$BQ,40,0)</f>
        <v>#N/A</v>
      </c>
      <c r="AO195" s="107" t="e">
        <f>VLOOKUP($A195,'S48'!$C:$BQ,22,0)</f>
        <v>#N/A</v>
      </c>
      <c r="AP195" s="115" t="e">
        <f>VLOOKUP($A195,'S48'!$C:$BQ,29,0)</f>
        <v>#N/A</v>
      </c>
      <c r="AQ195" s="115" t="e">
        <f>VLOOKUP($A195,'S48'!$C:$BQ,30,0)</f>
        <v>#N/A</v>
      </c>
      <c r="AR195" s="115" t="e">
        <f>VLOOKUP($A195,'S48'!$C:$BQ,52,0)</f>
        <v>#N/A</v>
      </c>
      <c r="AS195" s="115" t="e">
        <f>VLOOKUP($A195,'S48'!$C:$BQ,59,0)</f>
        <v>#N/A</v>
      </c>
      <c r="AT195" s="115" t="e">
        <f>VLOOKUP($A195,'S48'!$C:$BQ,60,0)</f>
        <v>#N/A</v>
      </c>
      <c r="AU195" s="107" t="e">
        <f>VLOOKUP($A195,'S49'!$C:$BQ,32,0)</f>
        <v>#N/A</v>
      </c>
      <c r="AV195" s="107" t="e">
        <f>VLOOKUP($A195,'S49'!$C:$BQ,39,0)</f>
        <v>#N/A</v>
      </c>
      <c r="AW195" s="107" t="e">
        <f>VLOOKUP($A195,'S49'!$C:$BQ,40,0)</f>
        <v>#N/A</v>
      </c>
      <c r="AX195" s="107" t="e">
        <f>VLOOKUP($A195,'S49'!$C:$BQ,22,0)</f>
        <v>#N/A</v>
      </c>
      <c r="AY195" s="115" t="e">
        <f>VLOOKUP($A195,'S49'!$C:$BQ,29,0)</f>
        <v>#N/A</v>
      </c>
      <c r="AZ195" s="115" t="e">
        <f>VLOOKUP($A195,'S49'!$C:$BQ,30,0)</f>
        <v>#N/A</v>
      </c>
      <c r="BA195" s="115" t="e">
        <f>VLOOKUP($A195,'S49'!$C:$BQ,52,0)</f>
        <v>#N/A</v>
      </c>
      <c r="BB195" s="115" t="e">
        <f>VLOOKUP($A195,'S49'!$C:$BQ,59,0)</f>
        <v>#N/A</v>
      </c>
      <c r="BC195" s="115" t="e">
        <f>VLOOKUP($A195,'S49'!$C:$BQ,60,0)</f>
        <v>#N/A</v>
      </c>
      <c r="BD195" s="107" t="e">
        <f>VLOOKUP($A195,'S50'!$C:$BQ,32,0)</f>
        <v>#N/A</v>
      </c>
      <c r="BE195" s="107" t="e">
        <f>VLOOKUP($A195,'S50'!$C:$BQ,39,0)</f>
        <v>#N/A</v>
      </c>
      <c r="BF195" s="107" t="e">
        <f>VLOOKUP($A195,'S50'!$C:$BQ,40,0)</f>
        <v>#N/A</v>
      </c>
      <c r="BG195" s="107" t="e">
        <f>VLOOKUP($A195,'S50'!$C:$BQ,22,0)</f>
        <v>#N/A</v>
      </c>
      <c r="BH195" s="115" t="e">
        <f>VLOOKUP($A195,'S50'!$C:$BQ,29,0)</f>
        <v>#N/A</v>
      </c>
      <c r="BI195" s="115" t="e">
        <f>VLOOKUP($A195,'S50'!$C:$BQ,30,0)</f>
        <v>#N/A</v>
      </c>
      <c r="BJ195" s="115" t="e">
        <f>VLOOKUP($A195,'S50'!$C:$BQ,52,0)</f>
        <v>#N/A</v>
      </c>
      <c r="BK195" s="115" t="e">
        <f>VLOOKUP($A195,'S50'!$C:$BQ,59,0)</f>
        <v>#N/A</v>
      </c>
      <c r="BL195" s="115" t="e">
        <f>VLOOKUP($A195,'S50'!$C:$BQ,60,0)</f>
        <v>#N/A</v>
      </c>
    </row>
    <row r="196" spans="1:64" x14ac:dyDescent="0.2">
      <c r="A196" s="106" t="s">
        <v>265</v>
      </c>
      <c r="B196" s="107">
        <f>VLOOKUP($A196,'S0 remplacer avec S44'!$C:$BQ,32,0)</f>
        <v>103.7</v>
      </c>
      <c r="C196" s="107">
        <f>VLOOKUP($A196,'S0 remplacer avec S44'!$C:$BQ,39,0)</f>
        <v>63</v>
      </c>
      <c r="D196" s="107">
        <f>VLOOKUP($A196,'S0 remplacer avec S44'!$C:$BQ,40,0)</f>
        <v>96</v>
      </c>
      <c r="E196" s="107">
        <f>VLOOKUP($A196,'S0 remplacer avec S44'!$C:$BQ,22,0)</f>
        <v>1211.6740950000001</v>
      </c>
      <c r="F196" s="115">
        <f>VLOOKUP($A196,'S0 remplacer avec S44'!$C:$BQ,29,0)</f>
        <v>302</v>
      </c>
      <c r="G196" s="115">
        <f>VLOOKUP($A196,'S0 remplacer avec S44'!$C:$BQ,30,0)</f>
        <v>604</v>
      </c>
      <c r="H196" s="115">
        <f>VLOOKUP($A196,'S0 remplacer avec S44'!$C:$BQ,52,0)</f>
        <v>75.2</v>
      </c>
      <c r="I196" s="115">
        <f>VLOOKUP($A196,'S0 remplacer avec S44'!$C:$BQ,59,0)</f>
        <v>10</v>
      </c>
      <c r="J196" s="115">
        <f>VLOOKUP($A196,'S0 remplacer avec S44'!$C:$BQ,60,0)</f>
        <v>27</v>
      </c>
      <c r="K196" s="107" t="e">
        <f>VLOOKUP($A196,'S45'!$C:$BQ,32,0)</f>
        <v>#N/A</v>
      </c>
      <c r="L196" s="107" t="e">
        <f>VLOOKUP($A196,'S45'!$C:$BQ,39,0)</f>
        <v>#N/A</v>
      </c>
      <c r="M196" s="107" t="e">
        <f>VLOOKUP($A196,'S45'!$C:$BQ,40,0)</f>
        <v>#N/A</v>
      </c>
      <c r="N196" s="107" t="e">
        <f>VLOOKUP($A196,'S45'!$C:$BQ,22,0)</f>
        <v>#N/A</v>
      </c>
      <c r="O196" s="115" t="e">
        <f>VLOOKUP($A196,'S45'!$C:$BQ,29,0)</f>
        <v>#N/A</v>
      </c>
      <c r="P196" s="115" t="e">
        <f>VLOOKUP($A196,'S45'!$C:$BQ,30,0)</f>
        <v>#N/A</v>
      </c>
      <c r="Q196" s="115" t="e">
        <f>VLOOKUP($A196,'S45'!$C:$BQ,52,0)</f>
        <v>#N/A</v>
      </c>
      <c r="R196" s="115" t="e">
        <f>VLOOKUP($A196,'S45'!$C:$BQ,59,0)</f>
        <v>#N/A</v>
      </c>
      <c r="S196" s="115" t="e">
        <f>VLOOKUP($A196,'S45'!$C:$BQ,60,0)</f>
        <v>#N/A</v>
      </c>
      <c r="T196" s="107" t="e">
        <f>VLOOKUP($A196,'S46'!$C:$BQ,32,0)</f>
        <v>#N/A</v>
      </c>
      <c r="U196" s="107" t="e">
        <f>VLOOKUP($A196,'S46'!$C:$BQ,39,0)</f>
        <v>#N/A</v>
      </c>
      <c r="V196" s="107" t="e">
        <f>VLOOKUP($A196,'S46'!$C:$BQ,40,0)</f>
        <v>#N/A</v>
      </c>
      <c r="W196" s="107" t="e">
        <f>VLOOKUP($A196,'S46'!$C:$BQ,22,0)</f>
        <v>#N/A</v>
      </c>
      <c r="X196" s="115" t="e">
        <f>VLOOKUP($A196,'S46'!$C:$BQ,29,0)</f>
        <v>#N/A</v>
      </c>
      <c r="Y196" s="115" t="e">
        <f>VLOOKUP($A196,'S46'!$C:$BQ,30,0)</f>
        <v>#N/A</v>
      </c>
      <c r="Z196" s="115" t="e">
        <f>VLOOKUP($A196,'S46'!$C:$BQ,52,0)</f>
        <v>#N/A</v>
      </c>
      <c r="AA196" s="115" t="e">
        <f>VLOOKUP($A196,'S46'!$C:$BQ,59,0)</f>
        <v>#N/A</v>
      </c>
      <c r="AB196" s="115" t="e">
        <f>VLOOKUP($A196,'S46'!$C:$BQ,60,0)</f>
        <v>#N/A</v>
      </c>
      <c r="AC196" s="107" t="e">
        <f>VLOOKUP($A196,'S47'!$C:$BQ,32,0)</f>
        <v>#N/A</v>
      </c>
      <c r="AD196" s="107" t="e">
        <f>VLOOKUP($A196,'S47'!$C:$BQ,39,0)</f>
        <v>#N/A</v>
      </c>
      <c r="AE196" s="107" t="e">
        <f>VLOOKUP($A196,'S47'!$C:$BQ,40,0)</f>
        <v>#N/A</v>
      </c>
      <c r="AF196" s="107" t="e">
        <f>VLOOKUP($A196,'S47'!$C:$BQ,22,0)</f>
        <v>#N/A</v>
      </c>
      <c r="AG196" s="115" t="e">
        <f>VLOOKUP($A196,'S47'!$C:$BQ,29,0)</f>
        <v>#N/A</v>
      </c>
      <c r="AH196" s="115" t="e">
        <f>VLOOKUP($A196,'S47'!$C:$BQ,30,0)</f>
        <v>#N/A</v>
      </c>
      <c r="AI196" s="115" t="e">
        <f>VLOOKUP($A196,'S47'!$C:$BQ,52,0)</f>
        <v>#N/A</v>
      </c>
      <c r="AJ196" s="115" t="e">
        <f>VLOOKUP($A196,'S47'!$C:$BQ,59,0)</f>
        <v>#N/A</v>
      </c>
      <c r="AK196" s="115" t="e">
        <f>VLOOKUP($A196,'S47'!$C:$BQ,60,0)</f>
        <v>#N/A</v>
      </c>
      <c r="AL196" s="107" t="e">
        <f>VLOOKUP($A196,'S48'!$C:$BQ,32,0)</f>
        <v>#N/A</v>
      </c>
      <c r="AM196" s="107" t="e">
        <f>VLOOKUP($A196,'S48'!$C:$BQ,39,0)</f>
        <v>#N/A</v>
      </c>
      <c r="AN196" s="107" t="e">
        <f>VLOOKUP($A196,'S48'!$C:$BQ,40,0)</f>
        <v>#N/A</v>
      </c>
      <c r="AO196" s="107" t="e">
        <f>VLOOKUP($A196,'S48'!$C:$BQ,22,0)</f>
        <v>#N/A</v>
      </c>
      <c r="AP196" s="115" t="e">
        <f>VLOOKUP($A196,'S48'!$C:$BQ,29,0)</f>
        <v>#N/A</v>
      </c>
      <c r="AQ196" s="115" t="e">
        <f>VLOOKUP($A196,'S48'!$C:$BQ,30,0)</f>
        <v>#N/A</v>
      </c>
      <c r="AR196" s="115" t="e">
        <f>VLOOKUP($A196,'S48'!$C:$BQ,52,0)</f>
        <v>#N/A</v>
      </c>
      <c r="AS196" s="115" t="e">
        <f>VLOOKUP($A196,'S48'!$C:$BQ,59,0)</f>
        <v>#N/A</v>
      </c>
      <c r="AT196" s="115" t="e">
        <f>VLOOKUP($A196,'S48'!$C:$BQ,60,0)</f>
        <v>#N/A</v>
      </c>
      <c r="AU196" s="107" t="e">
        <f>VLOOKUP($A196,'S49'!$C:$BQ,32,0)</f>
        <v>#N/A</v>
      </c>
      <c r="AV196" s="107" t="e">
        <f>VLOOKUP($A196,'S49'!$C:$BQ,39,0)</f>
        <v>#N/A</v>
      </c>
      <c r="AW196" s="107" t="e">
        <f>VLOOKUP($A196,'S49'!$C:$BQ,40,0)</f>
        <v>#N/A</v>
      </c>
      <c r="AX196" s="107" t="e">
        <f>VLOOKUP($A196,'S49'!$C:$BQ,22,0)</f>
        <v>#N/A</v>
      </c>
      <c r="AY196" s="115" t="e">
        <f>VLOOKUP($A196,'S49'!$C:$BQ,29,0)</f>
        <v>#N/A</v>
      </c>
      <c r="AZ196" s="115" t="e">
        <f>VLOOKUP($A196,'S49'!$C:$BQ,30,0)</f>
        <v>#N/A</v>
      </c>
      <c r="BA196" s="115" t="e">
        <f>VLOOKUP($A196,'S49'!$C:$BQ,52,0)</f>
        <v>#N/A</v>
      </c>
      <c r="BB196" s="115" t="e">
        <f>VLOOKUP($A196,'S49'!$C:$BQ,59,0)</f>
        <v>#N/A</v>
      </c>
      <c r="BC196" s="115" t="e">
        <f>VLOOKUP($A196,'S49'!$C:$BQ,60,0)</f>
        <v>#N/A</v>
      </c>
      <c r="BD196" s="107" t="e">
        <f>VLOOKUP($A196,'S50'!$C:$BQ,32,0)</f>
        <v>#N/A</v>
      </c>
      <c r="BE196" s="107" t="e">
        <f>VLOOKUP($A196,'S50'!$C:$BQ,39,0)</f>
        <v>#N/A</v>
      </c>
      <c r="BF196" s="107" t="e">
        <f>VLOOKUP($A196,'S50'!$C:$BQ,40,0)</f>
        <v>#N/A</v>
      </c>
      <c r="BG196" s="107" t="e">
        <f>VLOOKUP($A196,'S50'!$C:$BQ,22,0)</f>
        <v>#N/A</v>
      </c>
      <c r="BH196" s="115" t="e">
        <f>VLOOKUP($A196,'S50'!$C:$BQ,29,0)</f>
        <v>#N/A</v>
      </c>
      <c r="BI196" s="115" t="e">
        <f>VLOOKUP($A196,'S50'!$C:$BQ,30,0)</f>
        <v>#N/A</v>
      </c>
      <c r="BJ196" s="115" t="e">
        <f>VLOOKUP($A196,'S50'!$C:$BQ,52,0)</f>
        <v>#N/A</v>
      </c>
      <c r="BK196" s="115" t="e">
        <f>VLOOKUP($A196,'S50'!$C:$BQ,59,0)</f>
        <v>#N/A</v>
      </c>
      <c r="BL196" s="115" t="e">
        <f>VLOOKUP($A196,'S50'!$C:$BQ,60,0)</f>
        <v>#N/A</v>
      </c>
    </row>
    <row r="197" spans="1:64" x14ac:dyDescent="0.2">
      <c r="A197" s="106" t="s">
        <v>266</v>
      </c>
      <c r="B197" s="107">
        <f>VLOOKUP($A197,'S0 remplacer avec S44'!$C:$BQ,32,0)</f>
        <v>155.9</v>
      </c>
      <c r="C197" s="107">
        <f>VLOOKUP($A197,'S0 remplacer avec S44'!$C:$BQ,39,0)</f>
        <v>14</v>
      </c>
      <c r="D197" s="107">
        <f>VLOOKUP($A197,'S0 remplacer avec S44'!$C:$BQ,40,0)</f>
        <v>48</v>
      </c>
      <c r="E197" s="107">
        <f>VLOOKUP($A197,'S0 remplacer avec S44'!$C:$BQ,22,0)</f>
        <v>1661.18706</v>
      </c>
      <c r="F197" s="115">
        <f>VLOOKUP($A197,'S0 remplacer avec S44'!$C:$BQ,29,0)</f>
        <v>0</v>
      </c>
      <c r="G197" s="115">
        <f>VLOOKUP($A197,'S0 remplacer avec S44'!$C:$BQ,30,0)</f>
        <v>190</v>
      </c>
      <c r="H197" s="115">
        <f>VLOOKUP($A197,'S0 remplacer avec S44'!$C:$BQ,52,0)</f>
        <v>97.4</v>
      </c>
      <c r="I197" s="115">
        <f>VLOOKUP($A197,'S0 remplacer avec S44'!$C:$BQ,59,0)</f>
        <v>0</v>
      </c>
      <c r="J197" s="115">
        <f>VLOOKUP($A197,'S0 remplacer avec S44'!$C:$BQ,60,0)</f>
        <v>6</v>
      </c>
      <c r="K197" s="107" t="e">
        <f>VLOOKUP($A197,'S45'!$C:$BQ,32,0)</f>
        <v>#N/A</v>
      </c>
      <c r="L197" s="107" t="e">
        <f>VLOOKUP($A197,'S45'!$C:$BQ,39,0)</f>
        <v>#N/A</v>
      </c>
      <c r="M197" s="107" t="e">
        <f>VLOOKUP($A197,'S45'!$C:$BQ,40,0)</f>
        <v>#N/A</v>
      </c>
      <c r="N197" s="107" t="e">
        <f>VLOOKUP($A197,'S45'!$C:$BQ,22,0)</f>
        <v>#N/A</v>
      </c>
      <c r="O197" s="115" t="e">
        <f>VLOOKUP($A197,'S45'!$C:$BQ,29,0)</f>
        <v>#N/A</v>
      </c>
      <c r="P197" s="115" t="e">
        <f>VLOOKUP($A197,'S45'!$C:$BQ,30,0)</f>
        <v>#N/A</v>
      </c>
      <c r="Q197" s="115" t="e">
        <f>VLOOKUP($A197,'S45'!$C:$BQ,52,0)</f>
        <v>#N/A</v>
      </c>
      <c r="R197" s="115" t="e">
        <f>VLOOKUP($A197,'S45'!$C:$BQ,59,0)</f>
        <v>#N/A</v>
      </c>
      <c r="S197" s="115" t="e">
        <f>VLOOKUP($A197,'S45'!$C:$BQ,60,0)</f>
        <v>#N/A</v>
      </c>
      <c r="T197" s="107" t="e">
        <f>VLOOKUP($A197,'S46'!$C:$BQ,32,0)</f>
        <v>#N/A</v>
      </c>
      <c r="U197" s="107" t="e">
        <f>VLOOKUP($A197,'S46'!$C:$BQ,39,0)</f>
        <v>#N/A</v>
      </c>
      <c r="V197" s="107" t="e">
        <f>VLOOKUP($A197,'S46'!$C:$BQ,40,0)</f>
        <v>#N/A</v>
      </c>
      <c r="W197" s="107" t="e">
        <f>VLOOKUP($A197,'S46'!$C:$BQ,22,0)</f>
        <v>#N/A</v>
      </c>
      <c r="X197" s="115" t="e">
        <f>VLOOKUP($A197,'S46'!$C:$BQ,29,0)</f>
        <v>#N/A</v>
      </c>
      <c r="Y197" s="115" t="e">
        <f>VLOOKUP($A197,'S46'!$C:$BQ,30,0)</f>
        <v>#N/A</v>
      </c>
      <c r="Z197" s="115" t="e">
        <f>VLOOKUP($A197,'S46'!$C:$BQ,52,0)</f>
        <v>#N/A</v>
      </c>
      <c r="AA197" s="115" t="e">
        <f>VLOOKUP($A197,'S46'!$C:$BQ,59,0)</f>
        <v>#N/A</v>
      </c>
      <c r="AB197" s="115" t="e">
        <f>VLOOKUP($A197,'S46'!$C:$BQ,60,0)</f>
        <v>#N/A</v>
      </c>
      <c r="AC197" s="107" t="e">
        <f>VLOOKUP($A197,'S47'!$C:$BQ,32,0)</f>
        <v>#N/A</v>
      </c>
      <c r="AD197" s="107" t="e">
        <f>VLOOKUP($A197,'S47'!$C:$BQ,39,0)</f>
        <v>#N/A</v>
      </c>
      <c r="AE197" s="107" t="e">
        <f>VLOOKUP($A197,'S47'!$C:$BQ,40,0)</f>
        <v>#N/A</v>
      </c>
      <c r="AF197" s="107" t="e">
        <f>VLOOKUP($A197,'S47'!$C:$BQ,22,0)</f>
        <v>#N/A</v>
      </c>
      <c r="AG197" s="115" t="e">
        <f>VLOOKUP($A197,'S47'!$C:$BQ,29,0)</f>
        <v>#N/A</v>
      </c>
      <c r="AH197" s="115" t="e">
        <f>VLOOKUP($A197,'S47'!$C:$BQ,30,0)</f>
        <v>#N/A</v>
      </c>
      <c r="AI197" s="115" t="e">
        <f>VLOOKUP($A197,'S47'!$C:$BQ,52,0)</f>
        <v>#N/A</v>
      </c>
      <c r="AJ197" s="115" t="e">
        <f>VLOOKUP($A197,'S47'!$C:$BQ,59,0)</f>
        <v>#N/A</v>
      </c>
      <c r="AK197" s="115" t="e">
        <f>VLOOKUP($A197,'S47'!$C:$BQ,60,0)</f>
        <v>#N/A</v>
      </c>
      <c r="AL197" s="107" t="e">
        <f>VLOOKUP($A197,'S48'!$C:$BQ,32,0)</f>
        <v>#N/A</v>
      </c>
      <c r="AM197" s="107" t="e">
        <f>VLOOKUP($A197,'S48'!$C:$BQ,39,0)</f>
        <v>#N/A</v>
      </c>
      <c r="AN197" s="107" t="e">
        <f>VLOOKUP($A197,'S48'!$C:$BQ,40,0)</f>
        <v>#N/A</v>
      </c>
      <c r="AO197" s="107" t="e">
        <f>VLOOKUP($A197,'S48'!$C:$BQ,22,0)</f>
        <v>#N/A</v>
      </c>
      <c r="AP197" s="115" t="e">
        <f>VLOOKUP($A197,'S48'!$C:$BQ,29,0)</f>
        <v>#N/A</v>
      </c>
      <c r="AQ197" s="115" t="e">
        <f>VLOOKUP($A197,'S48'!$C:$BQ,30,0)</f>
        <v>#N/A</v>
      </c>
      <c r="AR197" s="115" t="e">
        <f>VLOOKUP($A197,'S48'!$C:$BQ,52,0)</f>
        <v>#N/A</v>
      </c>
      <c r="AS197" s="115" t="e">
        <f>VLOOKUP($A197,'S48'!$C:$BQ,59,0)</f>
        <v>#N/A</v>
      </c>
      <c r="AT197" s="115" t="e">
        <f>VLOOKUP($A197,'S48'!$C:$BQ,60,0)</f>
        <v>#N/A</v>
      </c>
      <c r="AU197" s="107" t="e">
        <f>VLOOKUP($A197,'S49'!$C:$BQ,32,0)</f>
        <v>#N/A</v>
      </c>
      <c r="AV197" s="107" t="e">
        <f>VLOOKUP($A197,'S49'!$C:$BQ,39,0)</f>
        <v>#N/A</v>
      </c>
      <c r="AW197" s="107" t="e">
        <f>VLOOKUP($A197,'S49'!$C:$BQ,40,0)</f>
        <v>#N/A</v>
      </c>
      <c r="AX197" s="107" t="e">
        <f>VLOOKUP($A197,'S49'!$C:$BQ,22,0)</f>
        <v>#N/A</v>
      </c>
      <c r="AY197" s="115" t="e">
        <f>VLOOKUP($A197,'S49'!$C:$BQ,29,0)</f>
        <v>#N/A</v>
      </c>
      <c r="AZ197" s="115" t="e">
        <f>VLOOKUP($A197,'S49'!$C:$BQ,30,0)</f>
        <v>#N/A</v>
      </c>
      <c r="BA197" s="115" t="e">
        <f>VLOOKUP($A197,'S49'!$C:$BQ,52,0)</f>
        <v>#N/A</v>
      </c>
      <c r="BB197" s="115" t="e">
        <f>VLOOKUP($A197,'S49'!$C:$BQ,59,0)</f>
        <v>#N/A</v>
      </c>
      <c r="BC197" s="115" t="e">
        <f>VLOOKUP($A197,'S49'!$C:$BQ,60,0)</f>
        <v>#N/A</v>
      </c>
      <c r="BD197" s="107" t="e">
        <f>VLOOKUP($A197,'S50'!$C:$BQ,32,0)</f>
        <v>#N/A</v>
      </c>
      <c r="BE197" s="107" t="e">
        <f>VLOOKUP($A197,'S50'!$C:$BQ,39,0)</f>
        <v>#N/A</v>
      </c>
      <c r="BF197" s="107" t="e">
        <f>VLOOKUP($A197,'S50'!$C:$BQ,40,0)</f>
        <v>#N/A</v>
      </c>
      <c r="BG197" s="107" t="e">
        <f>VLOOKUP($A197,'S50'!$C:$BQ,22,0)</f>
        <v>#N/A</v>
      </c>
      <c r="BH197" s="115" t="e">
        <f>VLOOKUP($A197,'S50'!$C:$BQ,29,0)</f>
        <v>#N/A</v>
      </c>
      <c r="BI197" s="115" t="e">
        <f>VLOOKUP($A197,'S50'!$C:$BQ,30,0)</f>
        <v>#N/A</v>
      </c>
      <c r="BJ197" s="115" t="e">
        <f>VLOOKUP($A197,'S50'!$C:$BQ,52,0)</f>
        <v>#N/A</v>
      </c>
      <c r="BK197" s="115" t="e">
        <f>VLOOKUP($A197,'S50'!$C:$BQ,59,0)</f>
        <v>#N/A</v>
      </c>
      <c r="BL197" s="115" t="e">
        <f>VLOOKUP($A197,'S50'!$C:$BQ,60,0)</f>
        <v>#N/A</v>
      </c>
    </row>
    <row r="198" spans="1:64" x14ac:dyDescent="0.2">
      <c r="A198" s="106" t="s">
        <v>267</v>
      </c>
      <c r="B198" s="107">
        <f>VLOOKUP($A198,'S0 remplacer avec S44'!$C:$BQ,32,0)</f>
        <v>221</v>
      </c>
      <c r="C198" s="107">
        <f>VLOOKUP($A198,'S0 remplacer avec S44'!$C:$BQ,39,0)</f>
        <v>24</v>
      </c>
      <c r="D198" s="107">
        <f>VLOOKUP($A198,'S0 remplacer avec S44'!$C:$BQ,40,0)</f>
        <v>72</v>
      </c>
      <c r="E198" s="107">
        <f>VLOOKUP($A198,'S0 remplacer avec S44'!$C:$BQ,22,0)</f>
        <v>2008.3856000000001</v>
      </c>
      <c r="F198" s="115">
        <f>VLOOKUP($A198,'S0 remplacer avec S44'!$C:$BQ,29,0)</f>
        <v>212</v>
      </c>
      <c r="G198" s="115">
        <f>VLOOKUP($A198,'S0 remplacer avec S44'!$C:$BQ,30,0)</f>
        <v>656</v>
      </c>
      <c r="H198" s="115">
        <f>VLOOKUP($A198,'S0 remplacer avec S44'!$C:$BQ,52,0)</f>
        <v>146.19999999999999</v>
      </c>
      <c r="I198" s="115">
        <f>VLOOKUP($A198,'S0 remplacer avec S44'!$C:$BQ,59,0)</f>
        <v>0</v>
      </c>
      <c r="J198" s="115">
        <f>VLOOKUP($A198,'S0 remplacer avec S44'!$C:$BQ,60,0)</f>
        <v>3</v>
      </c>
      <c r="K198" s="107" t="e">
        <f>VLOOKUP($A198,'S45'!$C:$BQ,32,0)</f>
        <v>#N/A</v>
      </c>
      <c r="L198" s="107" t="e">
        <f>VLOOKUP($A198,'S45'!$C:$BQ,39,0)</f>
        <v>#N/A</v>
      </c>
      <c r="M198" s="107" t="e">
        <f>VLOOKUP($A198,'S45'!$C:$BQ,40,0)</f>
        <v>#N/A</v>
      </c>
      <c r="N198" s="107" t="e">
        <f>VLOOKUP($A198,'S45'!$C:$BQ,22,0)</f>
        <v>#N/A</v>
      </c>
      <c r="O198" s="115" t="e">
        <f>VLOOKUP($A198,'S45'!$C:$BQ,29,0)</f>
        <v>#N/A</v>
      </c>
      <c r="P198" s="115" t="e">
        <f>VLOOKUP($A198,'S45'!$C:$BQ,30,0)</f>
        <v>#N/A</v>
      </c>
      <c r="Q198" s="115" t="e">
        <f>VLOOKUP($A198,'S45'!$C:$BQ,52,0)</f>
        <v>#N/A</v>
      </c>
      <c r="R198" s="115" t="e">
        <f>VLOOKUP($A198,'S45'!$C:$BQ,59,0)</f>
        <v>#N/A</v>
      </c>
      <c r="S198" s="115" t="e">
        <f>VLOOKUP($A198,'S45'!$C:$BQ,60,0)</f>
        <v>#N/A</v>
      </c>
      <c r="T198" s="107" t="e">
        <f>VLOOKUP($A198,'S46'!$C:$BQ,32,0)</f>
        <v>#N/A</v>
      </c>
      <c r="U198" s="107" t="e">
        <f>VLOOKUP($A198,'S46'!$C:$BQ,39,0)</f>
        <v>#N/A</v>
      </c>
      <c r="V198" s="107" t="e">
        <f>VLOOKUP($A198,'S46'!$C:$BQ,40,0)</f>
        <v>#N/A</v>
      </c>
      <c r="W198" s="107" t="e">
        <f>VLOOKUP($A198,'S46'!$C:$BQ,22,0)</f>
        <v>#N/A</v>
      </c>
      <c r="X198" s="115" t="e">
        <f>VLOOKUP($A198,'S46'!$C:$BQ,29,0)</f>
        <v>#N/A</v>
      </c>
      <c r="Y198" s="115" t="e">
        <f>VLOOKUP($A198,'S46'!$C:$BQ,30,0)</f>
        <v>#N/A</v>
      </c>
      <c r="Z198" s="115" t="e">
        <f>VLOOKUP($A198,'S46'!$C:$BQ,52,0)</f>
        <v>#N/A</v>
      </c>
      <c r="AA198" s="115" t="e">
        <f>VLOOKUP($A198,'S46'!$C:$BQ,59,0)</f>
        <v>#N/A</v>
      </c>
      <c r="AB198" s="115" t="e">
        <f>VLOOKUP($A198,'S46'!$C:$BQ,60,0)</f>
        <v>#N/A</v>
      </c>
      <c r="AC198" s="107" t="e">
        <f>VLOOKUP($A198,'S47'!$C:$BQ,32,0)</f>
        <v>#N/A</v>
      </c>
      <c r="AD198" s="107" t="e">
        <f>VLOOKUP($A198,'S47'!$C:$BQ,39,0)</f>
        <v>#N/A</v>
      </c>
      <c r="AE198" s="107" t="e">
        <f>VLOOKUP($A198,'S47'!$C:$BQ,40,0)</f>
        <v>#N/A</v>
      </c>
      <c r="AF198" s="107" t="e">
        <f>VLOOKUP($A198,'S47'!$C:$BQ,22,0)</f>
        <v>#N/A</v>
      </c>
      <c r="AG198" s="115" t="e">
        <f>VLOOKUP($A198,'S47'!$C:$BQ,29,0)</f>
        <v>#N/A</v>
      </c>
      <c r="AH198" s="115" t="e">
        <f>VLOOKUP($A198,'S47'!$C:$BQ,30,0)</f>
        <v>#N/A</v>
      </c>
      <c r="AI198" s="115" t="e">
        <f>VLOOKUP($A198,'S47'!$C:$BQ,52,0)</f>
        <v>#N/A</v>
      </c>
      <c r="AJ198" s="115" t="e">
        <f>VLOOKUP($A198,'S47'!$C:$BQ,59,0)</f>
        <v>#N/A</v>
      </c>
      <c r="AK198" s="115" t="e">
        <f>VLOOKUP($A198,'S47'!$C:$BQ,60,0)</f>
        <v>#N/A</v>
      </c>
      <c r="AL198" s="107" t="e">
        <f>VLOOKUP($A198,'S48'!$C:$BQ,32,0)</f>
        <v>#N/A</v>
      </c>
      <c r="AM198" s="107" t="e">
        <f>VLOOKUP($A198,'S48'!$C:$BQ,39,0)</f>
        <v>#N/A</v>
      </c>
      <c r="AN198" s="107" t="e">
        <f>VLOOKUP($A198,'S48'!$C:$BQ,40,0)</f>
        <v>#N/A</v>
      </c>
      <c r="AO198" s="107" t="e">
        <f>VLOOKUP($A198,'S48'!$C:$BQ,22,0)</f>
        <v>#N/A</v>
      </c>
      <c r="AP198" s="115" t="e">
        <f>VLOOKUP($A198,'S48'!$C:$BQ,29,0)</f>
        <v>#N/A</v>
      </c>
      <c r="AQ198" s="115" t="e">
        <f>VLOOKUP($A198,'S48'!$C:$BQ,30,0)</f>
        <v>#N/A</v>
      </c>
      <c r="AR198" s="115" t="e">
        <f>VLOOKUP($A198,'S48'!$C:$BQ,52,0)</f>
        <v>#N/A</v>
      </c>
      <c r="AS198" s="115" t="e">
        <f>VLOOKUP($A198,'S48'!$C:$BQ,59,0)</f>
        <v>#N/A</v>
      </c>
      <c r="AT198" s="115" t="e">
        <f>VLOOKUP($A198,'S48'!$C:$BQ,60,0)</f>
        <v>#N/A</v>
      </c>
      <c r="AU198" s="107" t="e">
        <f>VLOOKUP($A198,'S49'!$C:$BQ,32,0)</f>
        <v>#N/A</v>
      </c>
      <c r="AV198" s="107" t="e">
        <f>VLOOKUP($A198,'S49'!$C:$BQ,39,0)</f>
        <v>#N/A</v>
      </c>
      <c r="AW198" s="107" t="e">
        <f>VLOOKUP($A198,'S49'!$C:$BQ,40,0)</f>
        <v>#N/A</v>
      </c>
      <c r="AX198" s="107" t="e">
        <f>VLOOKUP($A198,'S49'!$C:$BQ,22,0)</f>
        <v>#N/A</v>
      </c>
      <c r="AY198" s="115" t="e">
        <f>VLOOKUP($A198,'S49'!$C:$BQ,29,0)</f>
        <v>#N/A</v>
      </c>
      <c r="AZ198" s="115" t="e">
        <f>VLOOKUP($A198,'S49'!$C:$BQ,30,0)</f>
        <v>#N/A</v>
      </c>
      <c r="BA198" s="115" t="e">
        <f>VLOOKUP($A198,'S49'!$C:$BQ,52,0)</f>
        <v>#N/A</v>
      </c>
      <c r="BB198" s="115" t="e">
        <f>VLOOKUP($A198,'S49'!$C:$BQ,59,0)</f>
        <v>#N/A</v>
      </c>
      <c r="BC198" s="115" t="e">
        <f>VLOOKUP($A198,'S49'!$C:$BQ,60,0)</f>
        <v>#N/A</v>
      </c>
      <c r="BD198" s="107" t="e">
        <f>VLOOKUP($A198,'S50'!$C:$BQ,32,0)</f>
        <v>#N/A</v>
      </c>
      <c r="BE198" s="107" t="e">
        <f>VLOOKUP($A198,'S50'!$C:$BQ,39,0)</f>
        <v>#N/A</v>
      </c>
      <c r="BF198" s="107" t="e">
        <f>VLOOKUP($A198,'S50'!$C:$BQ,40,0)</f>
        <v>#N/A</v>
      </c>
      <c r="BG198" s="107" t="e">
        <f>VLOOKUP($A198,'S50'!$C:$BQ,22,0)</f>
        <v>#N/A</v>
      </c>
      <c r="BH198" s="115" t="e">
        <f>VLOOKUP($A198,'S50'!$C:$BQ,29,0)</f>
        <v>#N/A</v>
      </c>
      <c r="BI198" s="115" t="e">
        <f>VLOOKUP($A198,'S50'!$C:$BQ,30,0)</f>
        <v>#N/A</v>
      </c>
      <c r="BJ198" s="115" t="e">
        <f>VLOOKUP($A198,'S50'!$C:$BQ,52,0)</f>
        <v>#N/A</v>
      </c>
      <c r="BK198" s="115" t="e">
        <f>VLOOKUP($A198,'S50'!$C:$BQ,59,0)</f>
        <v>#N/A</v>
      </c>
      <c r="BL198" s="115" t="e">
        <f>VLOOKUP($A198,'S50'!$C:$BQ,60,0)</f>
        <v>#N/A</v>
      </c>
    </row>
    <row r="199" spans="1:64" x14ac:dyDescent="0.2">
      <c r="A199" s="106" t="s">
        <v>268</v>
      </c>
      <c r="B199" s="107">
        <f>VLOOKUP($A199,'S0 remplacer avec S44'!$C:$BQ,32,0)</f>
        <v>186.15</v>
      </c>
      <c r="C199" s="107">
        <f>VLOOKUP($A199,'S0 remplacer avec S44'!$C:$BQ,39,0)</f>
        <v>18</v>
      </c>
      <c r="D199" s="107">
        <f>VLOOKUP($A199,'S0 remplacer avec S44'!$C:$BQ,40,0)</f>
        <v>59</v>
      </c>
      <c r="E199" s="107">
        <f>VLOOKUP($A199,'S0 remplacer avec S44'!$C:$BQ,22,0)</f>
        <v>1917.5867450000001</v>
      </c>
      <c r="F199" s="115">
        <f>VLOOKUP($A199,'S0 remplacer avec S44'!$C:$BQ,29,0)</f>
        <v>0</v>
      </c>
      <c r="G199" s="115">
        <f>VLOOKUP($A199,'S0 remplacer avec S44'!$C:$BQ,30,0)</f>
        <v>310</v>
      </c>
      <c r="H199" s="115">
        <f>VLOOKUP($A199,'S0 remplacer avec S44'!$C:$BQ,52,0)</f>
        <v>118.8</v>
      </c>
      <c r="I199" s="115">
        <f>VLOOKUP($A199,'S0 remplacer avec S44'!$C:$BQ,59,0)</f>
        <v>0</v>
      </c>
      <c r="J199" s="115">
        <f>VLOOKUP($A199,'S0 remplacer avec S44'!$C:$BQ,60,0)</f>
        <v>6</v>
      </c>
      <c r="K199" s="107" t="e">
        <f>VLOOKUP($A199,'S45'!$C:$BQ,32,0)</f>
        <v>#N/A</v>
      </c>
      <c r="L199" s="107" t="e">
        <f>VLOOKUP($A199,'S45'!$C:$BQ,39,0)</f>
        <v>#N/A</v>
      </c>
      <c r="M199" s="107" t="e">
        <f>VLOOKUP($A199,'S45'!$C:$BQ,40,0)</f>
        <v>#N/A</v>
      </c>
      <c r="N199" s="107" t="e">
        <f>VLOOKUP($A199,'S45'!$C:$BQ,22,0)</f>
        <v>#N/A</v>
      </c>
      <c r="O199" s="115" t="e">
        <f>VLOOKUP($A199,'S45'!$C:$BQ,29,0)</f>
        <v>#N/A</v>
      </c>
      <c r="P199" s="115" t="e">
        <f>VLOOKUP($A199,'S45'!$C:$BQ,30,0)</f>
        <v>#N/A</v>
      </c>
      <c r="Q199" s="115" t="e">
        <f>VLOOKUP($A199,'S45'!$C:$BQ,52,0)</f>
        <v>#N/A</v>
      </c>
      <c r="R199" s="115" t="e">
        <f>VLOOKUP($A199,'S45'!$C:$BQ,59,0)</f>
        <v>#N/A</v>
      </c>
      <c r="S199" s="115" t="e">
        <f>VLOOKUP($A199,'S45'!$C:$BQ,60,0)</f>
        <v>#N/A</v>
      </c>
      <c r="T199" s="107" t="e">
        <f>VLOOKUP($A199,'S46'!$C:$BQ,32,0)</f>
        <v>#N/A</v>
      </c>
      <c r="U199" s="107" t="e">
        <f>VLOOKUP($A199,'S46'!$C:$BQ,39,0)</f>
        <v>#N/A</v>
      </c>
      <c r="V199" s="107" t="e">
        <f>VLOOKUP($A199,'S46'!$C:$BQ,40,0)</f>
        <v>#N/A</v>
      </c>
      <c r="W199" s="107" t="e">
        <f>VLOOKUP($A199,'S46'!$C:$BQ,22,0)</f>
        <v>#N/A</v>
      </c>
      <c r="X199" s="115" t="e">
        <f>VLOOKUP($A199,'S46'!$C:$BQ,29,0)</f>
        <v>#N/A</v>
      </c>
      <c r="Y199" s="115" t="e">
        <f>VLOOKUP($A199,'S46'!$C:$BQ,30,0)</f>
        <v>#N/A</v>
      </c>
      <c r="Z199" s="115" t="e">
        <f>VLOOKUP($A199,'S46'!$C:$BQ,52,0)</f>
        <v>#N/A</v>
      </c>
      <c r="AA199" s="115" t="e">
        <f>VLOOKUP($A199,'S46'!$C:$BQ,59,0)</f>
        <v>#N/A</v>
      </c>
      <c r="AB199" s="115" t="e">
        <f>VLOOKUP($A199,'S46'!$C:$BQ,60,0)</f>
        <v>#N/A</v>
      </c>
      <c r="AC199" s="107" t="e">
        <f>VLOOKUP($A199,'S47'!$C:$BQ,32,0)</f>
        <v>#N/A</v>
      </c>
      <c r="AD199" s="107" t="e">
        <f>VLOOKUP($A199,'S47'!$C:$BQ,39,0)</f>
        <v>#N/A</v>
      </c>
      <c r="AE199" s="107" t="e">
        <f>VLOOKUP($A199,'S47'!$C:$BQ,40,0)</f>
        <v>#N/A</v>
      </c>
      <c r="AF199" s="107" t="e">
        <f>VLOOKUP($A199,'S47'!$C:$BQ,22,0)</f>
        <v>#N/A</v>
      </c>
      <c r="AG199" s="115" t="e">
        <f>VLOOKUP($A199,'S47'!$C:$BQ,29,0)</f>
        <v>#N/A</v>
      </c>
      <c r="AH199" s="115" t="e">
        <f>VLOOKUP($A199,'S47'!$C:$BQ,30,0)</f>
        <v>#N/A</v>
      </c>
      <c r="AI199" s="115" t="e">
        <f>VLOOKUP($A199,'S47'!$C:$BQ,52,0)</f>
        <v>#N/A</v>
      </c>
      <c r="AJ199" s="115" t="e">
        <f>VLOOKUP($A199,'S47'!$C:$BQ,59,0)</f>
        <v>#N/A</v>
      </c>
      <c r="AK199" s="115" t="e">
        <f>VLOOKUP($A199,'S47'!$C:$BQ,60,0)</f>
        <v>#N/A</v>
      </c>
      <c r="AL199" s="107" t="e">
        <f>VLOOKUP($A199,'S48'!$C:$BQ,32,0)</f>
        <v>#N/A</v>
      </c>
      <c r="AM199" s="107" t="e">
        <f>VLOOKUP($A199,'S48'!$C:$BQ,39,0)</f>
        <v>#N/A</v>
      </c>
      <c r="AN199" s="107" t="e">
        <f>VLOOKUP($A199,'S48'!$C:$BQ,40,0)</f>
        <v>#N/A</v>
      </c>
      <c r="AO199" s="107" t="e">
        <f>VLOOKUP($A199,'S48'!$C:$BQ,22,0)</f>
        <v>#N/A</v>
      </c>
      <c r="AP199" s="115" t="e">
        <f>VLOOKUP($A199,'S48'!$C:$BQ,29,0)</f>
        <v>#N/A</v>
      </c>
      <c r="AQ199" s="115" t="e">
        <f>VLOOKUP($A199,'S48'!$C:$BQ,30,0)</f>
        <v>#N/A</v>
      </c>
      <c r="AR199" s="115" t="e">
        <f>VLOOKUP($A199,'S48'!$C:$BQ,52,0)</f>
        <v>#N/A</v>
      </c>
      <c r="AS199" s="115" t="e">
        <f>VLOOKUP($A199,'S48'!$C:$BQ,59,0)</f>
        <v>#N/A</v>
      </c>
      <c r="AT199" s="115" t="e">
        <f>VLOOKUP($A199,'S48'!$C:$BQ,60,0)</f>
        <v>#N/A</v>
      </c>
      <c r="AU199" s="107" t="e">
        <f>VLOOKUP($A199,'S49'!$C:$BQ,32,0)</f>
        <v>#N/A</v>
      </c>
      <c r="AV199" s="107" t="e">
        <f>VLOOKUP($A199,'S49'!$C:$BQ,39,0)</f>
        <v>#N/A</v>
      </c>
      <c r="AW199" s="107" t="e">
        <f>VLOOKUP($A199,'S49'!$C:$BQ,40,0)</f>
        <v>#N/A</v>
      </c>
      <c r="AX199" s="107" t="e">
        <f>VLOOKUP($A199,'S49'!$C:$BQ,22,0)</f>
        <v>#N/A</v>
      </c>
      <c r="AY199" s="115" t="e">
        <f>VLOOKUP($A199,'S49'!$C:$BQ,29,0)</f>
        <v>#N/A</v>
      </c>
      <c r="AZ199" s="115" t="e">
        <f>VLOOKUP($A199,'S49'!$C:$BQ,30,0)</f>
        <v>#N/A</v>
      </c>
      <c r="BA199" s="115" t="e">
        <f>VLOOKUP($A199,'S49'!$C:$BQ,52,0)</f>
        <v>#N/A</v>
      </c>
      <c r="BB199" s="115" t="e">
        <f>VLOOKUP($A199,'S49'!$C:$BQ,59,0)</f>
        <v>#N/A</v>
      </c>
      <c r="BC199" s="115" t="e">
        <f>VLOOKUP($A199,'S49'!$C:$BQ,60,0)</f>
        <v>#N/A</v>
      </c>
      <c r="BD199" s="107" t="e">
        <f>VLOOKUP($A199,'S50'!$C:$BQ,32,0)</f>
        <v>#N/A</v>
      </c>
      <c r="BE199" s="107" t="e">
        <f>VLOOKUP($A199,'S50'!$C:$BQ,39,0)</f>
        <v>#N/A</v>
      </c>
      <c r="BF199" s="107" t="e">
        <f>VLOOKUP($A199,'S50'!$C:$BQ,40,0)</f>
        <v>#N/A</v>
      </c>
      <c r="BG199" s="107" t="e">
        <f>VLOOKUP($A199,'S50'!$C:$BQ,22,0)</f>
        <v>#N/A</v>
      </c>
      <c r="BH199" s="115" t="e">
        <f>VLOOKUP($A199,'S50'!$C:$BQ,29,0)</f>
        <v>#N/A</v>
      </c>
      <c r="BI199" s="115" t="e">
        <f>VLOOKUP($A199,'S50'!$C:$BQ,30,0)</f>
        <v>#N/A</v>
      </c>
      <c r="BJ199" s="115" t="e">
        <f>VLOOKUP($A199,'S50'!$C:$BQ,52,0)</f>
        <v>#N/A</v>
      </c>
      <c r="BK199" s="115" t="e">
        <f>VLOOKUP($A199,'S50'!$C:$BQ,59,0)</f>
        <v>#N/A</v>
      </c>
      <c r="BL199" s="115" t="e">
        <f>VLOOKUP($A199,'S50'!$C:$BQ,60,0)</f>
        <v>#N/A</v>
      </c>
    </row>
    <row r="200" spans="1:64" x14ac:dyDescent="0.2">
      <c r="A200" s="106" t="s">
        <v>269</v>
      </c>
      <c r="B200" s="107">
        <f>VLOOKUP($A200,'S0 remplacer avec S44'!$C:$BQ,32,0)</f>
        <v>94.7</v>
      </c>
      <c r="C200" s="107">
        <f>VLOOKUP($A200,'S0 remplacer avec S44'!$C:$BQ,39,0)</f>
        <v>7</v>
      </c>
      <c r="D200" s="107">
        <f>VLOOKUP($A200,'S0 remplacer avec S44'!$C:$BQ,40,0)</f>
        <v>27</v>
      </c>
      <c r="E200" s="107">
        <f>VLOOKUP($A200,'S0 remplacer avec S44'!$C:$BQ,22,0)</f>
        <v>1481.09133</v>
      </c>
      <c r="F200" s="115">
        <f>VLOOKUP($A200,'S0 remplacer avec S44'!$C:$BQ,29,0)</f>
        <v>0</v>
      </c>
      <c r="G200" s="115">
        <f>VLOOKUP($A200,'S0 remplacer avec S44'!$C:$BQ,30,0)</f>
        <v>0</v>
      </c>
      <c r="H200" s="115">
        <f>VLOOKUP($A200,'S0 remplacer avec S44'!$C:$BQ,52,0)</f>
        <v>61.6</v>
      </c>
      <c r="I200" s="115">
        <f>VLOOKUP($A200,'S0 remplacer avec S44'!$C:$BQ,59,0)</f>
        <v>0</v>
      </c>
      <c r="J200" s="115">
        <f>VLOOKUP($A200,'S0 remplacer avec S44'!$C:$BQ,60,0)</f>
        <v>0</v>
      </c>
      <c r="K200" s="107" t="e">
        <f>VLOOKUP($A200,'S45'!$C:$BQ,32,0)</f>
        <v>#N/A</v>
      </c>
      <c r="L200" s="107" t="e">
        <f>VLOOKUP($A200,'S45'!$C:$BQ,39,0)</f>
        <v>#N/A</v>
      </c>
      <c r="M200" s="107" t="e">
        <f>VLOOKUP($A200,'S45'!$C:$BQ,40,0)</f>
        <v>#N/A</v>
      </c>
      <c r="N200" s="107" t="e">
        <f>VLOOKUP($A200,'S45'!$C:$BQ,22,0)</f>
        <v>#N/A</v>
      </c>
      <c r="O200" s="115" t="e">
        <f>VLOOKUP($A200,'S45'!$C:$BQ,29,0)</f>
        <v>#N/A</v>
      </c>
      <c r="P200" s="115" t="e">
        <f>VLOOKUP($A200,'S45'!$C:$BQ,30,0)</f>
        <v>#N/A</v>
      </c>
      <c r="Q200" s="115" t="e">
        <f>VLOOKUP($A200,'S45'!$C:$BQ,52,0)</f>
        <v>#N/A</v>
      </c>
      <c r="R200" s="115" t="e">
        <f>VLOOKUP($A200,'S45'!$C:$BQ,59,0)</f>
        <v>#N/A</v>
      </c>
      <c r="S200" s="115" t="e">
        <f>VLOOKUP($A200,'S45'!$C:$BQ,60,0)</f>
        <v>#N/A</v>
      </c>
      <c r="T200" s="107" t="e">
        <f>VLOOKUP($A200,'S46'!$C:$BQ,32,0)</f>
        <v>#N/A</v>
      </c>
      <c r="U200" s="107" t="e">
        <f>VLOOKUP($A200,'S46'!$C:$BQ,39,0)</f>
        <v>#N/A</v>
      </c>
      <c r="V200" s="107" t="e">
        <f>VLOOKUP($A200,'S46'!$C:$BQ,40,0)</f>
        <v>#N/A</v>
      </c>
      <c r="W200" s="107" t="e">
        <f>VLOOKUP($A200,'S46'!$C:$BQ,22,0)</f>
        <v>#N/A</v>
      </c>
      <c r="X200" s="115" t="e">
        <f>VLOOKUP($A200,'S46'!$C:$BQ,29,0)</f>
        <v>#N/A</v>
      </c>
      <c r="Y200" s="115" t="e">
        <f>VLOOKUP($A200,'S46'!$C:$BQ,30,0)</f>
        <v>#N/A</v>
      </c>
      <c r="Z200" s="115" t="e">
        <f>VLOOKUP($A200,'S46'!$C:$BQ,52,0)</f>
        <v>#N/A</v>
      </c>
      <c r="AA200" s="115" t="e">
        <f>VLOOKUP($A200,'S46'!$C:$BQ,59,0)</f>
        <v>#N/A</v>
      </c>
      <c r="AB200" s="115" t="e">
        <f>VLOOKUP($A200,'S46'!$C:$BQ,60,0)</f>
        <v>#N/A</v>
      </c>
      <c r="AC200" s="107" t="e">
        <f>VLOOKUP($A200,'S47'!$C:$BQ,32,0)</f>
        <v>#N/A</v>
      </c>
      <c r="AD200" s="107" t="e">
        <f>VLOOKUP($A200,'S47'!$C:$BQ,39,0)</f>
        <v>#N/A</v>
      </c>
      <c r="AE200" s="107" t="e">
        <f>VLOOKUP($A200,'S47'!$C:$BQ,40,0)</f>
        <v>#N/A</v>
      </c>
      <c r="AF200" s="107" t="e">
        <f>VLOOKUP($A200,'S47'!$C:$BQ,22,0)</f>
        <v>#N/A</v>
      </c>
      <c r="AG200" s="115" t="e">
        <f>VLOOKUP($A200,'S47'!$C:$BQ,29,0)</f>
        <v>#N/A</v>
      </c>
      <c r="AH200" s="115" t="e">
        <f>VLOOKUP($A200,'S47'!$C:$BQ,30,0)</f>
        <v>#N/A</v>
      </c>
      <c r="AI200" s="115" t="e">
        <f>VLOOKUP($A200,'S47'!$C:$BQ,52,0)</f>
        <v>#N/A</v>
      </c>
      <c r="AJ200" s="115" t="e">
        <f>VLOOKUP($A200,'S47'!$C:$BQ,59,0)</f>
        <v>#N/A</v>
      </c>
      <c r="AK200" s="115" t="e">
        <f>VLOOKUP($A200,'S47'!$C:$BQ,60,0)</f>
        <v>#N/A</v>
      </c>
      <c r="AL200" s="107" t="e">
        <f>VLOOKUP($A200,'S48'!$C:$BQ,32,0)</f>
        <v>#N/A</v>
      </c>
      <c r="AM200" s="107" t="e">
        <f>VLOOKUP($A200,'S48'!$C:$BQ,39,0)</f>
        <v>#N/A</v>
      </c>
      <c r="AN200" s="107" t="e">
        <f>VLOOKUP($A200,'S48'!$C:$BQ,40,0)</f>
        <v>#N/A</v>
      </c>
      <c r="AO200" s="107" t="e">
        <f>VLOOKUP($A200,'S48'!$C:$BQ,22,0)</f>
        <v>#N/A</v>
      </c>
      <c r="AP200" s="115" t="e">
        <f>VLOOKUP($A200,'S48'!$C:$BQ,29,0)</f>
        <v>#N/A</v>
      </c>
      <c r="AQ200" s="115" t="e">
        <f>VLOOKUP($A200,'S48'!$C:$BQ,30,0)</f>
        <v>#N/A</v>
      </c>
      <c r="AR200" s="115" t="e">
        <f>VLOOKUP($A200,'S48'!$C:$BQ,52,0)</f>
        <v>#N/A</v>
      </c>
      <c r="AS200" s="115" t="e">
        <f>VLOOKUP($A200,'S48'!$C:$BQ,59,0)</f>
        <v>#N/A</v>
      </c>
      <c r="AT200" s="115" t="e">
        <f>VLOOKUP($A200,'S48'!$C:$BQ,60,0)</f>
        <v>#N/A</v>
      </c>
      <c r="AU200" s="107" t="e">
        <f>VLOOKUP($A200,'S49'!$C:$BQ,32,0)</f>
        <v>#N/A</v>
      </c>
      <c r="AV200" s="107" t="e">
        <f>VLOOKUP($A200,'S49'!$C:$BQ,39,0)</f>
        <v>#N/A</v>
      </c>
      <c r="AW200" s="107" t="e">
        <f>VLOOKUP($A200,'S49'!$C:$BQ,40,0)</f>
        <v>#N/A</v>
      </c>
      <c r="AX200" s="107" t="e">
        <f>VLOOKUP($A200,'S49'!$C:$BQ,22,0)</f>
        <v>#N/A</v>
      </c>
      <c r="AY200" s="115" t="e">
        <f>VLOOKUP($A200,'S49'!$C:$BQ,29,0)</f>
        <v>#N/A</v>
      </c>
      <c r="AZ200" s="115" t="e">
        <f>VLOOKUP($A200,'S49'!$C:$BQ,30,0)</f>
        <v>#N/A</v>
      </c>
      <c r="BA200" s="115" t="e">
        <f>VLOOKUP($A200,'S49'!$C:$BQ,52,0)</f>
        <v>#N/A</v>
      </c>
      <c r="BB200" s="115" t="e">
        <f>VLOOKUP($A200,'S49'!$C:$BQ,59,0)</f>
        <v>#N/A</v>
      </c>
      <c r="BC200" s="115" t="e">
        <f>VLOOKUP($A200,'S49'!$C:$BQ,60,0)</f>
        <v>#N/A</v>
      </c>
      <c r="BD200" s="107" t="e">
        <f>VLOOKUP($A200,'S50'!$C:$BQ,32,0)</f>
        <v>#N/A</v>
      </c>
      <c r="BE200" s="107" t="e">
        <f>VLOOKUP($A200,'S50'!$C:$BQ,39,0)</f>
        <v>#N/A</v>
      </c>
      <c r="BF200" s="107" t="e">
        <f>VLOOKUP($A200,'S50'!$C:$BQ,40,0)</f>
        <v>#N/A</v>
      </c>
      <c r="BG200" s="107" t="e">
        <f>VLOOKUP($A200,'S50'!$C:$BQ,22,0)</f>
        <v>#N/A</v>
      </c>
      <c r="BH200" s="115" t="e">
        <f>VLOOKUP($A200,'S50'!$C:$BQ,29,0)</f>
        <v>#N/A</v>
      </c>
      <c r="BI200" s="115" t="e">
        <f>VLOOKUP($A200,'S50'!$C:$BQ,30,0)</f>
        <v>#N/A</v>
      </c>
      <c r="BJ200" s="115" t="e">
        <f>VLOOKUP($A200,'S50'!$C:$BQ,52,0)</f>
        <v>#N/A</v>
      </c>
      <c r="BK200" s="115" t="e">
        <f>VLOOKUP($A200,'S50'!$C:$BQ,59,0)</f>
        <v>#N/A</v>
      </c>
      <c r="BL200" s="115" t="e">
        <f>VLOOKUP($A200,'S50'!$C:$BQ,60,0)</f>
        <v>#N/A</v>
      </c>
    </row>
    <row r="201" spans="1:64" x14ac:dyDescent="0.2">
      <c r="A201" s="106" t="s">
        <v>270</v>
      </c>
      <c r="B201" s="107">
        <f>VLOOKUP($A201,'S0 remplacer avec S44'!$C:$BQ,32,0)</f>
        <v>115.15</v>
      </c>
      <c r="C201" s="107">
        <f>VLOOKUP($A201,'S0 remplacer avec S44'!$C:$BQ,39,0)</f>
        <v>67</v>
      </c>
      <c r="D201" s="107">
        <f>VLOOKUP($A201,'S0 remplacer avec S44'!$C:$BQ,40,0)</f>
        <v>104</v>
      </c>
      <c r="E201" s="107">
        <f>VLOOKUP($A201,'S0 remplacer avec S44'!$C:$BQ,22,0)</f>
        <v>1885.0592349999999</v>
      </c>
      <c r="F201" s="115">
        <f>VLOOKUP($A201,'S0 remplacer avec S44'!$C:$BQ,29,0)</f>
        <v>0</v>
      </c>
      <c r="G201" s="115">
        <f>VLOOKUP($A201,'S0 remplacer avec S44'!$C:$BQ,30,0)</f>
        <v>103</v>
      </c>
      <c r="H201" s="115">
        <f>VLOOKUP($A201,'S0 remplacer avec S44'!$C:$BQ,52,0)</f>
        <v>71.8</v>
      </c>
      <c r="I201" s="115">
        <f>VLOOKUP($A201,'S0 remplacer avec S44'!$C:$BQ,59,0)</f>
        <v>21</v>
      </c>
      <c r="J201" s="115">
        <f>VLOOKUP($A201,'S0 remplacer avec S44'!$C:$BQ,60,0)</f>
        <v>40</v>
      </c>
      <c r="K201" s="107" t="e">
        <f>VLOOKUP($A201,'S45'!$C:$BQ,32,0)</f>
        <v>#N/A</v>
      </c>
      <c r="L201" s="107" t="e">
        <f>VLOOKUP($A201,'S45'!$C:$BQ,39,0)</f>
        <v>#N/A</v>
      </c>
      <c r="M201" s="107" t="e">
        <f>VLOOKUP($A201,'S45'!$C:$BQ,40,0)</f>
        <v>#N/A</v>
      </c>
      <c r="N201" s="107" t="e">
        <f>VLOOKUP($A201,'S45'!$C:$BQ,22,0)</f>
        <v>#N/A</v>
      </c>
      <c r="O201" s="115" t="e">
        <f>VLOOKUP($A201,'S45'!$C:$BQ,29,0)</f>
        <v>#N/A</v>
      </c>
      <c r="P201" s="115" t="e">
        <f>VLOOKUP($A201,'S45'!$C:$BQ,30,0)</f>
        <v>#N/A</v>
      </c>
      <c r="Q201" s="115" t="e">
        <f>VLOOKUP($A201,'S45'!$C:$BQ,52,0)</f>
        <v>#N/A</v>
      </c>
      <c r="R201" s="115" t="e">
        <f>VLOOKUP($A201,'S45'!$C:$BQ,59,0)</f>
        <v>#N/A</v>
      </c>
      <c r="S201" s="115" t="e">
        <f>VLOOKUP($A201,'S45'!$C:$BQ,60,0)</f>
        <v>#N/A</v>
      </c>
      <c r="T201" s="107" t="e">
        <f>VLOOKUP($A201,'S46'!$C:$BQ,32,0)</f>
        <v>#N/A</v>
      </c>
      <c r="U201" s="107" t="e">
        <f>VLOOKUP($A201,'S46'!$C:$BQ,39,0)</f>
        <v>#N/A</v>
      </c>
      <c r="V201" s="107" t="e">
        <f>VLOOKUP($A201,'S46'!$C:$BQ,40,0)</f>
        <v>#N/A</v>
      </c>
      <c r="W201" s="107" t="e">
        <f>VLOOKUP($A201,'S46'!$C:$BQ,22,0)</f>
        <v>#N/A</v>
      </c>
      <c r="X201" s="115" t="e">
        <f>VLOOKUP($A201,'S46'!$C:$BQ,29,0)</f>
        <v>#N/A</v>
      </c>
      <c r="Y201" s="115" t="e">
        <f>VLOOKUP($A201,'S46'!$C:$BQ,30,0)</f>
        <v>#N/A</v>
      </c>
      <c r="Z201" s="115" t="e">
        <f>VLOOKUP($A201,'S46'!$C:$BQ,52,0)</f>
        <v>#N/A</v>
      </c>
      <c r="AA201" s="115" t="e">
        <f>VLOOKUP($A201,'S46'!$C:$BQ,59,0)</f>
        <v>#N/A</v>
      </c>
      <c r="AB201" s="115" t="e">
        <f>VLOOKUP($A201,'S46'!$C:$BQ,60,0)</f>
        <v>#N/A</v>
      </c>
      <c r="AC201" s="107" t="e">
        <f>VLOOKUP($A201,'S47'!$C:$BQ,32,0)</f>
        <v>#N/A</v>
      </c>
      <c r="AD201" s="107" t="e">
        <f>VLOOKUP($A201,'S47'!$C:$BQ,39,0)</f>
        <v>#N/A</v>
      </c>
      <c r="AE201" s="107" t="e">
        <f>VLOOKUP($A201,'S47'!$C:$BQ,40,0)</f>
        <v>#N/A</v>
      </c>
      <c r="AF201" s="107" t="e">
        <f>VLOOKUP($A201,'S47'!$C:$BQ,22,0)</f>
        <v>#N/A</v>
      </c>
      <c r="AG201" s="115" t="e">
        <f>VLOOKUP($A201,'S47'!$C:$BQ,29,0)</f>
        <v>#N/A</v>
      </c>
      <c r="AH201" s="115" t="e">
        <f>VLOOKUP($A201,'S47'!$C:$BQ,30,0)</f>
        <v>#N/A</v>
      </c>
      <c r="AI201" s="115" t="e">
        <f>VLOOKUP($A201,'S47'!$C:$BQ,52,0)</f>
        <v>#N/A</v>
      </c>
      <c r="AJ201" s="115" t="e">
        <f>VLOOKUP($A201,'S47'!$C:$BQ,59,0)</f>
        <v>#N/A</v>
      </c>
      <c r="AK201" s="115" t="e">
        <f>VLOOKUP($A201,'S47'!$C:$BQ,60,0)</f>
        <v>#N/A</v>
      </c>
      <c r="AL201" s="107" t="e">
        <f>VLOOKUP($A201,'S48'!$C:$BQ,32,0)</f>
        <v>#N/A</v>
      </c>
      <c r="AM201" s="107" t="e">
        <f>VLOOKUP($A201,'S48'!$C:$BQ,39,0)</f>
        <v>#N/A</v>
      </c>
      <c r="AN201" s="107" t="e">
        <f>VLOOKUP($A201,'S48'!$C:$BQ,40,0)</f>
        <v>#N/A</v>
      </c>
      <c r="AO201" s="107" t="e">
        <f>VLOOKUP($A201,'S48'!$C:$BQ,22,0)</f>
        <v>#N/A</v>
      </c>
      <c r="AP201" s="115" t="e">
        <f>VLOOKUP($A201,'S48'!$C:$BQ,29,0)</f>
        <v>#N/A</v>
      </c>
      <c r="AQ201" s="115" t="e">
        <f>VLOOKUP($A201,'S48'!$C:$BQ,30,0)</f>
        <v>#N/A</v>
      </c>
      <c r="AR201" s="115" t="e">
        <f>VLOOKUP($A201,'S48'!$C:$BQ,52,0)</f>
        <v>#N/A</v>
      </c>
      <c r="AS201" s="115" t="e">
        <f>VLOOKUP($A201,'S48'!$C:$BQ,59,0)</f>
        <v>#N/A</v>
      </c>
      <c r="AT201" s="115" t="e">
        <f>VLOOKUP($A201,'S48'!$C:$BQ,60,0)</f>
        <v>#N/A</v>
      </c>
      <c r="AU201" s="107" t="e">
        <f>VLOOKUP($A201,'S49'!$C:$BQ,32,0)</f>
        <v>#N/A</v>
      </c>
      <c r="AV201" s="107" t="e">
        <f>VLOOKUP($A201,'S49'!$C:$BQ,39,0)</f>
        <v>#N/A</v>
      </c>
      <c r="AW201" s="107" t="e">
        <f>VLOOKUP($A201,'S49'!$C:$BQ,40,0)</f>
        <v>#N/A</v>
      </c>
      <c r="AX201" s="107" t="e">
        <f>VLOOKUP($A201,'S49'!$C:$BQ,22,0)</f>
        <v>#N/A</v>
      </c>
      <c r="AY201" s="115" t="e">
        <f>VLOOKUP($A201,'S49'!$C:$BQ,29,0)</f>
        <v>#N/A</v>
      </c>
      <c r="AZ201" s="115" t="e">
        <f>VLOOKUP($A201,'S49'!$C:$BQ,30,0)</f>
        <v>#N/A</v>
      </c>
      <c r="BA201" s="115" t="e">
        <f>VLOOKUP($A201,'S49'!$C:$BQ,52,0)</f>
        <v>#N/A</v>
      </c>
      <c r="BB201" s="115" t="e">
        <f>VLOOKUP($A201,'S49'!$C:$BQ,59,0)</f>
        <v>#N/A</v>
      </c>
      <c r="BC201" s="115" t="e">
        <f>VLOOKUP($A201,'S49'!$C:$BQ,60,0)</f>
        <v>#N/A</v>
      </c>
      <c r="BD201" s="107" t="e">
        <f>VLOOKUP($A201,'S50'!$C:$BQ,32,0)</f>
        <v>#N/A</v>
      </c>
      <c r="BE201" s="107" t="e">
        <f>VLOOKUP($A201,'S50'!$C:$BQ,39,0)</f>
        <v>#N/A</v>
      </c>
      <c r="BF201" s="107" t="e">
        <f>VLOOKUP($A201,'S50'!$C:$BQ,40,0)</f>
        <v>#N/A</v>
      </c>
      <c r="BG201" s="107" t="e">
        <f>VLOOKUP($A201,'S50'!$C:$BQ,22,0)</f>
        <v>#N/A</v>
      </c>
      <c r="BH201" s="115" t="e">
        <f>VLOOKUP($A201,'S50'!$C:$BQ,29,0)</f>
        <v>#N/A</v>
      </c>
      <c r="BI201" s="115" t="e">
        <f>VLOOKUP($A201,'S50'!$C:$BQ,30,0)</f>
        <v>#N/A</v>
      </c>
      <c r="BJ201" s="115" t="e">
        <f>VLOOKUP($A201,'S50'!$C:$BQ,52,0)</f>
        <v>#N/A</v>
      </c>
      <c r="BK201" s="115" t="e">
        <f>VLOOKUP($A201,'S50'!$C:$BQ,59,0)</f>
        <v>#N/A</v>
      </c>
      <c r="BL201" s="115" t="e">
        <f>VLOOKUP($A201,'S50'!$C:$BQ,60,0)</f>
        <v>#N/A</v>
      </c>
    </row>
    <row r="202" spans="1:64" x14ac:dyDescent="0.2">
      <c r="A202" s="106" t="s">
        <v>271</v>
      </c>
      <c r="B202" s="107">
        <f>VLOOKUP($A202,'S0 remplacer avec S44'!$C:$BQ,32,0)</f>
        <v>161.1</v>
      </c>
      <c r="C202" s="107">
        <f>VLOOKUP($A202,'S0 remplacer avec S44'!$C:$BQ,39,0)</f>
        <v>7</v>
      </c>
      <c r="D202" s="107">
        <f>VLOOKUP($A202,'S0 remplacer avec S44'!$C:$BQ,40,0)</f>
        <v>40</v>
      </c>
      <c r="E202" s="107">
        <f>VLOOKUP($A202,'S0 remplacer avec S44'!$C:$BQ,22,0)</f>
        <v>1805.5450249999999</v>
      </c>
      <c r="F202" s="115">
        <f>VLOOKUP($A202,'S0 remplacer avec S44'!$C:$BQ,29,0)</f>
        <v>0</v>
      </c>
      <c r="G202" s="115">
        <f>VLOOKUP($A202,'S0 remplacer avec S44'!$C:$BQ,30,0)</f>
        <v>23</v>
      </c>
      <c r="H202" s="115">
        <f>VLOOKUP($A202,'S0 remplacer avec S44'!$C:$BQ,52,0)</f>
        <v>121.4</v>
      </c>
      <c r="I202" s="115">
        <f>VLOOKUP($A202,'S0 remplacer avec S44'!$C:$BQ,59,0)</f>
        <v>0</v>
      </c>
      <c r="J202" s="115">
        <f>VLOOKUP($A202,'S0 remplacer avec S44'!$C:$BQ,60,0)</f>
        <v>0</v>
      </c>
      <c r="K202" s="107" t="e">
        <f>VLOOKUP($A202,'S45'!$C:$BQ,32,0)</f>
        <v>#N/A</v>
      </c>
      <c r="L202" s="107" t="e">
        <f>VLOOKUP($A202,'S45'!$C:$BQ,39,0)</f>
        <v>#N/A</v>
      </c>
      <c r="M202" s="107" t="e">
        <f>VLOOKUP($A202,'S45'!$C:$BQ,40,0)</f>
        <v>#N/A</v>
      </c>
      <c r="N202" s="107" t="e">
        <f>VLOOKUP($A202,'S45'!$C:$BQ,22,0)</f>
        <v>#N/A</v>
      </c>
      <c r="O202" s="115" t="e">
        <f>VLOOKUP($A202,'S45'!$C:$BQ,29,0)</f>
        <v>#N/A</v>
      </c>
      <c r="P202" s="115" t="e">
        <f>VLOOKUP($A202,'S45'!$C:$BQ,30,0)</f>
        <v>#N/A</v>
      </c>
      <c r="Q202" s="115" t="e">
        <f>VLOOKUP($A202,'S45'!$C:$BQ,52,0)</f>
        <v>#N/A</v>
      </c>
      <c r="R202" s="115" t="e">
        <f>VLOOKUP($A202,'S45'!$C:$BQ,59,0)</f>
        <v>#N/A</v>
      </c>
      <c r="S202" s="115" t="e">
        <f>VLOOKUP($A202,'S45'!$C:$BQ,60,0)</f>
        <v>#N/A</v>
      </c>
      <c r="T202" s="107" t="e">
        <f>VLOOKUP($A202,'S46'!$C:$BQ,32,0)</f>
        <v>#N/A</v>
      </c>
      <c r="U202" s="107" t="e">
        <f>VLOOKUP($A202,'S46'!$C:$BQ,39,0)</f>
        <v>#N/A</v>
      </c>
      <c r="V202" s="107" t="e">
        <f>VLOOKUP($A202,'S46'!$C:$BQ,40,0)</f>
        <v>#N/A</v>
      </c>
      <c r="W202" s="107" t="e">
        <f>VLOOKUP($A202,'S46'!$C:$BQ,22,0)</f>
        <v>#N/A</v>
      </c>
      <c r="X202" s="115" t="e">
        <f>VLOOKUP($A202,'S46'!$C:$BQ,29,0)</f>
        <v>#N/A</v>
      </c>
      <c r="Y202" s="115" t="e">
        <f>VLOOKUP($A202,'S46'!$C:$BQ,30,0)</f>
        <v>#N/A</v>
      </c>
      <c r="Z202" s="115" t="e">
        <f>VLOOKUP($A202,'S46'!$C:$BQ,52,0)</f>
        <v>#N/A</v>
      </c>
      <c r="AA202" s="115" t="e">
        <f>VLOOKUP($A202,'S46'!$C:$BQ,59,0)</f>
        <v>#N/A</v>
      </c>
      <c r="AB202" s="115" t="e">
        <f>VLOOKUP($A202,'S46'!$C:$BQ,60,0)</f>
        <v>#N/A</v>
      </c>
      <c r="AC202" s="107" t="e">
        <f>VLOOKUP($A202,'S47'!$C:$BQ,32,0)</f>
        <v>#N/A</v>
      </c>
      <c r="AD202" s="107" t="e">
        <f>VLOOKUP($A202,'S47'!$C:$BQ,39,0)</f>
        <v>#N/A</v>
      </c>
      <c r="AE202" s="107" t="e">
        <f>VLOOKUP($A202,'S47'!$C:$BQ,40,0)</f>
        <v>#N/A</v>
      </c>
      <c r="AF202" s="107" t="e">
        <f>VLOOKUP($A202,'S47'!$C:$BQ,22,0)</f>
        <v>#N/A</v>
      </c>
      <c r="AG202" s="115" t="e">
        <f>VLOOKUP($A202,'S47'!$C:$BQ,29,0)</f>
        <v>#N/A</v>
      </c>
      <c r="AH202" s="115" t="e">
        <f>VLOOKUP($A202,'S47'!$C:$BQ,30,0)</f>
        <v>#N/A</v>
      </c>
      <c r="AI202" s="115" t="e">
        <f>VLOOKUP($A202,'S47'!$C:$BQ,52,0)</f>
        <v>#N/A</v>
      </c>
      <c r="AJ202" s="115" t="e">
        <f>VLOOKUP($A202,'S47'!$C:$BQ,59,0)</f>
        <v>#N/A</v>
      </c>
      <c r="AK202" s="115" t="e">
        <f>VLOOKUP($A202,'S47'!$C:$BQ,60,0)</f>
        <v>#N/A</v>
      </c>
      <c r="AL202" s="107" t="e">
        <f>VLOOKUP($A202,'S48'!$C:$BQ,32,0)</f>
        <v>#N/A</v>
      </c>
      <c r="AM202" s="107" t="e">
        <f>VLOOKUP($A202,'S48'!$C:$BQ,39,0)</f>
        <v>#N/A</v>
      </c>
      <c r="AN202" s="107" t="e">
        <f>VLOOKUP($A202,'S48'!$C:$BQ,40,0)</f>
        <v>#N/A</v>
      </c>
      <c r="AO202" s="107" t="e">
        <f>VLOOKUP($A202,'S48'!$C:$BQ,22,0)</f>
        <v>#N/A</v>
      </c>
      <c r="AP202" s="115" t="e">
        <f>VLOOKUP($A202,'S48'!$C:$BQ,29,0)</f>
        <v>#N/A</v>
      </c>
      <c r="AQ202" s="115" t="e">
        <f>VLOOKUP($A202,'S48'!$C:$BQ,30,0)</f>
        <v>#N/A</v>
      </c>
      <c r="AR202" s="115" t="e">
        <f>VLOOKUP($A202,'S48'!$C:$BQ,52,0)</f>
        <v>#N/A</v>
      </c>
      <c r="AS202" s="115" t="e">
        <f>VLOOKUP($A202,'S48'!$C:$BQ,59,0)</f>
        <v>#N/A</v>
      </c>
      <c r="AT202" s="115" t="e">
        <f>VLOOKUP($A202,'S48'!$C:$BQ,60,0)</f>
        <v>#N/A</v>
      </c>
      <c r="AU202" s="107" t="e">
        <f>VLOOKUP($A202,'S49'!$C:$BQ,32,0)</f>
        <v>#N/A</v>
      </c>
      <c r="AV202" s="107" t="e">
        <f>VLOOKUP($A202,'S49'!$C:$BQ,39,0)</f>
        <v>#N/A</v>
      </c>
      <c r="AW202" s="107" t="e">
        <f>VLOOKUP($A202,'S49'!$C:$BQ,40,0)</f>
        <v>#N/A</v>
      </c>
      <c r="AX202" s="107" t="e">
        <f>VLOOKUP($A202,'S49'!$C:$BQ,22,0)</f>
        <v>#N/A</v>
      </c>
      <c r="AY202" s="115" t="e">
        <f>VLOOKUP($A202,'S49'!$C:$BQ,29,0)</f>
        <v>#N/A</v>
      </c>
      <c r="AZ202" s="115" t="e">
        <f>VLOOKUP($A202,'S49'!$C:$BQ,30,0)</f>
        <v>#N/A</v>
      </c>
      <c r="BA202" s="115" t="e">
        <f>VLOOKUP($A202,'S49'!$C:$BQ,52,0)</f>
        <v>#N/A</v>
      </c>
      <c r="BB202" s="115" t="e">
        <f>VLOOKUP($A202,'S49'!$C:$BQ,59,0)</f>
        <v>#N/A</v>
      </c>
      <c r="BC202" s="115" t="e">
        <f>VLOOKUP($A202,'S49'!$C:$BQ,60,0)</f>
        <v>#N/A</v>
      </c>
      <c r="BD202" s="107" t="e">
        <f>VLOOKUP($A202,'S50'!$C:$BQ,32,0)</f>
        <v>#N/A</v>
      </c>
      <c r="BE202" s="107" t="e">
        <f>VLOOKUP($A202,'S50'!$C:$BQ,39,0)</f>
        <v>#N/A</v>
      </c>
      <c r="BF202" s="107" t="e">
        <f>VLOOKUP($A202,'S50'!$C:$BQ,40,0)</f>
        <v>#N/A</v>
      </c>
      <c r="BG202" s="107" t="e">
        <f>VLOOKUP($A202,'S50'!$C:$BQ,22,0)</f>
        <v>#N/A</v>
      </c>
      <c r="BH202" s="115" t="e">
        <f>VLOOKUP($A202,'S50'!$C:$BQ,29,0)</f>
        <v>#N/A</v>
      </c>
      <c r="BI202" s="115" t="e">
        <f>VLOOKUP($A202,'S50'!$C:$BQ,30,0)</f>
        <v>#N/A</v>
      </c>
      <c r="BJ202" s="115" t="e">
        <f>VLOOKUP($A202,'S50'!$C:$BQ,52,0)</f>
        <v>#N/A</v>
      </c>
      <c r="BK202" s="115" t="e">
        <f>VLOOKUP($A202,'S50'!$C:$BQ,59,0)</f>
        <v>#N/A</v>
      </c>
      <c r="BL202" s="115" t="e">
        <f>VLOOKUP($A202,'S50'!$C:$BQ,60,0)</f>
        <v>#N/A</v>
      </c>
    </row>
    <row r="203" spans="1:64" x14ac:dyDescent="0.2">
      <c r="A203" s="106" t="s">
        <v>272</v>
      </c>
      <c r="B203" s="107">
        <f>VLOOKUP($A203,'S0 remplacer avec S44'!$C:$BQ,32,0)</f>
        <v>56</v>
      </c>
      <c r="C203" s="107">
        <f>VLOOKUP($A203,'S0 remplacer avec S44'!$C:$BQ,39,0)</f>
        <v>67</v>
      </c>
      <c r="D203" s="107">
        <f>VLOOKUP($A203,'S0 remplacer avec S44'!$C:$BQ,40,0)</f>
        <v>92</v>
      </c>
      <c r="E203" s="107">
        <f>VLOOKUP($A203,'S0 remplacer avec S44'!$C:$BQ,22,0)</f>
        <v>578.83443499999998</v>
      </c>
      <c r="F203" s="115">
        <f>VLOOKUP($A203,'S0 remplacer avec S44'!$C:$BQ,29,0)</f>
        <v>540</v>
      </c>
      <c r="G203" s="115">
        <f>VLOOKUP($A203,'S0 remplacer avec S44'!$C:$BQ,30,0)</f>
        <v>764</v>
      </c>
      <c r="H203" s="115">
        <f>VLOOKUP($A203,'S0 remplacer avec S44'!$C:$BQ,52,0)</f>
        <v>35.6</v>
      </c>
      <c r="I203" s="115">
        <f>VLOOKUP($A203,'S0 remplacer avec S44'!$C:$BQ,59,0)</f>
        <v>27</v>
      </c>
      <c r="J203" s="115">
        <f>VLOOKUP($A203,'S0 remplacer avec S44'!$C:$BQ,60,0)</f>
        <v>40</v>
      </c>
      <c r="K203" s="107" t="e">
        <f>VLOOKUP($A203,'S45'!$C:$BQ,32,0)</f>
        <v>#N/A</v>
      </c>
      <c r="L203" s="107" t="e">
        <f>VLOOKUP($A203,'S45'!$C:$BQ,39,0)</f>
        <v>#N/A</v>
      </c>
      <c r="M203" s="107" t="e">
        <f>VLOOKUP($A203,'S45'!$C:$BQ,40,0)</f>
        <v>#N/A</v>
      </c>
      <c r="N203" s="107" t="e">
        <f>VLOOKUP($A203,'S45'!$C:$BQ,22,0)</f>
        <v>#N/A</v>
      </c>
      <c r="O203" s="115" t="e">
        <f>VLOOKUP($A203,'S45'!$C:$BQ,29,0)</f>
        <v>#N/A</v>
      </c>
      <c r="P203" s="115" t="e">
        <f>VLOOKUP($A203,'S45'!$C:$BQ,30,0)</f>
        <v>#N/A</v>
      </c>
      <c r="Q203" s="115" t="e">
        <f>VLOOKUP($A203,'S45'!$C:$BQ,52,0)</f>
        <v>#N/A</v>
      </c>
      <c r="R203" s="115" t="e">
        <f>VLOOKUP($A203,'S45'!$C:$BQ,59,0)</f>
        <v>#N/A</v>
      </c>
      <c r="S203" s="115" t="e">
        <f>VLOOKUP($A203,'S45'!$C:$BQ,60,0)</f>
        <v>#N/A</v>
      </c>
      <c r="T203" s="107" t="e">
        <f>VLOOKUP($A203,'S46'!$C:$BQ,32,0)</f>
        <v>#N/A</v>
      </c>
      <c r="U203" s="107" t="e">
        <f>VLOOKUP($A203,'S46'!$C:$BQ,39,0)</f>
        <v>#N/A</v>
      </c>
      <c r="V203" s="107" t="e">
        <f>VLOOKUP($A203,'S46'!$C:$BQ,40,0)</f>
        <v>#N/A</v>
      </c>
      <c r="W203" s="107" t="e">
        <f>VLOOKUP($A203,'S46'!$C:$BQ,22,0)</f>
        <v>#N/A</v>
      </c>
      <c r="X203" s="115" t="e">
        <f>VLOOKUP($A203,'S46'!$C:$BQ,29,0)</f>
        <v>#N/A</v>
      </c>
      <c r="Y203" s="115" t="e">
        <f>VLOOKUP($A203,'S46'!$C:$BQ,30,0)</f>
        <v>#N/A</v>
      </c>
      <c r="Z203" s="115" t="e">
        <f>VLOOKUP($A203,'S46'!$C:$BQ,52,0)</f>
        <v>#N/A</v>
      </c>
      <c r="AA203" s="115" t="e">
        <f>VLOOKUP($A203,'S46'!$C:$BQ,59,0)</f>
        <v>#N/A</v>
      </c>
      <c r="AB203" s="115" t="e">
        <f>VLOOKUP($A203,'S46'!$C:$BQ,60,0)</f>
        <v>#N/A</v>
      </c>
      <c r="AC203" s="107" t="e">
        <f>VLOOKUP($A203,'S47'!$C:$BQ,32,0)</f>
        <v>#N/A</v>
      </c>
      <c r="AD203" s="107" t="e">
        <f>VLOOKUP($A203,'S47'!$C:$BQ,39,0)</f>
        <v>#N/A</v>
      </c>
      <c r="AE203" s="107" t="e">
        <f>VLOOKUP($A203,'S47'!$C:$BQ,40,0)</f>
        <v>#N/A</v>
      </c>
      <c r="AF203" s="107" t="e">
        <f>VLOOKUP($A203,'S47'!$C:$BQ,22,0)</f>
        <v>#N/A</v>
      </c>
      <c r="AG203" s="115" t="e">
        <f>VLOOKUP($A203,'S47'!$C:$BQ,29,0)</f>
        <v>#N/A</v>
      </c>
      <c r="AH203" s="115" t="e">
        <f>VLOOKUP($A203,'S47'!$C:$BQ,30,0)</f>
        <v>#N/A</v>
      </c>
      <c r="AI203" s="115" t="e">
        <f>VLOOKUP($A203,'S47'!$C:$BQ,52,0)</f>
        <v>#N/A</v>
      </c>
      <c r="AJ203" s="115" t="e">
        <f>VLOOKUP($A203,'S47'!$C:$BQ,59,0)</f>
        <v>#N/A</v>
      </c>
      <c r="AK203" s="115" t="e">
        <f>VLOOKUP($A203,'S47'!$C:$BQ,60,0)</f>
        <v>#N/A</v>
      </c>
      <c r="AL203" s="107" t="e">
        <f>VLOOKUP($A203,'S48'!$C:$BQ,32,0)</f>
        <v>#N/A</v>
      </c>
      <c r="AM203" s="107" t="e">
        <f>VLOOKUP($A203,'S48'!$C:$BQ,39,0)</f>
        <v>#N/A</v>
      </c>
      <c r="AN203" s="107" t="e">
        <f>VLOOKUP($A203,'S48'!$C:$BQ,40,0)</f>
        <v>#N/A</v>
      </c>
      <c r="AO203" s="107" t="e">
        <f>VLOOKUP($A203,'S48'!$C:$BQ,22,0)</f>
        <v>#N/A</v>
      </c>
      <c r="AP203" s="115" t="e">
        <f>VLOOKUP($A203,'S48'!$C:$BQ,29,0)</f>
        <v>#N/A</v>
      </c>
      <c r="AQ203" s="115" t="e">
        <f>VLOOKUP($A203,'S48'!$C:$BQ,30,0)</f>
        <v>#N/A</v>
      </c>
      <c r="AR203" s="115" t="e">
        <f>VLOOKUP($A203,'S48'!$C:$BQ,52,0)</f>
        <v>#N/A</v>
      </c>
      <c r="AS203" s="115" t="e">
        <f>VLOOKUP($A203,'S48'!$C:$BQ,59,0)</f>
        <v>#N/A</v>
      </c>
      <c r="AT203" s="115" t="e">
        <f>VLOOKUP($A203,'S48'!$C:$BQ,60,0)</f>
        <v>#N/A</v>
      </c>
      <c r="AU203" s="107" t="e">
        <f>VLOOKUP($A203,'S49'!$C:$BQ,32,0)</f>
        <v>#N/A</v>
      </c>
      <c r="AV203" s="107" t="e">
        <f>VLOOKUP($A203,'S49'!$C:$BQ,39,0)</f>
        <v>#N/A</v>
      </c>
      <c r="AW203" s="107" t="e">
        <f>VLOOKUP($A203,'S49'!$C:$BQ,40,0)</f>
        <v>#N/A</v>
      </c>
      <c r="AX203" s="107" t="e">
        <f>VLOOKUP($A203,'S49'!$C:$BQ,22,0)</f>
        <v>#N/A</v>
      </c>
      <c r="AY203" s="115" t="e">
        <f>VLOOKUP($A203,'S49'!$C:$BQ,29,0)</f>
        <v>#N/A</v>
      </c>
      <c r="AZ203" s="115" t="e">
        <f>VLOOKUP($A203,'S49'!$C:$BQ,30,0)</f>
        <v>#N/A</v>
      </c>
      <c r="BA203" s="115" t="e">
        <f>VLOOKUP($A203,'S49'!$C:$BQ,52,0)</f>
        <v>#N/A</v>
      </c>
      <c r="BB203" s="115" t="e">
        <f>VLOOKUP($A203,'S49'!$C:$BQ,59,0)</f>
        <v>#N/A</v>
      </c>
      <c r="BC203" s="115" t="e">
        <f>VLOOKUP($A203,'S49'!$C:$BQ,60,0)</f>
        <v>#N/A</v>
      </c>
      <c r="BD203" s="107" t="e">
        <f>VLOOKUP($A203,'S50'!$C:$BQ,32,0)</f>
        <v>#N/A</v>
      </c>
      <c r="BE203" s="107" t="e">
        <f>VLOOKUP($A203,'S50'!$C:$BQ,39,0)</f>
        <v>#N/A</v>
      </c>
      <c r="BF203" s="107" t="e">
        <f>VLOOKUP($A203,'S50'!$C:$BQ,40,0)</f>
        <v>#N/A</v>
      </c>
      <c r="BG203" s="107" t="e">
        <f>VLOOKUP($A203,'S50'!$C:$BQ,22,0)</f>
        <v>#N/A</v>
      </c>
      <c r="BH203" s="115" t="e">
        <f>VLOOKUP($A203,'S50'!$C:$BQ,29,0)</f>
        <v>#N/A</v>
      </c>
      <c r="BI203" s="115" t="e">
        <f>VLOOKUP($A203,'S50'!$C:$BQ,30,0)</f>
        <v>#N/A</v>
      </c>
      <c r="BJ203" s="115" t="e">
        <f>VLOOKUP($A203,'S50'!$C:$BQ,52,0)</f>
        <v>#N/A</v>
      </c>
      <c r="BK203" s="115" t="e">
        <f>VLOOKUP($A203,'S50'!$C:$BQ,59,0)</f>
        <v>#N/A</v>
      </c>
      <c r="BL203" s="115" t="e">
        <f>VLOOKUP($A203,'S50'!$C:$BQ,60,0)</f>
        <v>#N/A</v>
      </c>
    </row>
    <row r="204" spans="1:64" x14ac:dyDescent="0.2">
      <c r="A204" s="106" t="s">
        <v>273</v>
      </c>
      <c r="B204" s="107">
        <f>VLOOKUP($A204,'S0 remplacer avec S44'!$C:$BQ,32,0)</f>
        <v>539.6</v>
      </c>
      <c r="C204" s="107">
        <f>VLOOKUP($A204,'S0 remplacer avec S44'!$C:$BQ,39,0)</f>
        <v>32</v>
      </c>
      <c r="D204" s="107">
        <f>VLOOKUP($A204,'S0 remplacer avec S44'!$C:$BQ,40,0)</f>
        <v>146</v>
      </c>
      <c r="E204" s="107">
        <f>VLOOKUP($A204,'S0 remplacer avec S44'!$C:$BQ,22,0)</f>
        <v>5755.2518449999998</v>
      </c>
      <c r="F204" s="115">
        <f>VLOOKUP($A204,'S0 remplacer avec S44'!$C:$BQ,29,0)</f>
        <v>0</v>
      </c>
      <c r="G204" s="115">
        <f>VLOOKUP($A204,'S0 remplacer avec S44'!$C:$BQ,30,0)</f>
        <v>477</v>
      </c>
      <c r="H204" s="115">
        <f>VLOOKUP($A204,'S0 remplacer avec S44'!$C:$BQ,52,0)</f>
        <v>376.8</v>
      </c>
      <c r="I204" s="115">
        <f>VLOOKUP($A204,'S0 remplacer avec S44'!$C:$BQ,59,0)</f>
        <v>0</v>
      </c>
      <c r="J204" s="115">
        <f>VLOOKUP($A204,'S0 remplacer avec S44'!$C:$BQ,60,0)</f>
        <v>0</v>
      </c>
      <c r="K204" s="107" t="e">
        <f>VLOOKUP($A204,'S45'!$C:$BQ,32,0)</f>
        <v>#N/A</v>
      </c>
      <c r="L204" s="107" t="e">
        <f>VLOOKUP($A204,'S45'!$C:$BQ,39,0)</f>
        <v>#N/A</v>
      </c>
      <c r="M204" s="107" t="e">
        <f>VLOOKUP($A204,'S45'!$C:$BQ,40,0)</f>
        <v>#N/A</v>
      </c>
      <c r="N204" s="107" t="e">
        <f>VLOOKUP($A204,'S45'!$C:$BQ,22,0)</f>
        <v>#N/A</v>
      </c>
      <c r="O204" s="115" t="e">
        <f>VLOOKUP($A204,'S45'!$C:$BQ,29,0)</f>
        <v>#N/A</v>
      </c>
      <c r="P204" s="115" t="e">
        <f>VLOOKUP($A204,'S45'!$C:$BQ,30,0)</f>
        <v>#N/A</v>
      </c>
      <c r="Q204" s="115" t="e">
        <f>VLOOKUP($A204,'S45'!$C:$BQ,52,0)</f>
        <v>#N/A</v>
      </c>
      <c r="R204" s="115" t="e">
        <f>VLOOKUP($A204,'S45'!$C:$BQ,59,0)</f>
        <v>#N/A</v>
      </c>
      <c r="S204" s="115" t="e">
        <f>VLOOKUP($A204,'S45'!$C:$BQ,60,0)</f>
        <v>#N/A</v>
      </c>
      <c r="T204" s="107" t="e">
        <f>VLOOKUP($A204,'S46'!$C:$BQ,32,0)</f>
        <v>#N/A</v>
      </c>
      <c r="U204" s="107" t="e">
        <f>VLOOKUP($A204,'S46'!$C:$BQ,39,0)</f>
        <v>#N/A</v>
      </c>
      <c r="V204" s="107" t="e">
        <f>VLOOKUP($A204,'S46'!$C:$BQ,40,0)</f>
        <v>#N/A</v>
      </c>
      <c r="W204" s="107" t="e">
        <f>VLOOKUP($A204,'S46'!$C:$BQ,22,0)</f>
        <v>#N/A</v>
      </c>
      <c r="X204" s="115" t="e">
        <f>VLOOKUP($A204,'S46'!$C:$BQ,29,0)</f>
        <v>#N/A</v>
      </c>
      <c r="Y204" s="115" t="e">
        <f>VLOOKUP($A204,'S46'!$C:$BQ,30,0)</f>
        <v>#N/A</v>
      </c>
      <c r="Z204" s="115" t="e">
        <f>VLOOKUP($A204,'S46'!$C:$BQ,52,0)</f>
        <v>#N/A</v>
      </c>
      <c r="AA204" s="115" t="e">
        <f>VLOOKUP($A204,'S46'!$C:$BQ,59,0)</f>
        <v>#N/A</v>
      </c>
      <c r="AB204" s="115" t="e">
        <f>VLOOKUP($A204,'S46'!$C:$BQ,60,0)</f>
        <v>#N/A</v>
      </c>
      <c r="AC204" s="107" t="e">
        <f>VLOOKUP($A204,'S47'!$C:$BQ,32,0)</f>
        <v>#N/A</v>
      </c>
      <c r="AD204" s="107" t="e">
        <f>VLOOKUP($A204,'S47'!$C:$BQ,39,0)</f>
        <v>#N/A</v>
      </c>
      <c r="AE204" s="107" t="e">
        <f>VLOOKUP($A204,'S47'!$C:$BQ,40,0)</f>
        <v>#N/A</v>
      </c>
      <c r="AF204" s="107" t="e">
        <f>VLOOKUP($A204,'S47'!$C:$BQ,22,0)</f>
        <v>#N/A</v>
      </c>
      <c r="AG204" s="115" t="e">
        <f>VLOOKUP($A204,'S47'!$C:$BQ,29,0)</f>
        <v>#N/A</v>
      </c>
      <c r="AH204" s="115" t="e">
        <f>VLOOKUP($A204,'S47'!$C:$BQ,30,0)</f>
        <v>#N/A</v>
      </c>
      <c r="AI204" s="115" t="e">
        <f>VLOOKUP($A204,'S47'!$C:$BQ,52,0)</f>
        <v>#N/A</v>
      </c>
      <c r="AJ204" s="115" t="e">
        <f>VLOOKUP($A204,'S47'!$C:$BQ,59,0)</f>
        <v>#N/A</v>
      </c>
      <c r="AK204" s="115" t="e">
        <f>VLOOKUP($A204,'S47'!$C:$BQ,60,0)</f>
        <v>#N/A</v>
      </c>
      <c r="AL204" s="107" t="e">
        <f>VLOOKUP($A204,'S48'!$C:$BQ,32,0)</f>
        <v>#N/A</v>
      </c>
      <c r="AM204" s="107" t="e">
        <f>VLOOKUP($A204,'S48'!$C:$BQ,39,0)</f>
        <v>#N/A</v>
      </c>
      <c r="AN204" s="107" t="e">
        <f>VLOOKUP($A204,'S48'!$C:$BQ,40,0)</f>
        <v>#N/A</v>
      </c>
      <c r="AO204" s="107" t="e">
        <f>VLOOKUP($A204,'S48'!$C:$BQ,22,0)</f>
        <v>#N/A</v>
      </c>
      <c r="AP204" s="115" t="e">
        <f>VLOOKUP($A204,'S48'!$C:$BQ,29,0)</f>
        <v>#N/A</v>
      </c>
      <c r="AQ204" s="115" t="e">
        <f>VLOOKUP($A204,'S48'!$C:$BQ,30,0)</f>
        <v>#N/A</v>
      </c>
      <c r="AR204" s="115" t="e">
        <f>VLOOKUP($A204,'S48'!$C:$BQ,52,0)</f>
        <v>#N/A</v>
      </c>
      <c r="AS204" s="115" t="e">
        <f>VLOOKUP($A204,'S48'!$C:$BQ,59,0)</f>
        <v>#N/A</v>
      </c>
      <c r="AT204" s="115" t="e">
        <f>VLOOKUP($A204,'S48'!$C:$BQ,60,0)</f>
        <v>#N/A</v>
      </c>
      <c r="AU204" s="107" t="e">
        <f>VLOOKUP($A204,'S49'!$C:$BQ,32,0)</f>
        <v>#N/A</v>
      </c>
      <c r="AV204" s="107" t="e">
        <f>VLOOKUP($A204,'S49'!$C:$BQ,39,0)</f>
        <v>#N/A</v>
      </c>
      <c r="AW204" s="107" t="e">
        <f>VLOOKUP($A204,'S49'!$C:$BQ,40,0)</f>
        <v>#N/A</v>
      </c>
      <c r="AX204" s="107" t="e">
        <f>VLOOKUP($A204,'S49'!$C:$BQ,22,0)</f>
        <v>#N/A</v>
      </c>
      <c r="AY204" s="115" t="e">
        <f>VLOOKUP($A204,'S49'!$C:$BQ,29,0)</f>
        <v>#N/A</v>
      </c>
      <c r="AZ204" s="115" t="e">
        <f>VLOOKUP($A204,'S49'!$C:$BQ,30,0)</f>
        <v>#N/A</v>
      </c>
      <c r="BA204" s="115" t="e">
        <f>VLOOKUP($A204,'S49'!$C:$BQ,52,0)</f>
        <v>#N/A</v>
      </c>
      <c r="BB204" s="115" t="e">
        <f>VLOOKUP($A204,'S49'!$C:$BQ,59,0)</f>
        <v>#N/A</v>
      </c>
      <c r="BC204" s="115" t="e">
        <f>VLOOKUP($A204,'S49'!$C:$BQ,60,0)</f>
        <v>#N/A</v>
      </c>
      <c r="BD204" s="107" t="e">
        <f>VLOOKUP($A204,'S50'!$C:$BQ,32,0)</f>
        <v>#N/A</v>
      </c>
      <c r="BE204" s="107" t="e">
        <f>VLOOKUP($A204,'S50'!$C:$BQ,39,0)</f>
        <v>#N/A</v>
      </c>
      <c r="BF204" s="107" t="e">
        <f>VLOOKUP($A204,'S50'!$C:$BQ,40,0)</f>
        <v>#N/A</v>
      </c>
      <c r="BG204" s="107" t="e">
        <f>VLOOKUP($A204,'S50'!$C:$BQ,22,0)</f>
        <v>#N/A</v>
      </c>
      <c r="BH204" s="115" t="e">
        <f>VLOOKUP($A204,'S50'!$C:$BQ,29,0)</f>
        <v>#N/A</v>
      </c>
      <c r="BI204" s="115" t="e">
        <f>VLOOKUP($A204,'S50'!$C:$BQ,30,0)</f>
        <v>#N/A</v>
      </c>
      <c r="BJ204" s="115" t="e">
        <f>VLOOKUP($A204,'S50'!$C:$BQ,52,0)</f>
        <v>#N/A</v>
      </c>
      <c r="BK204" s="115" t="e">
        <f>VLOOKUP($A204,'S50'!$C:$BQ,59,0)</f>
        <v>#N/A</v>
      </c>
      <c r="BL204" s="115" t="e">
        <f>VLOOKUP($A204,'S50'!$C:$BQ,60,0)</f>
        <v>#N/A</v>
      </c>
    </row>
    <row r="205" spans="1:64" x14ac:dyDescent="0.2">
      <c r="A205" s="106" t="s">
        <v>274</v>
      </c>
      <c r="B205" s="107">
        <f>VLOOKUP($A205,'S0 remplacer avec S44'!$C:$BQ,32,0)</f>
        <v>188.4</v>
      </c>
      <c r="C205" s="107">
        <f>VLOOKUP($A205,'S0 remplacer avec S44'!$C:$BQ,39,0)</f>
        <v>49</v>
      </c>
      <c r="D205" s="107">
        <f>VLOOKUP($A205,'S0 remplacer avec S44'!$C:$BQ,40,0)</f>
        <v>96</v>
      </c>
      <c r="E205" s="107">
        <f>VLOOKUP($A205,'S0 remplacer avec S44'!$C:$BQ,22,0)</f>
        <v>2880.3030549999999</v>
      </c>
      <c r="F205" s="115">
        <f>VLOOKUP($A205,'S0 remplacer avec S44'!$C:$BQ,29,0)</f>
        <v>0</v>
      </c>
      <c r="G205" s="115">
        <f>VLOOKUP($A205,'S0 remplacer avec S44'!$C:$BQ,30,0)</f>
        <v>0</v>
      </c>
      <c r="H205" s="115">
        <f>VLOOKUP($A205,'S0 remplacer avec S44'!$C:$BQ,52,0)</f>
        <v>125.4</v>
      </c>
      <c r="I205" s="115">
        <f>VLOOKUP($A205,'S0 remplacer avec S44'!$C:$BQ,59,0)</f>
        <v>0</v>
      </c>
      <c r="J205" s="115">
        <f>VLOOKUP($A205,'S0 remplacer avec S44'!$C:$BQ,60,0)</f>
        <v>19</v>
      </c>
      <c r="K205" s="107" t="e">
        <f>VLOOKUP($A205,'S45'!$C:$BQ,32,0)</f>
        <v>#N/A</v>
      </c>
      <c r="L205" s="107" t="e">
        <f>VLOOKUP($A205,'S45'!$C:$BQ,39,0)</f>
        <v>#N/A</v>
      </c>
      <c r="M205" s="107" t="e">
        <f>VLOOKUP($A205,'S45'!$C:$BQ,40,0)</f>
        <v>#N/A</v>
      </c>
      <c r="N205" s="107" t="e">
        <f>VLOOKUP($A205,'S45'!$C:$BQ,22,0)</f>
        <v>#N/A</v>
      </c>
      <c r="O205" s="115" t="e">
        <f>VLOOKUP($A205,'S45'!$C:$BQ,29,0)</f>
        <v>#N/A</v>
      </c>
      <c r="P205" s="115" t="e">
        <f>VLOOKUP($A205,'S45'!$C:$BQ,30,0)</f>
        <v>#N/A</v>
      </c>
      <c r="Q205" s="115" t="e">
        <f>VLOOKUP($A205,'S45'!$C:$BQ,52,0)</f>
        <v>#N/A</v>
      </c>
      <c r="R205" s="115" t="e">
        <f>VLOOKUP($A205,'S45'!$C:$BQ,59,0)</f>
        <v>#N/A</v>
      </c>
      <c r="S205" s="115" t="e">
        <f>VLOOKUP($A205,'S45'!$C:$BQ,60,0)</f>
        <v>#N/A</v>
      </c>
      <c r="T205" s="107" t="e">
        <f>VLOOKUP($A205,'S46'!$C:$BQ,32,0)</f>
        <v>#N/A</v>
      </c>
      <c r="U205" s="107" t="e">
        <f>VLOOKUP($A205,'S46'!$C:$BQ,39,0)</f>
        <v>#N/A</v>
      </c>
      <c r="V205" s="107" t="e">
        <f>VLOOKUP($A205,'S46'!$C:$BQ,40,0)</f>
        <v>#N/A</v>
      </c>
      <c r="W205" s="107" t="e">
        <f>VLOOKUP($A205,'S46'!$C:$BQ,22,0)</f>
        <v>#N/A</v>
      </c>
      <c r="X205" s="115" t="e">
        <f>VLOOKUP($A205,'S46'!$C:$BQ,29,0)</f>
        <v>#N/A</v>
      </c>
      <c r="Y205" s="115" t="e">
        <f>VLOOKUP($A205,'S46'!$C:$BQ,30,0)</f>
        <v>#N/A</v>
      </c>
      <c r="Z205" s="115" t="e">
        <f>VLOOKUP($A205,'S46'!$C:$BQ,52,0)</f>
        <v>#N/A</v>
      </c>
      <c r="AA205" s="115" t="e">
        <f>VLOOKUP($A205,'S46'!$C:$BQ,59,0)</f>
        <v>#N/A</v>
      </c>
      <c r="AB205" s="115" t="e">
        <f>VLOOKUP($A205,'S46'!$C:$BQ,60,0)</f>
        <v>#N/A</v>
      </c>
      <c r="AC205" s="107" t="e">
        <f>VLOOKUP($A205,'S47'!$C:$BQ,32,0)</f>
        <v>#N/A</v>
      </c>
      <c r="AD205" s="107" t="e">
        <f>VLOOKUP($A205,'S47'!$C:$BQ,39,0)</f>
        <v>#N/A</v>
      </c>
      <c r="AE205" s="107" t="e">
        <f>VLOOKUP($A205,'S47'!$C:$BQ,40,0)</f>
        <v>#N/A</v>
      </c>
      <c r="AF205" s="107" t="e">
        <f>VLOOKUP($A205,'S47'!$C:$BQ,22,0)</f>
        <v>#N/A</v>
      </c>
      <c r="AG205" s="115" t="e">
        <f>VLOOKUP($A205,'S47'!$C:$BQ,29,0)</f>
        <v>#N/A</v>
      </c>
      <c r="AH205" s="115" t="e">
        <f>VLOOKUP($A205,'S47'!$C:$BQ,30,0)</f>
        <v>#N/A</v>
      </c>
      <c r="AI205" s="115" t="e">
        <f>VLOOKUP($A205,'S47'!$C:$BQ,52,0)</f>
        <v>#N/A</v>
      </c>
      <c r="AJ205" s="115" t="e">
        <f>VLOOKUP($A205,'S47'!$C:$BQ,59,0)</f>
        <v>#N/A</v>
      </c>
      <c r="AK205" s="115" t="e">
        <f>VLOOKUP($A205,'S47'!$C:$BQ,60,0)</f>
        <v>#N/A</v>
      </c>
      <c r="AL205" s="107" t="e">
        <f>VLOOKUP($A205,'S48'!$C:$BQ,32,0)</f>
        <v>#N/A</v>
      </c>
      <c r="AM205" s="107" t="e">
        <f>VLOOKUP($A205,'S48'!$C:$BQ,39,0)</f>
        <v>#N/A</v>
      </c>
      <c r="AN205" s="107" t="e">
        <f>VLOOKUP($A205,'S48'!$C:$BQ,40,0)</f>
        <v>#N/A</v>
      </c>
      <c r="AO205" s="107" t="e">
        <f>VLOOKUP($A205,'S48'!$C:$BQ,22,0)</f>
        <v>#N/A</v>
      </c>
      <c r="AP205" s="115" t="e">
        <f>VLOOKUP($A205,'S48'!$C:$BQ,29,0)</f>
        <v>#N/A</v>
      </c>
      <c r="AQ205" s="115" t="e">
        <f>VLOOKUP($A205,'S48'!$C:$BQ,30,0)</f>
        <v>#N/A</v>
      </c>
      <c r="AR205" s="115" t="e">
        <f>VLOOKUP($A205,'S48'!$C:$BQ,52,0)</f>
        <v>#N/A</v>
      </c>
      <c r="AS205" s="115" t="e">
        <f>VLOOKUP($A205,'S48'!$C:$BQ,59,0)</f>
        <v>#N/A</v>
      </c>
      <c r="AT205" s="115" t="e">
        <f>VLOOKUP($A205,'S48'!$C:$BQ,60,0)</f>
        <v>#N/A</v>
      </c>
      <c r="AU205" s="107" t="e">
        <f>VLOOKUP($A205,'S49'!$C:$BQ,32,0)</f>
        <v>#N/A</v>
      </c>
      <c r="AV205" s="107" t="e">
        <f>VLOOKUP($A205,'S49'!$C:$BQ,39,0)</f>
        <v>#N/A</v>
      </c>
      <c r="AW205" s="107" t="e">
        <f>VLOOKUP($A205,'S49'!$C:$BQ,40,0)</f>
        <v>#N/A</v>
      </c>
      <c r="AX205" s="107" t="e">
        <f>VLOOKUP($A205,'S49'!$C:$BQ,22,0)</f>
        <v>#N/A</v>
      </c>
      <c r="AY205" s="115" t="e">
        <f>VLOOKUP($A205,'S49'!$C:$BQ,29,0)</f>
        <v>#N/A</v>
      </c>
      <c r="AZ205" s="115" t="e">
        <f>VLOOKUP($A205,'S49'!$C:$BQ,30,0)</f>
        <v>#N/A</v>
      </c>
      <c r="BA205" s="115" t="e">
        <f>VLOOKUP($A205,'S49'!$C:$BQ,52,0)</f>
        <v>#N/A</v>
      </c>
      <c r="BB205" s="115" t="e">
        <f>VLOOKUP($A205,'S49'!$C:$BQ,59,0)</f>
        <v>#N/A</v>
      </c>
      <c r="BC205" s="115" t="e">
        <f>VLOOKUP($A205,'S49'!$C:$BQ,60,0)</f>
        <v>#N/A</v>
      </c>
      <c r="BD205" s="107" t="e">
        <f>VLOOKUP($A205,'S50'!$C:$BQ,32,0)</f>
        <v>#N/A</v>
      </c>
      <c r="BE205" s="107" t="e">
        <f>VLOOKUP($A205,'S50'!$C:$BQ,39,0)</f>
        <v>#N/A</v>
      </c>
      <c r="BF205" s="107" t="e">
        <f>VLOOKUP($A205,'S50'!$C:$BQ,40,0)</f>
        <v>#N/A</v>
      </c>
      <c r="BG205" s="107" t="e">
        <f>VLOOKUP($A205,'S50'!$C:$BQ,22,0)</f>
        <v>#N/A</v>
      </c>
      <c r="BH205" s="115" t="e">
        <f>VLOOKUP($A205,'S50'!$C:$BQ,29,0)</f>
        <v>#N/A</v>
      </c>
      <c r="BI205" s="115" t="e">
        <f>VLOOKUP($A205,'S50'!$C:$BQ,30,0)</f>
        <v>#N/A</v>
      </c>
      <c r="BJ205" s="115" t="e">
        <f>VLOOKUP($A205,'S50'!$C:$BQ,52,0)</f>
        <v>#N/A</v>
      </c>
      <c r="BK205" s="115" t="e">
        <f>VLOOKUP($A205,'S50'!$C:$BQ,59,0)</f>
        <v>#N/A</v>
      </c>
      <c r="BL205" s="115" t="e">
        <f>VLOOKUP($A205,'S50'!$C:$BQ,60,0)</f>
        <v>#N/A</v>
      </c>
    </row>
    <row r="206" spans="1:64" x14ac:dyDescent="0.2">
      <c r="A206" s="106" t="s">
        <v>275</v>
      </c>
      <c r="B206" s="107">
        <f>VLOOKUP($A206,'S0 remplacer avec S44'!$C:$BQ,32,0)</f>
        <v>170.35</v>
      </c>
      <c r="C206" s="107">
        <f>VLOOKUP($A206,'S0 remplacer avec S44'!$C:$BQ,39,0)</f>
        <v>0</v>
      </c>
      <c r="D206" s="107">
        <f>VLOOKUP($A206,'S0 remplacer avec S44'!$C:$BQ,40,0)</f>
        <v>29</v>
      </c>
      <c r="E206" s="107">
        <f>VLOOKUP($A206,'S0 remplacer avec S44'!$C:$BQ,22,0)</f>
        <v>1476.2084600000001</v>
      </c>
      <c r="F206" s="115">
        <f>VLOOKUP($A206,'S0 remplacer avec S44'!$C:$BQ,29,0)</f>
        <v>28</v>
      </c>
      <c r="G206" s="115">
        <f>VLOOKUP($A206,'S0 remplacer avec S44'!$C:$BQ,30,0)</f>
        <v>329</v>
      </c>
      <c r="H206" s="115">
        <f>VLOOKUP($A206,'S0 remplacer avec S44'!$C:$BQ,52,0)</f>
        <v>106</v>
      </c>
      <c r="I206" s="115">
        <f>VLOOKUP($A206,'S0 remplacer avec S44'!$C:$BQ,59,0)</f>
        <v>0</v>
      </c>
      <c r="J206" s="115">
        <f>VLOOKUP($A206,'S0 remplacer avec S44'!$C:$BQ,60,0)</f>
        <v>0</v>
      </c>
      <c r="K206" s="107" t="e">
        <f>VLOOKUP($A206,'S45'!$C:$BQ,32,0)</f>
        <v>#N/A</v>
      </c>
      <c r="L206" s="107" t="e">
        <f>VLOOKUP($A206,'S45'!$C:$BQ,39,0)</f>
        <v>#N/A</v>
      </c>
      <c r="M206" s="107" t="e">
        <f>VLOOKUP($A206,'S45'!$C:$BQ,40,0)</f>
        <v>#N/A</v>
      </c>
      <c r="N206" s="107" t="e">
        <f>VLOOKUP($A206,'S45'!$C:$BQ,22,0)</f>
        <v>#N/A</v>
      </c>
      <c r="O206" s="115" t="e">
        <f>VLOOKUP($A206,'S45'!$C:$BQ,29,0)</f>
        <v>#N/A</v>
      </c>
      <c r="P206" s="115" t="e">
        <f>VLOOKUP($A206,'S45'!$C:$BQ,30,0)</f>
        <v>#N/A</v>
      </c>
      <c r="Q206" s="115" t="e">
        <f>VLOOKUP($A206,'S45'!$C:$BQ,52,0)</f>
        <v>#N/A</v>
      </c>
      <c r="R206" s="115" t="e">
        <f>VLOOKUP($A206,'S45'!$C:$BQ,59,0)</f>
        <v>#N/A</v>
      </c>
      <c r="S206" s="115" t="e">
        <f>VLOOKUP($A206,'S45'!$C:$BQ,60,0)</f>
        <v>#N/A</v>
      </c>
      <c r="T206" s="107" t="e">
        <f>VLOOKUP($A206,'S46'!$C:$BQ,32,0)</f>
        <v>#N/A</v>
      </c>
      <c r="U206" s="107" t="e">
        <f>VLOOKUP($A206,'S46'!$C:$BQ,39,0)</f>
        <v>#N/A</v>
      </c>
      <c r="V206" s="107" t="e">
        <f>VLOOKUP($A206,'S46'!$C:$BQ,40,0)</f>
        <v>#N/A</v>
      </c>
      <c r="W206" s="107" t="e">
        <f>VLOOKUP($A206,'S46'!$C:$BQ,22,0)</f>
        <v>#N/A</v>
      </c>
      <c r="X206" s="115" t="e">
        <f>VLOOKUP($A206,'S46'!$C:$BQ,29,0)</f>
        <v>#N/A</v>
      </c>
      <c r="Y206" s="115" t="e">
        <f>VLOOKUP($A206,'S46'!$C:$BQ,30,0)</f>
        <v>#N/A</v>
      </c>
      <c r="Z206" s="115" t="e">
        <f>VLOOKUP($A206,'S46'!$C:$BQ,52,0)</f>
        <v>#N/A</v>
      </c>
      <c r="AA206" s="115" t="e">
        <f>VLOOKUP($A206,'S46'!$C:$BQ,59,0)</f>
        <v>#N/A</v>
      </c>
      <c r="AB206" s="115" t="e">
        <f>VLOOKUP($A206,'S46'!$C:$BQ,60,0)</f>
        <v>#N/A</v>
      </c>
      <c r="AC206" s="107" t="e">
        <f>VLOOKUP($A206,'S47'!$C:$BQ,32,0)</f>
        <v>#N/A</v>
      </c>
      <c r="AD206" s="107" t="e">
        <f>VLOOKUP($A206,'S47'!$C:$BQ,39,0)</f>
        <v>#N/A</v>
      </c>
      <c r="AE206" s="107" t="e">
        <f>VLOOKUP($A206,'S47'!$C:$BQ,40,0)</f>
        <v>#N/A</v>
      </c>
      <c r="AF206" s="107" t="e">
        <f>VLOOKUP($A206,'S47'!$C:$BQ,22,0)</f>
        <v>#N/A</v>
      </c>
      <c r="AG206" s="115" t="e">
        <f>VLOOKUP($A206,'S47'!$C:$BQ,29,0)</f>
        <v>#N/A</v>
      </c>
      <c r="AH206" s="115" t="e">
        <f>VLOOKUP($A206,'S47'!$C:$BQ,30,0)</f>
        <v>#N/A</v>
      </c>
      <c r="AI206" s="115" t="e">
        <f>VLOOKUP($A206,'S47'!$C:$BQ,52,0)</f>
        <v>#N/A</v>
      </c>
      <c r="AJ206" s="115" t="e">
        <f>VLOOKUP($A206,'S47'!$C:$BQ,59,0)</f>
        <v>#N/A</v>
      </c>
      <c r="AK206" s="115" t="e">
        <f>VLOOKUP($A206,'S47'!$C:$BQ,60,0)</f>
        <v>#N/A</v>
      </c>
      <c r="AL206" s="107" t="e">
        <f>VLOOKUP($A206,'S48'!$C:$BQ,32,0)</f>
        <v>#N/A</v>
      </c>
      <c r="AM206" s="107" t="e">
        <f>VLOOKUP($A206,'S48'!$C:$BQ,39,0)</f>
        <v>#N/A</v>
      </c>
      <c r="AN206" s="107" t="e">
        <f>VLOOKUP($A206,'S48'!$C:$BQ,40,0)</f>
        <v>#N/A</v>
      </c>
      <c r="AO206" s="107" t="e">
        <f>VLOOKUP($A206,'S48'!$C:$BQ,22,0)</f>
        <v>#N/A</v>
      </c>
      <c r="AP206" s="115" t="e">
        <f>VLOOKUP($A206,'S48'!$C:$BQ,29,0)</f>
        <v>#N/A</v>
      </c>
      <c r="AQ206" s="115" t="e">
        <f>VLOOKUP($A206,'S48'!$C:$BQ,30,0)</f>
        <v>#N/A</v>
      </c>
      <c r="AR206" s="115" t="e">
        <f>VLOOKUP($A206,'S48'!$C:$BQ,52,0)</f>
        <v>#N/A</v>
      </c>
      <c r="AS206" s="115" t="e">
        <f>VLOOKUP($A206,'S48'!$C:$BQ,59,0)</f>
        <v>#N/A</v>
      </c>
      <c r="AT206" s="115" t="e">
        <f>VLOOKUP($A206,'S48'!$C:$BQ,60,0)</f>
        <v>#N/A</v>
      </c>
      <c r="AU206" s="107" t="e">
        <f>VLOOKUP($A206,'S49'!$C:$BQ,32,0)</f>
        <v>#N/A</v>
      </c>
      <c r="AV206" s="107" t="e">
        <f>VLOOKUP($A206,'S49'!$C:$BQ,39,0)</f>
        <v>#N/A</v>
      </c>
      <c r="AW206" s="107" t="e">
        <f>VLOOKUP($A206,'S49'!$C:$BQ,40,0)</f>
        <v>#N/A</v>
      </c>
      <c r="AX206" s="107" t="e">
        <f>VLOOKUP($A206,'S49'!$C:$BQ,22,0)</f>
        <v>#N/A</v>
      </c>
      <c r="AY206" s="115" t="e">
        <f>VLOOKUP($A206,'S49'!$C:$BQ,29,0)</f>
        <v>#N/A</v>
      </c>
      <c r="AZ206" s="115" t="e">
        <f>VLOOKUP($A206,'S49'!$C:$BQ,30,0)</f>
        <v>#N/A</v>
      </c>
      <c r="BA206" s="115" t="e">
        <f>VLOOKUP($A206,'S49'!$C:$BQ,52,0)</f>
        <v>#N/A</v>
      </c>
      <c r="BB206" s="115" t="e">
        <f>VLOOKUP($A206,'S49'!$C:$BQ,59,0)</f>
        <v>#N/A</v>
      </c>
      <c r="BC206" s="115" t="e">
        <f>VLOOKUP($A206,'S49'!$C:$BQ,60,0)</f>
        <v>#N/A</v>
      </c>
      <c r="BD206" s="107" t="e">
        <f>VLOOKUP($A206,'S50'!$C:$BQ,32,0)</f>
        <v>#N/A</v>
      </c>
      <c r="BE206" s="107" t="e">
        <f>VLOOKUP($A206,'S50'!$C:$BQ,39,0)</f>
        <v>#N/A</v>
      </c>
      <c r="BF206" s="107" t="e">
        <f>VLOOKUP($A206,'S50'!$C:$BQ,40,0)</f>
        <v>#N/A</v>
      </c>
      <c r="BG206" s="107" t="e">
        <f>VLOOKUP($A206,'S50'!$C:$BQ,22,0)</f>
        <v>#N/A</v>
      </c>
      <c r="BH206" s="115" t="e">
        <f>VLOOKUP($A206,'S50'!$C:$BQ,29,0)</f>
        <v>#N/A</v>
      </c>
      <c r="BI206" s="115" t="e">
        <f>VLOOKUP($A206,'S50'!$C:$BQ,30,0)</f>
        <v>#N/A</v>
      </c>
      <c r="BJ206" s="115" t="e">
        <f>VLOOKUP($A206,'S50'!$C:$BQ,52,0)</f>
        <v>#N/A</v>
      </c>
      <c r="BK206" s="115" t="e">
        <f>VLOOKUP($A206,'S50'!$C:$BQ,59,0)</f>
        <v>#N/A</v>
      </c>
      <c r="BL206" s="115" t="e">
        <f>VLOOKUP($A206,'S50'!$C:$BQ,60,0)</f>
        <v>#N/A</v>
      </c>
    </row>
    <row r="207" spans="1:64" x14ac:dyDescent="0.2">
      <c r="A207" s="106" t="s">
        <v>278</v>
      </c>
      <c r="B207" s="107">
        <f>VLOOKUP($A207,'S0 remplacer avec S44'!$C:$BQ,32,0)</f>
        <v>229.25</v>
      </c>
      <c r="C207" s="107">
        <f>VLOOKUP($A207,'S0 remplacer avec S44'!$C:$BQ,39,0)</f>
        <v>14</v>
      </c>
      <c r="D207" s="107">
        <f>VLOOKUP($A207,'S0 remplacer avec S44'!$C:$BQ,40,0)</f>
        <v>62</v>
      </c>
      <c r="E207" s="107">
        <f>VLOOKUP($A207,'S0 remplacer avec S44'!$C:$BQ,22,0)</f>
        <v>3546.1872600000002</v>
      </c>
      <c r="F207" s="115">
        <f>VLOOKUP($A207,'S0 remplacer avec S44'!$C:$BQ,29,0)</f>
        <v>0</v>
      </c>
      <c r="G207" s="115">
        <f>VLOOKUP($A207,'S0 remplacer avec S44'!$C:$BQ,30,0)</f>
        <v>0</v>
      </c>
      <c r="H207" s="115">
        <f>VLOOKUP($A207,'S0 remplacer avec S44'!$C:$BQ,52,0)</f>
        <v>184.6</v>
      </c>
      <c r="I207" s="115">
        <f>VLOOKUP($A207,'S0 remplacer avec S44'!$C:$BQ,59,0)</f>
        <v>0</v>
      </c>
      <c r="J207" s="115">
        <f>VLOOKUP($A207,'S0 remplacer avec S44'!$C:$BQ,60,0)</f>
        <v>0</v>
      </c>
      <c r="K207" s="107" t="e">
        <f>VLOOKUP($A207,'S45'!$C:$BQ,32,0)</f>
        <v>#N/A</v>
      </c>
      <c r="L207" s="107" t="e">
        <f>VLOOKUP($A207,'S45'!$C:$BQ,39,0)</f>
        <v>#N/A</v>
      </c>
      <c r="M207" s="107" t="e">
        <f>VLOOKUP($A207,'S45'!$C:$BQ,40,0)</f>
        <v>#N/A</v>
      </c>
      <c r="N207" s="107" t="e">
        <f>VLOOKUP($A207,'S45'!$C:$BQ,22,0)</f>
        <v>#N/A</v>
      </c>
      <c r="O207" s="115" t="e">
        <f>VLOOKUP($A207,'S45'!$C:$BQ,29,0)</f>
        <v>#N/A</v>
      </c>
      <c r="P207" s="115" t="e">
        <f>VLOOKUP($A207,'S45'!$C:$BQ,30,0)</f>
        <v>#N/A</v>
      </c>
      <c r="Q207" s="115" t="e">
        <f>VLOOKUP($A207,'S45'!$C:$BQ,52,0)</f>
        <v>#N/A</v>
      </c>
      <c r="R207" s="115" t="e">
        <f>VLOOKUP($A207,'S45'!$C:$BQ,59,0)</f>
        <v>#N/A</v>
      </c>
      <c r="S207" s="115" t="e">
        <f>VLOOKUP($A207,'S45'!$C:$BQ,60,0)</f>
        <v>#N/A</v>
      </c>
      <c r="T207" s="107" t="e">
        <f>VLOOKUP($A207,'S46'!$C:$BQ,32,0)</f>
        <v>#N/A</v>
      </c>
      <c r="U207" s="107" t="e">
        <f>VLOOKUP($A207,'S46'!$C:$BQ,39,0)</f>
        <v>#N/A</v>
      </c>
      <c r="V207" s="107" t="e">
        <f>VLOOKUP($A207,'S46'!$C:$BQ,40,0)</f>
        <v>#N/A</v>
      </c>
      <c r="W207" s="107" t="e">
        <f>VLOOKUP($A207,'S46'!$C:$BQ,22,0)</f>
        <v>#N/A</v>
      </c>
      <c r="X207" s="115" t="e">
        <f>VLOOKUP($A207,'S46'!$C:$BQ,29,0)</f>
        <v>#N/A</v>
      </c>
      <c r="Y207" s="115" t="e">
        <f>VLOOKUP($A207,'S46'!$C:$BQ,30,0)</f>
        <v>#N/A</v>
      </c>
      <c r="Z207" s="115" t="e">
        <f>VLOOKUP($A207,'S46'!$C:$BQ,52,0)</f>
        <v>#N/A</v>
      </c>
      <c r="AA207" s="115" t="e">
        <f>VLOOKUP($A207,'S46'!$C:$BQ,59,0)</f>
        <v>#N/A</v>
      </c>
      <c r="AB207" s="115" t="e">
        <f>VLOOKUP($A207,'S46'!$C:$BQ,60,0)</f>
        <v>#N/A</v>
      </c>
      <c r="AC207" s="107" t="e">
        <f>VLOOKUP($A207,'S47'!$C:$BQ,32,0)</f>
        <v>#N/A</v>
      </c>
      <c r="AD207" s="107" t="e">
        <f>VLOOKUP($A207,'S47'!$C:$BQ,39,0)</f>
        <v>#N/A</v>
      </c>
      <c r="AE207" s="107" t="e">
        <f>VLOOKUP($A207,'S47'!$C:$BQ,40,0)</f>
        <v>#N/A</v>
      </c>
      <c r="AF207" s="107" t="e">
        <f>VLOOKUP($A207,'S47'!$C:$BQ,22,0)</f>
        <v>#N/A</v>
      </c>
      <c r="AG207" s="115" t="e">
        <f>VLOOKUP($A207,'S47'!$C:$BQ,29,0)</f>
        <v>#N/A</v>
      </c>
      <c r="AH207" s="115" t="e">
        <f>VLOOKUP($A207,'S47'!$C:$BQ,30,0)</f>
        <v>#N/A</v>
      </c>
      <c r="AI207" s="115" t="e">
        <f>VLOOKUP($A207,'S47'!$C:$BQ,52,0)</f>
        <v>#N/A</v>
      </c>
      <c r="AJ207" s="115" t="e">
        <f>VLOOKUP($A207,'S47'!$C:$BQ,59,0)</f>
        <v>#N/A</v>
      </c>
      <c r="AK207" s="115" t="e">
        <f>VLOOKUP($A207,'S47'!$C:$BQ,60,0)</f>
        <v>#N/A</v>
      </c>
      <c r="AL207" s="107" t="e">
        <f>VLOOKUP($A207,'S48'!$C:$BQ,32,0)</f>
        <v>#N/A</v>
      </c>
      <c r="AM207" s="107" t="e">
        <f>VLOOKUP($A207,'S48'!$C:$BQ,39,0)</f>
        <v>#N/A</v>
      </c>
      <c r="AN207" s="107" t="e">
        <f>VLOOKUP($A207,'S48'!$C:$BQ,40,0)</f>
        <v>#N/A</v>
      </c>
      <c r="AO207" s="107" t="e">
        <f>VLOOKUP($A207,'S48'!$C:$BQ,22,0)</f>
        <v>#N/A</v>
      </c>
      <c r="AP207" s="115" t="e">
        <f>VLOOKUP($A207,'S48'!$C:$BQ,29,0)</f>
        <v>#N/A</v>
      </c>
      <c r="AQ207" s="115" t="e">
        <f>VLOOKUP($A207,'S48'!$C:$BQ,30,0)</f>
        <v>#N/A</v>
      </c>
      <c r="AR207" s="115" t="e">
        <f>VLOOKUP($A207,'S48'!$C:$BQ,52,0)</f>
        <v>#N/A</v>
      </c>
      <c r="AS207" s="115" t="e">
        <f>VLOOKUP($A207,'S48'!$C:$BQ,59,0)</f>
        <v>#N/A</v>
      </c>
      <c r="AT207" s="115" t="e">
        <f>VLOOKUP($A207,'S48'!$C:$BQ,60,0)</f>
        <v>#N/A</v>
      </c>
      <c r="AU207" s="107" t="e">
        <f>VLOOKUP($A207,'S49'!$C:$BQ,32,0)</f>
        <v>#N/A</v>
      </c>
      <c r="AV207" s="107" t="e">
        <f>VLOOKUP($A207,'S49'!$C:$BQ,39,0)</f>
        <v>#N/A</v>
      </c>
      <c r="AW207" s="107" t="e">
        <f>VLOOKUP($A207,'S49'!$C:$BQ,40,0)</f>
        <v>#N/A</v>
      </c>
      <c r="AX207" s="107" t="e">
        <f>VLOOKUP($A207,'S49'!$C:$BQ,22,0)</f>
        <v>#N/A</v>
      </c>
      <c r="AY207" s="115" t="e">
        <f>VLOOKUP($A207,'S49'!$C:$BQ,29,0)</f>
        <v>#N/A</v>
      </c>
      <c r="AZ207" s="115" t="e">
        <f>VLOOKUP($A207,'S49'!$C:$BQ,30,0)</f>
        <v>#N/A</v>
      </c>
      <c r="BA207" s="115" t="e">
        <f>VLOOKUP($A207,'S49'!$C:$BQ,52,0)</f>
        <v>#N/A</v>
      </c>
      <c r="BB207" s="115" t="e">
        <f>VLOOKUP($A207,'S49'!$C:$BQ,59,0)</f>
        <v>#N/A</v>
      </c>
      <c r="BC207" s="115" t="e">
        <f>VLOOKUP($A207,'S49'!$C:$BQ,60,0)</f>
        <v>#N/A</v>
      </c>
      <c r="BD207" s="107" t="e">
        <f>VLOOKUP($A207,'S50'!$C:$BQ,32,0)</f>
        <v>#N/A</v>
      </c>
      <c r="BE207" s="107" t="e">
        <f>VLOOKUP($A207,'S50'!$C:$BQ,39,0)</f>
        <v>#N/A</v>
      </c>
      <c r="BF207" s="107" t="e">
        <f>VLOOKUP($A207,'S50'!$C:$BQ,40,0)</f>
        <v>#N/A</v>
      </c>
      <c r="BG207" s="107" t="e">
        <f>VLOOKUP($A207,'S50'!$C:$BQ,22,0)</f>
        <v>#N/A</v>
      </c>
      <c r="BH207" s="115" t="e">
        <f>VLOOKUP($A207,'S50'!$C:$BQ,29,0)</f>
        <v>#N/A</v>
      </c>
      <c r="BI207" s="115" t="e">
        <f>VLOOKUP($A207,'S50'!$C:$BQ,30,0)</f>
        <v>#N/A</v>
      </c>
      <c r="BJ207" s="115" t="e">
        <f>VLOOKUP($A207,'S50'!$C:$BQ,52,0)</f>
        <v>#N/A</v>
      </c>
      <c r="BK207" s="115" t="e">
        <f>VLOOKUP($A207,'S50'!$C:$BQ,59,0)</f>
        <v>#N/A</v>
      </c>
      <c r="BL207" s="115" t="e">
        <f>VLOOKUP($A207,'S50'!$C:$BQ,60,0)</f>
        <v>#N/A</v>
      </c>
    </row>
    <row r="208" spans="1:64" x14ac:dyDescent="0.2">
      <c r="A208" s="106" t="s">
        <v>279</v>
      </c>
      <c r="B208" s="107">
        <f>VLOOKUP($A208,'S0 remplacer avec S44'!$C:$BQ,32,0)</f>
        <v>126.05</v>
      </c>
      <c r="C208" s="107">
        <f>VLOOKUP($A208,'S0 remplacer avec S44'!$C:$BQ,39,0)</f>
        <v>63</v>
      </c>
      <c r="D208" s="107">
        <f>VLOOKUP($A208,'S0 remplacer avec S44'!$C:$BQ,40,0)</f>
        <v>100</v>
      </c>
      <c r="E208" s="107">
        <f>VLOOKUP($A208,'S0 remplacer avec S44'!$C:$BQ,22,0)</f>
        <v>1648.582445</v>
      </c>
      <c r="F208" s="115">
        <f>VLOOKUP($A208,'S0 remplacer avec S44'!$C:$BQ,29,0)</f>
        <v>65</v>
      </c>
      <c r="G208" s="115">
        <f>VLOOKUP($A208,'S0 remplacer avec S44'!$C:$BQ,30,0)</f>
        <v>408</v>
      </c>
      <c r="H208" s="115">
        <f>VLOOKUP($A208,'S0 remplacer avec S44'!$C:$BQ,52,0)</f>
        <v>90.8</v>
      </c>
      <c r="I208" s="115">
        <f>VLOOKUP($A208,'S0 remplacer avec S44'!$C:$BQ,59,0)</f>
        <v>5</v>
      </c>
      <c r="J208" s="115">
        <f>VLOOKUP($A208,'S0 remplacer avec S44'!$C:$BQ,60,0)</f>
        <v>24</v>
      </c>
      <c r="K208" s="107" t="e">
        <f>VLOOKUP($A208,'S45'!$C:$BQ,32,0)</f>
        <v>#N/A</v>
      </c>
      <c r="L208" s="107" t="e">
        <f>VLOOKUP($A208,'S45'!$C:$BQ,39,0)</f>
        <v>#N/A</v>
      </c>
      <c r="M208" s="107" t="e">
        <f>VLOOKUP($A208,'S45'!$C:$BQ,40,0)</f>
        <v>#N/A</v>
      </c>
      <c r="N208" s="107" t="e">
        <f>VLOOKUP($A208,'S45'!$C:$BQ,22,0)</f>
        <v>#N/A</v>
      </c>
      <c r="O208" s="115" t="e">
        <f>VLOOKUP($A208,'S45'!$C:$BQ,29,0)</f>
        <v>#N/A</v>
      </c>
      <c r="P208" s="115" t="e">
        <f>VLOOKUP($A208,'S45'!$C:$BQ,30,0)</f>
        <v>#N/A</v>
      </c>
      <c r="Q208" s="115" t="e">
        <f>VLOOKUP($A208,'S45'!$C:$BQ,52,0)</f>
        <v>#N/A</v>
      </c>
      <c r="R208" s="115" t="e">
        <f>VLOOKUP($A208,'S45'!$C:$BQ,59,0)</f>
        <v>#N/A</v>
      </c>
      <c r="S208" s="115" t="e">
        <f>VLOOKUP($A208,'S45'!$C:$BQ,60,0)</f>
        <v>#N/A</v>
      </c>
      <c r="T208" s="107" t="e">
        <f>VLOOKUP($A208,'S46'!$C:$BQ,32,0)</f>
        <v>#N/A</v>
      </c>
      <c r="U208" s="107" t="e">
        <f>VLOOKUP($A208,'S46'!$C:$BQ,39,0)</f>
        <v>#N/A</v>
      </c>
      <c r="V208" s="107" t="e">
        <f>VLOOKUP($A208,'S46'!$C:$BQ,40,0)</f>
        <v>#N/A</v>
      </c>
      <c r="W208" s="107" t="e">
        <f>VLOOKUP($A208,'S46'!$C:$BQ,22,0)</f>
        <v>#N/A</v>
      </c>
      <c r="X208" s="115" t="e">
        <f>VLOOKUP($A208,'S46'!$C:$BQ,29,0)</f>
        <v>#N/A</v>
      </c>
      <c r="Y208" s="115" t="e">
        <f>VLOOKUP($A208,'S46'!$C:$BQ,30,0)</f>
        <v>#N/A</v>
      </c>
      <c r="Z208" s="115" t="e">
        <f>VLOOKUP($A208,'S46'!$C:$BQ,52,0)</f>
        <v>#N/A</v>
      </c>
      <c r="AA208" s="115" t="e">
        <f>VLOOKUP($A208,'S46'!$C:$BQ,59,0)</f>
        <v>#N/A</v>
      </c>
      <c r="AB208" s="115" t="e">
        <f>VLOOKUP($A208,'S46'!$C:$BQ,60,0)</f>
        <v>#N/A</v>
      </c>
      <c r="AC208" s="107" t="e">
        <f>VLOOKUP($A208,'S47'!$C:$BQ,32,0)</f>
        <v>#N/A</v>
      </c>
      <c r="AD208" s="107" t="e">
        <f>VLOOKUP($A208,'S47'!$C:$BQ,39,0)</f>
        <v>#N/A</v>
      </c>
      <c r="AE208" s="107" t="e">
        <f>VLOOKUP($A208,'S47'!$C:$BQ,40,0)</f>
        <v>#N/A</v>
      </c>
      <c r="AF208" s="107" t="e">
        <f>VLOOKUP($A208,'S47'!$C:$BQ,22,0)</f>
        <v>#N/A</v>
      </c>
      <c r="AG208" s="115" t="e">
        <f>VLOOKUP($A208,'S47'!$C:$BQ,29,0)</f>
        <v>#N/A</v>
      </c>
      <c r="AH208" s="115" t="e">
        <f>VLOOKUP($A208,'S47'!$C:$BQ,30,0)</f>
        <v>#N/A</v>
      </c>
      <c r="AI208" s="115" t="e">
        <f>VLOOKUP($A208,'S47'!$C:$BQ,52,0)</f>
        <v>#N/A</v>
      </c>
      <c r="AJ208" s="115" t="e">
        <f>VLOOKUP($A208,'S47'!$C:$BQ,59,0)</f>
        <v>#N/A</v>
      </c>
      <c r="AK208" s="115" t="e">
        <f>VLOOKUP($A208,'S47'!$C:$BQ,60,0)</f>
        <v>#N/A</v>
      </c>
      <c r="AL208" s="107" t="e">
        <f>VLOOKUP($A208,'S48'!$C:$BQ,32,0)</f>
        <v>#N/A</v>
      </c>
      <c r="AM208" s="107" t="e">
        <f>VLOOKUP($A208,'S48'!$C:$BQ,39,0)</f>
        <v>#N/A</v>
      </c>
      <c r="AN208" s="107" t="e">
        <f>VLOOKUP($A208,'S48'!$C:$BQ,40,0)</f>
        <v>#N/A</v>
      </c>
      <c r="AO208" s="107" t="e">
        <f>VLOOKUP($A208,'S48'!$C:$BQ,22,0)</f>
        <v>#N/A</v>
      </c>
      <c r="AP208" s="115" t="e">
        <f>VLOOKUP($A208,'S48'!$C:$BQ,29,0)</f>
        <v>#N/A</v>
      </c>
      <c r="AQ208" s="115" t="e">
        <f>VLOOKUP($A208,'S48'!$C:$BQ,30,0)</f>
        <v>#N/A</v>
      </c>
      <c r="AR208" s="115" t="e">
        <f>VLOOKUP($A208,'S48'!$C:$BQ,52,0)</f>
        <v>#N/A</v>
      </c>
      <c r="AS208" s="115" t="e">
        <f>VLOOKUP($A208,'S48'!$C:$BQ,59,0)</f>
        <v>#N/A</v>
      </c>
      <c r="AT208" s="115" t="e">
        <f>VLOOKUP($A208,'S48'!$C:$BQ,60,0)</f>
        <v>#N/A</v>
      </c>
      <c r="AU208" s="107" t="e">
        <f>VLOOKUP($A208,'S49'!$C:$BQ,32,0)</f>
        <v>#N/A</v>
      </c>
      <c r="AV208" s="107" t="e">
        <f>VLOOKUP($A208,'S49'!$C:$BQ,39,0)</f>
        <v>#N/A</v>
      </c>
      <c r="AW208" s="107" t="e">
        <f>VLOOKUP($A208,'S49'!$C:$BQ,40,0)</f>
        <v>#N/A</v>
      </c>
      <c r="AX208" s="107" t="e">
        <f>VLOOKUP($A208,'S49'!$C:$BQ,22,0)</f>
        <v>#N/A</v>
      </c>
      <c r="AY208" s="115" t="e">
        <f>VLOOKUP($A208,'S49'!$C:$BQ,29,0)</f>
        <v>#N/A</v>
      </c>
      <c r="AZ208" s="115" t="e">
        <f>VLOOKUP($A208,'S49'!$C:$BQ,30,0)</f>
        <v>#N/A</v>
      </c>
      <c r="BA208" s="115" t="e">
        <f>VLOOKUP($A208,'S49'!$C:$BQ,52,0)</f>
        <v>#N/A</v>
      </c>
      <c r="BB208" s="115" t="e">
        <f>VLOOKUP($A208,'S49'!$C:$BQ,59,0)</f>
        <v>#N/A</v>
      </c>
      <c r="BC208" s="115" t="e">
        <f>VLOOKUP($A208,'S49'!$C:$BQ,60,0)</f>
        <v>#N/A</v>
      </c>
      <c r="BD208" s="107" t="e">
        <f>VLOOKUP($A208,'S50'!$C:$BQ,32,0)</f>
        <v>#N/A</v>
      </c>
      <c r="BE208" s="107" t="e">
        <f>VLOOKUP($A208,'S50'!$C:$BQ,39,0)</f>
        <v>#N/A</v>
      </c>
      <c r="BF208" s="107" t="e">
        <f>VLOOKUP($A208,'S50'!$C:$BQ,40,0)</f>
        <v>#N/A</v>
      </c>
      <c r="BG208" s="107" t="e">
        <f>VLOOKUP($A208,'S50'!$C:$BQ,22,0)</f>
        <v>#N/A</v>
      </c>
      <c r="BH208" s="115" t="e">
        <f>VLOOKUP($A208,'S50'!$C:$BQ,29,0)</f>
        <v>#N/A</v>
      </c>
      <c r="BI208" s="115" t="e">
        <f>VLOOKUP($A208,'S50'!$C:$BQ,30,0)</f>
        <v>#N/A</v>
      </c>
      <c r="BJ208" s="115" t="e">
        <f>VLOOKUP($A208,'S50'!$C:$BQ,52,0)</f>
        <v>#N/A</v>
      </c>
      <c r="BK208" s="115" t="e">
        <f>VLOOKUP($A208,'S50'!$C:$BQ,59,0)</f>
        <v>#N/A</v>
      </c>
      <c r="BL208" s="115" t="e">
        <f>VLOOKUP($A208,'S50'!$C:$BQ,60,0)</f>
        <v>#N/A</v>
      </c>
    </row>
    <row r="209" spans="1:64" x14ac:dyDescent="0.2">
      <c r="A209" s="106" t="s">
        <v>280</v>
      </c>
      <c r="B209" s="107">
        <f>VLOOKUP($A209,'S0 remplacer avec S44'!$C:$BQ,32,0)</f>
        <v>127.5</v>
      </c>
      <c r="C209" s="107">
        <f>VLOOKUP($A209,'S0 remplacer avec S44'!$C:$BQ,39,0)</f>
        <v>83</v>
      </c>
      <c r="D209" s="107">
        <f>VLOOKUP($A209,'S0 remplacer avec S44'!$C:$BQ,40,0)</f>
        <v>125</v>
      </c>
      <c r="E209" s="107">
        <f>VLOOKUP($A209,'S0 remplacer avec S44'!$C:$BQ,22,0)</f>
        <v>2666.5910600000002</v>
      </c>
      <c r="F209" s="115">
        <f>VLOOKUP($A209,'S0 remplacer avec S44'!$C:$BQ,29,0)</f>
        <v>0</v>
      </c>
      <c r="G209" s="115">
        <f>VLOOKUP($A209,'S0 remplacer avec S44'!$C:$BQ,30,0)</f>
        <v>0</v>
      </c>
      <c r="H209" s="115">
        <f>VLOOKUP($A209,'S0 remplacer avec S44'!$C:$BQ,52,0)</f>
        <v>91.2</v>
      </c>
      <c r="I209" s="115">
        <f>VLOOKUP($A209,'S0 remplacer avec S44'!$C:$BQ,59,0)</f>
        <v>16</v>
      </c>
      <c r="J209" s="115">
        <f>VLOOKUP($A209,'S0 remplacer avec S44'!$C:$BQ,60,0)</f>
        <v>37</v>
      </c>
      <c r="K209" s="107" t="e">
        <f>VLOOKUP($A209,'S45'!$C:$BQ,32,0)</f>
        <v>#N/A</v>
      </c>
      <c r="L209" s="107" t="e">
        <f>VLOOKUP($A209,'S45'!$C:$BQ,39,0)</f>
        <v>#N/A</v>
      </c>
      <c r="M209" s="107" t="e">
        <f>VLOOKUP($A209,'S45'!$C:$BQ,40,0)</f>
        <v>#N/A</v>
      </c>
      <c r="N209" s="107" t="e">
        <f>VLOOKUP($A209,'S45'!$C:$BQ,22,0)</f>
        <v>#N/A</v>
      </c>
      <c r="O209" s="115" t="e">
        <f>VLOOKUP($A209,'S45'!$C:$BQ,29,0)</f>
        <v>#N/A</v>
      </c>
      <c r="P209" s="115" t="e">
        <f>VLOOKUP($A209,'S45'!$C:$BQ,30,0)</f>
        <v>#N/A</v>
      </c>
      <c r="Q209" s="115" t="e">
        <f>VLOOKUP($A209,'S45'!$C:$BQ,52,0)</f>
        <v>#N/A</v>
      </c>
      <c r="R209" s="115" t="e">
        <f>VLOOKUP($A209,'S45'!$C:$BQ,59,0)</f>
        <v>#N/A</v>
      </c>
      <c r="S209" s="115" t="e">
        <f>VLOOKUP($A209,'S45'!$C:$BQ,60,0)</f>
        <v>#N/A</v>
      </c>
      <c r="T209" s="107" t="e">
        <f>VLOOKUP($A209,'S46'!$C:$BQ,32,0)</f>
        <v>#N/A</v>
      </c>
      <c r="U209" s="107" t="e">
        <f>VLOOKUP($A209,'S46'!$C:$BQ,39,0)</f>
        <v>#N/A</v>
      </c>
      <c r="V209" s="107" t="e">
        <f>VLOOKUP($A209,'S46'!$C:$BQ,40,0)</f>
        <v>#N/A</v>
      </c>
      <c r="W209" s="107" t="e">
        <f>VLOOKUP($A209,'S46'!$C:$BQ,22,0)</f>
        <v>#N/A</v>
      </c>
      <c r="X209" s="115" t="e">
        <f>VLOOKUP($A209,'S46'!$C:$BQ,29,0)</f>
        <v>#N/A</v>
      </c>
      <c r="Y209" s="115" t="e">
        <f>VLOOKUP($A209,'S46'!$C:$BQ,30,0)</f>
        <v>#N/A</v>
      </c>
      <c r="Z209" s="115" t="e">
        <f>VLOOKUP($A209,'S46'!$C:$BQ,52,0)</f>
        <v>#N/A</v>
      </c>
      <c r="AA209" s="115" t="e">
        <f>VLOOKUP($A209,'S46'!$C:$BQ,59,0)</f>
        <v>#N/A</v>
      </c>
      <c r="AB209" s="115" t="e">
        <f>VLOOKUP($A209,'S46'!$C:$BQ,60,0)</f>
        <v>#N/A</v>
      </c>
      <c r="AC209" s="107" t="e">
        <f>VLOOKUP($A209,'S47'!$C:$BQ,32,0)</f>
        <v>#N/A</v>
      </c>
      <c r="AD209" s="107" t="e">
        <f>VLOOKUP($A209,'S47'!$C:$BQ,39,0)</f>
        <v>#N/A</v>
      </c>
      <c r="AE209" s="107" t="e">
        <f>VLOOKUP($A209,'S47'!$C:$BQ,40,0)</f>
        <v>#N/A</v>
      </c>
      <c r="AF209" s="107" t="e">
        <f>VLOOKUP($A209,'S47'!$C:$BQ,22,0)</f>
        <v>#N/A</v>
      </c>
      <c r="AG209" s="115" t="e">
        <f>VLOOKUP($A209,'S47'!$C:$BQ,29,0)</f>
        <v>#N/A</v>
      </c>
      <c r="AH209" s="115" t="e">
        <f>VLOOKUP($A209,'S47'!$C:$BQ,30,0)</f>
        <v>#N/A</v>
      </c>
      <c r="AI209" s="115" t="e">
        <f>VLOOKUP($A209,'S47'!$C:$BQ,52,0)</f>
        <v>#N/A</v>
      </c>
      <c r="AJ209" s="115" t="e">
        <f>VLOOKUP($A209,'S47'!$C:$BQ,59,0)</f>
        <v>#N/A</v>
      </c>
      <c r="AK209" s="115" t="e">
        <f>VLOOKUP($A209,'S47'!$C:$BQ,60,0)</f>
        <v>#N/A</v>
      </c>
      <c r="AL209" s="107" t="e">
        <f>VLOOKUP($A209,'S48'!$C:$BQ,32,0)</f>
        <v>#N/A</v>
      </c>
      <c r="AM209" s="107" t="e">
        <f>VLOOKUP($A209,'S48'!$C:$BQ,39,0)</f>
        <v>#N/A</v>
      </c>
      <c r="AN209" s="107" t="e">
        <f>VLOOKUP($A209,'S48'!$C:$BQ,40,0)</f>
        <v>#N/A</v>
      </c>
      <c r="AO209" s="107" t="e">
        <f>VLOOKUP($A209,'S48'!$C:$BQ,22,0)</f>
        <v>#N/A</v>
      </c>
      <c r="AP209" s="115" t="e">
        <f>VLOOKUP($A209,'S48'!$C:$BQ,29,0)</f>
        <v>#N/A</v>
      </c>
      <c r="AQ209" s="115" t="e">
        <f>VLOOKUP($A209,'S48'!$C:$BQ,30,0)</f>
        <v>#N/A</v>
      </c>
      <c r="AR209" s="115" t="e">
        <f>VLOOKUP($A209,'S48'!$C:$BQ,52,0)</f>
        <v>#N/A</v>
      </c>
      <c r="AS209" s="115" t="e">
        <f>VLOOKUP($A209,'S48'!$C:$BQ,59,0)</f>
        <v>#N/A</v>
      </c>
      <c r="AT209" s="115" t="e">
        <f>VLOOKUP($A209,'S48'!$C:$BQ,60,0)</f>
        <v>#N/A</v>
      </c>
      <c r="AU209" s="107" t="e">
        <f>VLOOKUP($A209,'S49'!$C:$BQ,32,0)</f>
        <v>#N/A</v>
      </c>
      <c r="AV209" s="107" t="e">
        <f>VLOOKUP($A209,'S49'!$C:$BQ,39,0)</f>
        <v>#N/A</v>
      </c>
      <c r="AW209" s="107" t="e">
        <f>VLOOKUP($A209,'S49'!$C:$BQ,40,0)</f>
        <v>#N/A</v>
      </c>
      <c r="AX209" s="107" t="e">
        <f>VLOOKUP($A209,'S49'!$C:$BQ,22,0)</f>
        <v>#N/A</v>
      </c>
      <c r="AY209" s="115" t="e">
        <f>VLOOKUP($A209,'S49'!$C:$BQ,29,0)</f>
        <v>#N/A</v>
      </c>
      <c r="AZ209" s="115" t="e">
        <f>VLOOKUP($A209,'S49'!$C:$BQ,30,0)</f>
        <v>#N/A</v>
      </c>
      <c r="BA209" s="115" t="e">
        <f>VLOOKUP($A209,'S49'!$C:$BQ,52,0)</f>
        <v>#N/A</v>
      </c>
      <c r="BB209" s="115" t="e">
        <f>VLOOKUP($A209,'S49'!$C:$BQ,59,0)</f>
        <v>#N/A</v>
      </c>
      <c r="BC209" s="115" t="e">
        <f>VLOOKUP($A209,'S49'!$C:$BQ,60,0)</f>
        <v>#N/A</v>
      </c>
      <c r="BD209" s="107" t="e">
        <f>VLOOKUP($A209,'S50'!$C:$BQ,32,0)</f>
        <v>#N/A</v>
      </c>
      <c r="BE209" s="107" t="e">
        <f>VLOOKUP($A209,'S50'!$C:$BQ,39,0)</f>
        <v>#N/A</v>
      </c>
      <c r="BF209" s="107" t="e">
        <f>VLOOKUP($A209,'S50'!$C:$BQ,40,0)</f>
        <v>#N/A</v>
      </c>
      <c r="BG209" s="107" t="e">
        <f>VLOOKUP($A209,'S50'!$C:$BQ,22,0)</f>
        <v>#N/A</v>
      </c>
      <c r="BH209" s="115" t="e">
        <f>VLOOKUP($A209,'S50'!$C:$BQ,29,0)</f>
        <v>#N/A</v>
      </c>
      <c r="BI209" s="115" t="e">
        <f>VLOOKUP($A209,'S50'!$C:$BQ,30,0)</f>
        <v>#N/A</v>
      </c>
      <c r="BJ209" s="115" t="e">
        <f>VLOOKUP($A209,'S50'!$C:$BQ,52,0)</f>
        <v>#N/A</v>
      </c>
      <c r="BK209" s="115" t="e">
        <f>VLOOKUP($A209,'S50'!$C:$BQ,59,0)</f>
        <v>#N/A</v>
      </c>
      <c r="BL209" s="115" t="e">
        <f>VLOOKUP($A209,'S50'!$C:$BQ,60,0)</f>
        <v>#N/A</v>
      </c>
    </row>
    <row r="210" spans="1:64" x14ac:dyDescent="0.2">
      <c r="A210" s="106" t="s">
        <v>281</v>
      </c>
      <c r="B210" s="107">
        <f>VLOOKUP($A210,'S0 remplacer avec S44'!$C:$BQ,32,0)</f>
        <v>230.7</v>
      </c>
      <c r="C210" s="107">
        <f>VLOOKUP($A210,'S0 remplacer avec S44'!$C:$BQ,39,0)</f>
        <v>6</v>
      </c>
      <c r="D210" s="107">
        <f>VLOOKUP($A210,'S0 remplacer avec S44'!$C:$BQ,40,0)</f>
        <v>53</v>
      </c>
      <c r="E210" s="107">
        <f>VLOOKUP($A210,'S0 remplacer avec S44'!$C:$BQ,22,0)</f>
        <v>1895.234385</v>
      </c>
      <c r="F210" s="115">
        <f>VLOOKUP($A210,'S0 remplacer avec S44'!$C:$BQ,29,0)</f>
        <v>253</v>
      </c>
      <c r="G210" s="115">
        <f>VLOOKUP($A210,'S0 remplacer avec S44'!$C:$BQ,30,0)</f>
        <v>683</v>
      </c>
      <c r="H210" s="115">
        <f>VLOOKUP($A210,'S0 remplacer avec S44'!$C:$BQ,52,0)</f>
        <v>130</v>
      </c>
      <c r="I210" s="115">
        <f>VLOOKUP($A210,'S0 remplacer avec S44'!$C:$BQ,59,0)</f>
        <v>0</v>
      </c>
      <c r="J210" s="115">
        <f>VLOOKUP($A210,'S0 remplacer avec S44'!$C:$BQ,60,0)</f>
        <v>14</v>
      </c>
      <c r="K210" s="107" t="e">
        <f>VLOOKUP($A210,'S45'!$C:$BQ,32,0)</f>
        <v>#N/A</v>
      </c>
      <c r="L210" s="107" t="e">
        <f>VLOOKUP($A210,'S45'!$C:$BQ,39,0)</f>
        <v>#N/A</v>
      </c>
      <c r="M210" s="107" t="e">
        <f>VLOOKUP($A210,'S45'!$C:$BQ,40,0)</f>
        <v>#N/A</v>
      </c>
      <c r="N210" s="107" t="e">
        <f>VLOOKUP($A210,'S45'!$C:$BQ,22,0)</f>
        <v>#N/A</v>
      </c>
      <c r="O210" s="115" t="e">
        <f>VLOOKUP($A210,'S45'!$C:$BQ,29,0)</f>
        <v>#N/A</v>
      </c>
      <c r="P210" s="115" t="e">
        <f>VLOOKUP($A210,'S45'!$C:$BQ,30,0)</f>
        <v>#N/A</v>
      </c>
      <c r="Q210" s="115" t="e">
        <f>VLOOKUP($A210,'S45'!$C:$BQ,52,0)</f>
        <v>#N/A</v>
      </c>
      <c r="R210" s="115" t="e">
        <f>VLOOKUP($A210,'S45'!$C:$BQ,59,0)</f>
        <v>#N/A</v>
      </c>
      <c r="S210" s="115" t="e">
        <f>VLOOKUP($A210,'S45'!$C:$BQ,60,0)</f>
        <v>#N/A</v>
      </c>
      <c r="T210" s="107" t="e">
        <f>VLOOKUP($A210,'S46'!$C:$BQ,32,0)</f>
        <v>#N/A</v>
      </c>
      <c r="U210" s="107" t="e">
        <f>VLOOKUP($A210,'S46'!$C:$BQ,39,0)</f>
        <v>#N/A</v>
      </c>
      <c r="V210" s="107" t="e">
        <f>VLOOKUP($A210,'S46'!$C:$BQ,40,0)</f>
        <v>#N/A</v>
      </c>
      <c r="W210" s="107" t="e">
        <f>VLOOKUP($A210,'S46'!$C:$BQ,22,0)</f>
        <v>#N/A</v>
      </c>
      <c r="X210" s="115" t="e">
        <f>VLOOKUP($A210,'S46'!$C:$BQ,29,0)</f>
        <v>#N/A</v>
      </c>
      <c r="Y210" s="115" t="e">
        <f>VLOOKUP($A210,'S46'!$C:$BQ,30,0)</f>
        <v>#N/A</v>
      </c>
      <c r="Z210" s="115" t="e">
        <f>VLOOKUP($A210,'S46'!$C:$BQ,52,0)</f>
        <v>#N/A</v>
      </c>
      <c r="AA210" s="115" t="e">
        <f>VLOOKUP($A210,'S46'!$C:$BQ,59,0)</f>
        <v>#N/A</v>
      </c>
      <c r="AB210" s="115" t="e">
        <f>VLOOKUP($A210,'S46'!$C:$BQ,60,0)</f>
        <v>#N/A</v>
      </c>
      <c r="AC210" s="107" t="e">
        <f>VLOOKUP($A210,'S47'!$C:$BQ,32,0)</f>
        <v>#N/A</v>
      </c>
      <c r="AD210" s="107" t="e">
        <f>VLOOKUP($A210,'S47'!$C:$BQ,39,0)</f>
        <v>#N/A</v>
      </c>
      <c r="AE210" s="107" t="e">
        <f>VLOOKUP($A210,'S47'!$C:$BQ,40,0)</f>
        <v>#N/A</v>
      </c>
      <c r="AF210" s="107" t="e">
        <f>VLOOKUP($A210,'S47'!$C:$BQ,22,0)</f>
        <v>#N/A</v>
      </c>
      <c r="AG210" s="115" t="e">
        <f>VLOOKUP($A210,'S47'!$C:$BQ,29,0)</f>
        <v>#N/A</v>
      </c>
      <c r="AH210" s="115" t="e">
        <f>VLOOKUP($A210,'S47'!$C:$BQ,30,0)</f>
        <v>#N/A</v>
      </c>
      <c r="AI210" s="115" t="e">
        <f>VLOOKUP($A210,'S47'!$C:$BQ,52,0)</f>
        <v>#N/A</v>
      </c>
      <c r="AJ210" s="115" t="e">
        <f>VLOOKUP($A210,'S47'!$C:$BQ,59,0)</f>
        <v>#N/A</v>
      </c>
      <c r="AK210" s="115" t="e">
        <f>VLOOKUP($A210,'S47'!$C:$BQ,60,0)</f>
        <v>#N/A</v>
      </c>
      <c r="AL210" s="107" t="e">
        <f>VLOOKUP($A210,'S48'!$C:$BQ,32,0)</f>
        <v>#N/A</v>
      </c>
      <c r="AM210" s="107" t="e">
        <f>VLOOKUP($A210,'S48'!$C:$BQ,39,0)</f>
        <v>#N/A</v>
      </c>
      <c r="AN210" s="107" t="e">
        <f>VLOOKUP($A210,'S48'!$C:$BQ,40,0)</f>
        <v>#N/A</v>
      </c>
      <c r="AO210" s="107" t="e">
        <f>VLOOKUP($A210,'S48'!$C:$BQ,22,0)</f>
        <v>#N/A</v>
      </c>
      <c r="AP210" s="115" t="e">
        <f>VLOOKUP($A210,'S48'!$C:$BQ,29,0)</f>
        <v>#N/A</v>
      </c>
      <c r="AQ210" s="115" t="e">
        <f>VLOOKUP($A210,'S48'!$C:$BQ,30,0)</f>
        <v>#N/A</v>
      </c>
      <c r="AR210" s="115" t="e">
        <f>VLOOKUP($A210,'S48'!$C:$BQ,52,0)</f>
        <v>#N/A</v>
      </c>
      <c r="AS210" s="115" t="e">
        <f>VLOOKUP($A210,'S48'!$C:$BQ,59,0)</f>
        <v>#N/A</v>
      </c>
      <c r="AT210" s="115" t="e">
        <f>VLOOKUP($A210,'S48'!$C:$BQ,60,0)</f>
        <v>#N/A</v>
      </c>
      <c r="AU210" s="107" t="e">
        <f>VLOOKUP($A210,'S49'!$C:$BQ,32,0)</f>
        <v>#N/A</v>
      </c>
      <c r="AV210" s="107" t="e">
        <f>VLOOKUP($A210,'S49'!$C:$BQ,39,0)</f>
        <v>#N/A</v>
      </c>
      <c r="AW210" s="107" t="e">
        <f>VLOOKUP($A210,'S49'!$C:$BQ,40,0)</f>
        <v>#N/A</v>
      </c>
      <c r="AX210" s="107" t="e">
        <f>VLOOKUP($A210,'S49'!$C:$BQ,22,0)</f>
        <v>#N/A</v>
      </c>
      <c r="AY210" s="115" t="e">
        <f>VLOOKUP($A210,'S49'!$C:$BQ,29,0)</f>
        <v>#N/A</v>
      </c>
      <c r="AZ210" s="115" t="e">
        <f>VLOOKUP($A210,'S49'!$C:$BQ,30,0)</f>
        <v>#N/A</v>
      </c>
      <c r="BA210" s="115" t="e">
        <f>VLOOKUP($A210,'S49'!$C:$BQ,52,0)</f>
        <v>#N/A</v>
      </c>
      <c r="BB210" s="115" t="e">
        <f>VLOOKUP($A210,'S49'!$C:$BQ,59,0)</f>
        <v>#N/A</v>
      </c>
      <c r="BC210" s="115" t="e">
        <f>VLOOKUP($A210,'S49'!$C:$BQ,60,0)</f>
        <v>#N/A</v>
      </c>
      <c r="BD210" s="107" t="e">
        <f>VLOOKUP($A210,'S50'!$C:$BQ,32,0)</f>
        <v>#N/A</v>
      </c>
      <c r="BE210" s="107" t="e">
        <f>VLOOKUP($A210,'S50'!$C:$BQ,39,0)</f>
        <v>#N/A</v>
      </c>
      <c r="BF210" s="107" t="e">
        <f>VLOOKUP($A210,'S50'!$C:$BQ,40,0)</f>
        <v>#N/A</v>
      </c>
      <c r="BG210" s="107" t="e">
        <f>VLOOKUP($A210,'S50'!$C:$BQ,22,0)</f>
        <v>#N/A</v>
      </c>
      <c r="BH210" s="115" t="e">
        <f>VLOOKUP($A210,'S50'!$C:$BQ,29,0)</f>
        <v>#N/A</v>
      </c>
      <c r="BI210" s="115" t="e">
        <f>VLOOKUP($A210,'S50'!$C:$BQ,30,0)</f>
        <v>#N/A</v>
      </c>
      <c r="BJ210" s="115" t="e">
        <f>VLOOKUP($A210,'S50'!$C:$BQ,52,0)</f>
        <v>#N/A</v>
      </c>
      <c r="BK210" s="115" t="e">
        <f>VLOOKUP($A210,'S50'!$C:$BQ,59,0)</f>
        <v>#N/A</v>
      </c>
      <c r="BL210" s="115" t="e">
        <f>VLOOKUP($A210,'S50'!$C:$BQ,60,0)</f>
        <v>#N/A</v>
      </c>
    </row>
    <row r="211" spans="1:64" x14ac:dyDescent="0.2">
      <c r="A211" s="106" t="s">
        <v>282</v>
      </c>
      <c r="B211" s="107">
        <f>VLOOKUP($A211,'S0 remplacer avec S44'!$C:$BQ,32,0)</f>
        <v>82.5</v>
      </c>
      <c r="C211" s="107">
        <f>VLOOKUP($A211,'S0 remplacer avec S44'!$C:$BQ,39,0)</f>
        <v>114</v>
      </c>
      <c r="D211" s="107">
        <f>VLOOKUP($A211,'S0 remplacer avec S44'!$C:$BQ,40,0)</f>
        <v>153</v>
      </c>
      <c r="E211" s="107">
        <f>VLOOKUP($A211,'S0 remplacer avec S44'!$C:$BQ,22,0)</f>
        <v>1863.8450849999999</v>
      </c>
      <c r="F211" s="115">
        <f>VLOOKUP($A211,'S0 remplacer avec S44'!$C:$BQ,29,0)</f>
        <v>0</v>
      </c>
      <c r="G211" s="115">
        <f>VLOOKUP($A211,'S0 remplacer avec S44'!$C:$BQ,30,0)</f>
        <v>274</v>
      </c>
      <c r="H211" s="115">
        <f>VLOOKUP($A211,'S0 remplacer avec S44'!$C:$BQ,52,0)</f>
        <v>62.6</v>
      </c>
      <c r="I211" s="115">
        <f>VLOOKUP($A211,'S0 remplacer avec S44'!$C:$BQ,59,0)</f>
        <v>37</v>
      </c>
      <c r="J211" s="115">
        <f>VLOOKUP($A211,'S0 remplacer avec S44'!$C:$BQ,60,0)</f>
        <v>57</v>
      </c>
      <c r="K211" s="107" t="e">
        <f>VLOOKUP($A211,'S45'!$C:$BQ,32,0)</f>
        <v>#N/A</v>
      </c>
      <c r="L211" s="107" t="e">
        <f>VLOOKUP($A211,'S45'!$C:$BQ,39,0)</f>
        <v>#N/A</v>
      </c>
      <c r="M211" s="107" t="e">
        <f>VLOOKUP($A211,'S45'!$C:$BQ,40,0)</f>
        <v>#N/A</v>
      </c>
      <c r="N211" s="107" t="e">
        <f>VLOOKUP($A211,'S45'!$C:$BQ,22,0)</f>
        <v>#N/A</v>
      </c>
      <c r="O211" s="115" t="e">
        <f>VLOOKUP($A211,'S45'!$C:$BQ,29,0)</f>
        <v>#N/A</v>
      </c>
      <c r="P211" s="115" t="e">
        <f>VLOOKUP($A211,'S45'!$C:$BQ,30,0)</f>
        <v>#N/A</v>
      </c>
      <c r="Q211" s="115" t="e">
        <f>VLOOKUP($A211,'S45'!$C:$BQ,52,0)</f>
        <v>#N/A</v>
      </c>
      <c r="R211" s="115" t="e">
        <f>VLOOKUP($A211,'S45'!$C:$BQ,59,0)</f>
        <v>#N/A</v>
      </c>
      <c r="S211" s="115" t="e">
        <f>VLOOKUP($A211,'S45'!$C:$BQ,60,0)</f>
        <v>#N/A</v>
      </c>
      <c r="T211" s="107" t="e">
        <f>VLOOKUP($A211,'S46'!$C:$BQ,32,0)</f>
        <v>#N/A</v>
      </c>
      <c r="U211" s="107" t="e">
        <f>VLOOKUP($A211,'S46'!$C:$BQ,39,0)</f>
        <v>#N/A</v>
      </c>
      <c r="V211" s="107" t="e">
        <f>VLOOKUP($A211,'S46'!$C:$BQ,40,0)</f>
        <v>#N/A</v>
      </c>
      <c r="W211" s="107" t="e">
        <f>VLOOKUP($A211,'S46'!$C:$BQ,22,0)</f>
        <v>#N/A</v>
      </c>
      <c r="X211" s="115" t="e">
        <f>VLOOKUP($A211,'S46'!$C:$BQ,29,0)</f>
        <v>#N/A</v>
      </c>
      <c r="Y211" s="115" t="e">
        <f>VLOOKUP($A211,'S46'!$C:$BQ,30,0)</f>
        <v>#N/A</v>
      </c>
      <c r="Z211" s="115" t="e">
        <f>VLOOKUP($A211,'S46'!$C:$BQ,52,0)</f>
        <v>#N/A</v>
      </c>
      <c r="AA211" s="115" t="e">
        <f>VLOOKUP($A211,'S46'!$C:$BQ,59,0)</f>
        <v>#N/A</v>
      </c>
      <c r="AB211" s="115" t="e">
        <f>VLOOKUP($A211,'S46'!$C:$BQ,60,0)</f>
        <v>#N/A</v>
      </c>
      <c r="AC211" s="107" t="e">
        <f>VLOOKUP($A211,'S47'!$C:$BQ,32,0)</f>
        <v>#N/A</v>
      </c>
      <c r="AD211" s="107" t="e">
        <f>VLOOKUP($A211,'S47'!$C:$BQ,39,0)</f>
        <v>#N/A</v>
      </c>
      <c r="AE211" s="107" t="e">
        <f>VLOOKUP($A211,'S47'!$C:$BQ,40,0)</f>
        <v>#N/A</v>
      </c>
      <c r="AF211" s="107" t="e">
        <f>VLOOKUP($A211,'S47'!$C:$BQ,22,0)</f>
        <v>#N/A</v>
      </c>
      <c r="AG211" s="115" t="e">
        <f>VLOOKUP($A211,'S47'!$C:$BQ,29,0)</f>
        <v>#N/A</v>
      </c>
      <c r="AH211" s="115" t="e">
        <f>VLOOKUP($A211,'S47'!$C:$BQ,30,0)</f>
        <v>#N/A</v>
      </c>
      <c r="AI211" s="115" t="e">
        <f>VLOOKUP($A211,'S47'!$C:$BQ,52,0)</f>
        <v>#N/A</v>
      </c>
      <c r="AJ211" s="115" t="e">
        <f>VLOOKUP($A211,'S47'!$C:$BQ,59,0)</f>
        <v>#N/A</v>
      </c>
      <c r="AK211" s="115" t="e">
        <f>VLOOKUP($A211,'S47'!$C:$BQ,60,0)</f>
        <v>#N/A</v>
      </c>
      <c r="AL211" s="107" t="e">
        <f>VLOOKUP($A211,'S48'!$C:$BQ,32,0)</f>
        <v>#N/A</v>
      </c>
      <c r="AM211" s="107" t="e">
        <f>VLOOKUP($A211,'S48'!$C:$BQ,39,0)</f>
        <v>#N/A</v>
      </c>
      <c r="AN211" s="107" t="e">
        <f>VLOOKUP($A211,'S48'!$C:$BQ,40,0)</f>
        <v>#N/A</v>
      </c>
      <c r="AO211" s="107" t="e">
        <f>VLOOKUP($A211,'S48'!$C:$BQ,22,0)</f>
        <v>#N/A</v>
      </c>
      <c r="AP211" s="115" t="e">
        <f>VLOOKUP($A211,'S48'!$C:$BQ,29,0)</f>
        <v>#N/A</v>
      </c>
      <c r="AQ211" s="115" t="e">
        <f>VLOOKUP($A211,'S48'!$C:$BQ,30,0)</f>
        <v>#N/A</v>
      </c>
      <c r="AR211" s="115" t="e">
        <f>VLOOKUP($A211,'S48'!$C:$BQ,52,0)</f>
        <v>#N/A</v>
      </c>
      <c r="AS211" s="115" t="e">
        <f>VLOOKUP($A211,'S48'!$C:$BQ,59,0)</f>
        <v>#N/A</v>
      </c>
      <c r="AT211" s="115" t="e">
        <f>VLOOKUP($A211,'S48'!$C:$BQ,60,0)</f>
        <v>#N/A</v>
      </c>
      <c r="AU211" s="107" t="e">
        <f>VLOOKUP($A211,'S49'!$C:$BQ,32,0)</f>
        <v>#N/A</v>
      </c>
      <c r="AV211" s="107" t="e">
        <f>VLOOKUP($A211,'S49'!$C:$BQ,39,0)</f>
        <v>#N/A</v>
      </c>
      <c r="AW211" s="107" t="e">
        <f>VLOOKUP($A211,'S49'!$C:$BQ,40,0)</f>
        <v>#N/A</v>
      </c>
      <c r="AX211" s="107" t="e">
        <f>VLOOKUP($A211,'S49'!$C:$BQ,22,0)</f>
        <v>#N/A</v>
      </c>
      <c r="AY211" s="115" t="e">
        <f>VLOOKUP($A211,'S49'!$C:$BQ,29,0)</f>
        <v>#N/A</v>
      </c>
      <c r="AZ211" s="115" t="e">
        <f>VLOOKUP($A211,'S49'!$C:$BQ,30,0)</f>
        <v>#N/A</v>
      </c>
      <c r="BA211" s="115" t="e">
        <f>VLOOKUP($A211,'S49'!$C:$BQ,52,0)</f>
        <v>#N/A</v>
      </c>
      <c r="BB211" s="115" t="e">
        <f>VLOOKUP($A211,'S49'!$C:$BQ,59,0)</f>
        <v>#N/A</v>
      </c>
      <c r="BC211" s="115" t="e">
        <f>VLOOKUP($A211,'S49'!$C:$BQ,60,0)</f>
        <v>#N/A</v>
      </c>
      <c r="BD211" s="107" t="e">
        <f>VLOOKUP($A211,'S50'!$C:$BQ,32,0)</f>
        <v>#N/A</v>
      </c>
      <c r="BE211" s="107" t="e">
        <f>VLOOKUP($A211,'S50'!$C:$BQ,39,0)</f>
        <v>#N/A</v>
      </c>
      <c r="BF211" s="107" t="e">
        <f>VLOOKUP($A211,'S50'!$C:$BQ,40,0)</f>
        <v>#N/A</v>
      </c>
      <c r="BG211" s="107" t="e">
        <f>VLOOKUP($A211,'S50'!$C:$BQ,22,0)</f>
        <v>#N/A</v>
      </c>
      <c r="BH211" s="115" t="e">
        <f>VLOOKUP($A211,'S50'!$C:$BQ,29,0)</f>
        <v>#N/A</v>
      </c>
      <c r="BI211" s="115" t="e">
        <f>VLOOKUP($A211,'S50'!$C:$BQ,30,0)</f>
        <v>#N/A</v>
      </c>
      <c r="BJ211" s="115" t="e">
        <f>VLOOKUP($A211,'S50'!$C:$BQ,52,0)</f>
        <v>#N/A</v>
      </c>
      <c r="BK211" s="115" t="e">
        <f>VLOOKUP($A211,'S50'!$C:$BQ,59,0)</f>
        <v>#N/A</v>
      </c>
      <c r="BL211" s="115" t="e">
        <f>VLOOKUP($A211,'S50'!$C:$BQ,60,0)</f>
        <v>#N/A</v>
      </c>
    </row>
    <row r="212" spans="1:64" x14ac:dyDescent="0.2">
      <c r="A212" s="106" t="s">
        <v>283</v>
      </c>
      <c r="B212" s="107">
        <f>VLOOKUP($A212,'S0 remplacer avec S44'!$C:$BQ,32,0)</f>
        <v>132.44999999999999</v>
      </c>
      <c r="C212" s="107">
        <f>VLOOKUP($A212,'S0 remplacer avec S44'!$C:$BQ,39,0)</f>
        <v>104</v>
      </c>
      <c r="D212" s="107">
        <f>VLOOKUP($A212,'S0 remplacer avec S44'!$C:$BQ,40,0)</f>
        <v>151</v>
      </c>
      <c r="E212" s="107">
        <f>VLOOKUP($A212,'S0 remplacer avec S44'!$C:$BQ,22,0)</f>
        <v>1956.2163</v>
      </c>
      <c r="F212" s="115">
        <f>VLOOKUP($A212,'S0 remplacer avec S44'!$C:$BQ,29,0)</f>
        <v>191</v>
      </c>
      <c r="G212" s="115">
        <f>VLOOKUP($A212,'S0 remplacer avec S44'!$C:$BQ,30,0)</f>
        <v>621</v>
      </c>
      <c r="H212" s="115">
        <f>VLOOKUP($A212,'S0 remplacer avec S44'!$C:$BQ,52,0)</f>
        <v>147</v>
      </c>
      <c r="I212" s="115">
        <f>VLOOKUP($A212,'S0 remplacer avec S44'!$C:$BQ,59,0)</f>
        <v>0</v>
      </c>
      <c r="J212" s="115">
        <f>VLOOKUP($A212,'S0 remplacer avec S44'!$C:$BQ,60,0)</f>
        <v>0</v>
      </c>
      <c r="K212" s="107" t="e">
        <f>VLOOKUP($A212,'S45'!$C:$BQ,32,0)</f>
        <v>#N/A</v>
      </c>
      <c r="L212" s="107" t="e">
        <f>VLOOKUP($A212,'S45'!$C:$BQ,39,0)</f>
        <v>#N/A</v>
      </c>
      <c r="M212" s="107" t="e">
        <f>VLOOKUP($A212,'S45'!$C:$BQ,40,0)</f>
        <v>#N/A</v>
      </c>
      <c r="N212" s="107" t="e">
        <f>VLOOKUP($A212,'S45'!$C:$BQ,22,0)</f>
        <v>#N/A</v>
      </c>
      <c r="O212" s="115" t="e">
        <f>VLOOKUP($A212,'S45'!$C:$BQ,29,0)</f>
        <v>#N/A</v>
      </c>
      <c r="P212" s="115" t="e">
        <f>VLOOKUP($A212,'S45'!$C:$BQ,30,0)</f>
        <v>#N/A</v>
      </c>
      <c r="Q212" s="115" t="e">
        <f>VLOOKUP($A212,'S45'!$C:$BQ,52,0)</f>
        <v>#N/A</v>
      </c>
      <c r="R212" s="115" t="e">
        <f>VLOOKUP($A212,'S45'!$C:$BQ,59,0)</f>
        <v>#N/A</v>
      </c>
      <c r="S212" s="115" t="e">
        <f>VLOOKUP($A212,'S45'!$C:$BQ,60,0)</f>
        <v>#N/A</v>
      </c>
      <c r="T212" s="107" t="e">
        <f>VLOOKUP($A212,'S46'!$C:$BQ,32,0)</f>
        <v>#N/A</v>
      </c>
      <c r="U212" s="107" t="e">
        <f>VLOOKUP($A212,'S46'!$C:$BQ,39,0)</f>
        <v>#N/A</v>
      </c>
      <c r="V212" s="107" t="e">
        <f>VLOOKUP($A212,'S46'!$C:$BQ,40,0)</f>
        <v>#N/A</v>
      </c>
      <c r="W212" s="107" t="e">
        <f>VLOOKUP($A212,'S46'!$C:$BQ,22,0)</f>
        <v>#N/A</v>
      </c>
      <c r="X212" s="115" t="e">
        <f>VLOOKUP($A212,'S46'!$C:$BQ,29,0)</f>
        <v>#N/A</v>
      </c>
      <c r="Y212" s="115" t="e">
        <f>VLOOKUP($A212,'S46'!$C:$BQ,30,0)</f>
        <v>#N/A</v>
      </c>
      <c r="Z212" s="115" t="e">
        <f>VLOOKUP($A212,'S46'!$C:$BQ,52,0)</f>
        <v>#N/A</v>
      </c>
      <c r="AA212" s="115" t="e">
        <f>VLOOKUP($A212,'S46'!$C:$BQ,59,0)</f>
        <v>#N/A</v>
      </c>
      <c r="AB212" s="115" t="e">
        <f>VLOOKUP($A212,'S46'!$C:$BQ,60,0)</f>
        <v>#N/A</v>
      </c>
      <c r="AC212" s="107" t="e">
        <f>VLOOKUP($A212,'S47'!$C:$BQ,32,0)</f>
        <v>#N/A</v>
      </c>
      <c r="AD212" s="107" t="e">
        <f>VLOOKUP($A212,'S47'!$C:$BQ,39,0)</f>
        <v>#N/A</v>
      </c>
      <c r="AE212" s="107" t="e">
        <f>VLOOKUP($A212,'S47'!$C:$BQ,40,0)</f>
        <v>#N/A</v>
      </c>
      <c r="AF212" s="107" t="e">
        <f>VLOOKUP($A212,'S47'!$C:$BQ,22,0)</f>
        <v>#N/A</v>
      </c>
      <c r="AG212" s="115" t="e">
        <f>VLOOKUP($A212,'S47'!$C:$BQ,29,0)</f>
        <v>#N/A</v>
      </c>
      <c r="AH212" s="115" t="e">
        <f>VLOOKUP($A212,'S47'!$C:$BQ,30,0)</f>
        <v>#N/A</v>
      </c>
      <c r="AI212" s="115" t="e">
        <f>VLOOKUP($A212,'S47'!$C:$BQ,52,0)</f>
        <v>#N/A</v>
      </c>
      <c r="AJ212" s="115" t="e">
        <f>VLOOKUP($A212,'S47'!$C:$BQ,59,0)</f>
        <v>#N/A</v>
      </c>
      <c r="AK212" s="115" t="e">
        <f>VLOOKUP($A212,'S47'!$C:$BQ,60,0)</f>
        <v>#N/A</v>
      </c>
      <c r="AL212" s="107" t="e">
        <f>VLOOKUP($A212,'S48'!$C:$BQ,32,0)</f>
        <v>#N/A</v>
      </c>
      <c r="AM212" s="107" t="e">
        <f>VLOOKUP($A212,'S48'!$C:$BQ,39,0)</f>
        <v>#N/A</v>
      </c>
      <c r="AN212" s="107" t="e">
        <f>VLOOKUP($A212,'S48'!$C:$BQ,40,0)</f>
        <v>#N/A</v>
      </c>
      <c r="AO212" s="107" t="e">
        <f>VLOOKUP($A212,'S48'!$C:$BQ,22,0)</f>
        <v>#N/A</v>
      </c>
      <c r="AP212" s="115" t="e">
        <f>VLOOKUP($A212,'S48'!$C:$BQ,29,0)</f>
        <v>#N/A</v>
      </c>
      <c r="AQ212" s="115" t="e">
        <f>VLOOKUP($A212,'S48'!$C:$BQ,30,0)</f>
        <v>#N/A</v>
      </c>
      <c r="AR212" s="115" t="e">
        <f>VLOOKUP($A212,'S48'!$C:$BQ,52,0)</f>
        <v>#N/A</v>
      </c>
      <c r="AS212" s="115" t="e">
        <f>VLOOKUP($A212,'S48'!$C:$BQ,59,0)</f>
        <v>#N/A</v>
      </c>
      <c r="AT212" s="115" t="e">
        <f>VLOOKUP($A212,'S48'!$C:$BQ,60,0)</f>
        <v>#N/A</v>
      </c>
      <c r="AU212" s="107" t="e">
        <f>VLOOKUP($A212,'S49'!$C:$BQ,32,0)</f>
        <v>#N/A</v>
      </c>
      <c r="AV212" s="107" t="e">
        <f>VLOOKUP($A212,'S49'!$C:$BQ,39,0)</f>
        <v>#N/A</v>
      </c>
      <c r="AW212" s="107" t="e">
        <f>VLOOKUP($A212,'S49'!$C:$BQ,40,0)</f>
        <v>#N/A</v>
      </c>
      <c r="AX212" s="107" t="e">
        <f>VLOOKUP($A212,'S49'!$C:$BQ,22,0)</f>
        <v>#N/A</v>
      </c>
      <c r="AY212" s="115" t="e">
        <f>VLOOKUP($A212,'S49'!$C:$BQ,29,0)</f>
        <v>#N/A</v>
      </c>
      <c r="AZ212" s="115" t="e">
        <f>VLOOKUP($A212,'S49'!$C:$BQ,30,0)</f>
        <v>#N/A</v>
      </c>
      <c r="BA212" s="115" t="e">
        <f>VLOOKUP($A212,'S49'!$C:$BQ,52,0)</f>
        <v>#N/A</v>
      </c>
      <c r="BB212" s="115" t="e">
        <f>VLOOKUP($A212,'S49'!$C:$BQ,59,0)</f>
        <v>#N/A</v>
      </c>
      <c r="BC212" s="115" t="e">
        <f>VLOOKUP($A212,'S49'!$C:$BQ,60,0)</f>
        <v>#N/A</v>
      </c>
      <c r="BD212" s="107" t="e">
        <f>VLOOKUP($A212,'S50'!$C:$BQ,32,0)</f>
        <v>#N/A</v>
      </c>
      <c r="BE212" s="107" t="e">
        <f>VLOOKUP($A212,'S50'!$C:$BQ,39,0)</f>
        <v>#N/A</v>
      </c>
      <c r="BF212" s="107" t="e">
        <f>VLOOKUP($A212,'S50'!$C:$BQ,40,0)</f>
        <v>#N/A</v>
      </c>
      <c r="BG212" s="107" t="e">
        <f>VLOOKUP($A212,'S50'!$C:$BQ,22,0)</f>
        <v>#N/A</v>
      </c>
      <c r="BH212" s="115" t="e">
        <f>VLOOKUP($A212,'S50'!$C:$BQ,29,0)</f>
        <v>#N/A</v>
      </c>
      <c r="BI212" s="115" t="e">
        <f>VLOOKUP($A212,'S50'!$C:$BQ,30,0)</f>
        <v>#N/A</v>
      </c>
      <c r="BJ212" s="115" t="e">
        <f>VLOOKUP($A212,'S50'!$C:$BQ,52,0)</f>
        <v>#N/A</v>
      </c>
      <c r="BK212" s="115" t="e">
        <f>VLOOKUP($A212,'S50'!$C:$BQ,59,0)</f>
        <v>#N/A</v>
      </c>
      <c r="BL212" s="115" t="e">
        <f>VLOOKUP($A212,'S50'!$C:$BQ,60,0)</f>
        <v>#N/A</v>
      </c>
    </row>
    <row r="213" spans="1:64" x14ac:dyDescent="0.2">
      <c r="A213" s="106" t="s">
        <v>284</v>
      </c>
      <c r="B213" s="107">
        <f>VLOOKUP($A213,'S0 remplacer avec S44'!$C:$BQ,32,0)</f>
        <v>201.35</v>
      </c>
      <c r="C213" s="107">
        <f>VLOOKUP($A213,'S0 remplacer avec S44'!$C:$BQ,39,0)</f>
        <v>108</v>
      </c>
      <c r="D213" s="107">
        <f>VLOOKUP($A213,'S0 remplacer avec S44'!$C:$BQ,40,0)</f>
        <v>169</v>
      </c>
      <c r="E213" s="107">
        <f>VLOOKUP($A213,'S0 remplacer avec S44'!$C:$BQ,22,0)</f>
        <v>2907.1039700000001</v>
      </c>
      <c r="F213" s="115">
        <f>VLOOKUP($A213,'S0 remplacer avec S44'!$C:$BQ,29,0)</f>
        <v>0</v>
      </c>
      <c r="G213" s="115">
        <f>VLOOKUP($A213,'S0 remplacer avec S44'!$C:$BQ,30,0)</f>
        <v>460</v>
      </c>
      <c r="H213" s="115">
        <f>VLOOKUP($A213,'S0 remplacer avec S44'!$C:$BQ,52,0)</f>
        <v>187.2</v>
      </c>
      <c r="I213" s="115">
        <f>VLOOKUP($A213,'S0 remplacer avec S44'!$C:$BQ,59,0)</f>
        <v>0</v>
      </c>
      <c r="J213" s="115">
        <f>VLOOKUP($A213,'S0 remplacer avec S44'!$C:$BQ,60,0)</f>
        <v>1</v>
      </c>
      <c r="K213" s="107" t="e">
        <f>VLOOKUP($A213,'S45'!$C:$BQ,32,0)</f>
        <v>#N/A</v>
      </c>
      <c r="L213" s="107" t="e">
        <f>VLOOKUP($A213,'S45'!$C:$BQ,39,0)</f>
        <v>#N/A</v>
      </c>
      <c r="M213" s="107" t="e">
        <f>VLOOKUP($A213,'S45'!$C:$BQ,40,0)</f>
        <v>#N/A</v>
      </c>
      <c r="N213" s="107" t="e">
        <f>VLOOKUP($A213,'S45'!$C:$BQ,22,0)</f>
        <v>#N/A</v>
      </c>
      <c r="O213" s="115" t="e">
        <f>VLOOKUP($A213,'S45'!$C:$BQ,29,0)</f>
        <v>#N/A</v>
      </c>
      <c r="P213" s="115" t="e">
        <f>VLOOKUP($A213,'S45'!$C:$BQ,30,0)</f>
        <v>#N/A</v>
      </c>
      <c r="Q213" s="115" t="e">
        <f>VLOOKUP($A213,'S45'!$C:$BQ,52,0)</f>
        <v>#N/A</v>
      </c>
      <c r="R213" s="115" t="e">
        <f>VLOOKUP($A213,'S45'!$C:$BQ,59,0)</f>
        <v>#N/A</v>
      </c>
      <c r="S213" s="115" t="e">
        <f>VLOOKUP($A213,'S45'!$C:$BQ,60,0)</f>
        <v>#N/A</v>
      </c>
      <c r="T213" s="107" t="e">
        <f>VLOOKUP($A213,'S46'!$C:$BQ,32,0)</f>
        <v>#N/A</v>
      </c>
      <c r="U213" s="107" t="e">
        <f>VLOOKUP($A213,'S46'!$C:$BQ,39,0)</f>
        <v>#N/A</v>
      </c>
      <c r="V213" s="107" t="e">
        <f>VLOOKUP($A213,'S46'!$C:$BQ,40,0)</f>
        <v>#N/A</v>
      </c>
      <c r="W213" s="107" t="e">
        <f>VLOOKUP($A213,'S46'!$C:$BQ,22,0)</f>
        <v>#N/A</v>
      </c>
      <c r="X213" s="115" t="e">
        <f>VLOOKUP($A213,'S46'!$C:$BQ,29,0)</f>
        <v>#N/A</v>
      </c>
      <c r="Y213" s="115" t="e">
        <f>VLOOKUP($A213,'S46'!$C:$BQ,30,0)</f>
        <v>#N/A</v>
      </c>
      <c r="Z213" s="115" t="e">
        <f>VLOOKUP($A213,'S46'!$C:$BQ,52,0)</f>
        <v>#N/A</v>
      </c>
      <c r="AA213" s="115" t="e">
        <f>VLOOKUP($A213,'S46'!$C:$BQ,59,0)</f>
        <v>#N/A</v>
      </c>
      <c r="AB213" s="115" t="e">
        <f>VLOOKUP($A213,'S46'!$C:$BQ,60,0)</f>
        <v>#N/A</v>
      </c>
      <c r="AC213" s="107" t="e">
        <f>VLOOKUP($A213,'S47'!$C:$BQ,32,0)</f>
        <v>#N/A</v>
      </c>
      <c r="AD213" s="107" t="e">
        <f>VLOOKUP($A213,'S47'!$C:$BQ,39,0)</f>
        <v>#N/A</v>
      </c>
      <c r="AE213" s="107" t="e">
        <f>VLOOKUP($A213,'S47'!$C:$BQ,40,0)</f>
        <v>#N/A</v>
      </c>
      <c r="AF213" s="107" t="e">
        <f>VLOOKUP($A213,'S47'!$C:$BQ,22,0)</f>
        <v>#N/A</v>
      </c>
      <c r="AG213" s="115" t="e">
        <f>VLOOKUP($A213,'S47'!$C:$BQ,29,0)</f>
        <v>#N/A</v>
      </c>
      <c r="AH213" s="115" t="e">
        <f>VLOOKUP($A213,'S47'!$C:$BQ,30,0)</f>
        <v>#N/A</v>
      </c>
      <c r="AI213" s="115" t="e">
        <f>VLOOKUP($A213,'S47'!$C:$BQ,52,0)</f>
        <v>#N/A</v>
      </c>
      <c r="AJ213" s="115" t="e">
        <f>VLOOKUP($A213,'S47'!$C:$BQ,59,0)</f>
        <v>#N/A</v>
      </c>
      <c r="AK213" s="115" t="e">
        <f>VLOOKUP($A213,'S47'!$C:$BQ,60,0)</f>
        <v>#N/A</v>
      </c>
      <c r="AL213" s="107" t="e">
        <f>VLOOKUP($A213,'S48'!$C:$BQ,32,0)</f>
        <v>#N/A</v>
      </c>
      <c r="AM213" s="107" t="e">
        <f>VLOOKUP($A213,'S48'!$C:$BQ,39,0)</f>
        <v>#N/A</v>
      </c>
      <c r="AN213" s="107" t="e">
        <f>VLOOKUP($A213,'S48'!$C:$BQ,40,0)</f>
        <v>#N/A</v>
      </c>
      <c r="AO213" s="107" t="e">
        <f>VLOOKUP($A213,'S48'!$C:$BQ,22,0)</f>
        <v>#N/A</v>
      </c>
      <c r="AP213" s="115" t="e">
        <f>VLOOKUP($A213,'S48'!$C:$BQ,29,0)</f>
        <v>#N/A</v>
      </c>
      <c r="AQ213" s="115" t="e">
        <f>VLOOKUP($A213,'S48'!$C:$BQ,30,0)</f>
        <v>#N/A</v>
      </c>
      <c r="AR213" s="115" t="e">
        <f>VLOOKUP($A213,'S48'!$C:$BQ,52,0)</f>
        <v>#N/A</v>
      </c>
      <c r="AS213" s="115" t="e">
        <f>VLOOKUP($A213,'S48'!$C:$BQ,59,0)</f>
        <v>#N/A</v>
      </c>
      <c r="AT213" s="115" t="e">
        <f>VLOOKUP($A213,'S48'!$C:$BQ,60,0)</f>
        <v>#N/A</v>
      </c>
      <c r="AU213" s="107" t="e">
        <f>VLOOKUP($A213,'S49'!$C:$BQ,32,0)</f>
        <v>#N/A</v>
      </c>
      <c r="AV213" s="107" t="e">
        <f>VLOOKUP($A213,'S49'!$C:$BQ,39,0)</f>
        <v>#N/A</v>
      </c>
      <c r="AW213" s="107" t="e">
        <f>VLOOKUP($A213,'S49'!$C:$BQ,40,0)</f>
        <v>#N/A</v>
      </c>
      <c r="AX213" s="107" t="e">
        <f>VLOOKUP($A213,'S49'!$C:$BQ,22,0)</f>
        <v>#N/A</v>
      </c>
      <c r="AY213" s="115" t="e">
        <f>VLOOKUP($A213,'S49'!$C:$BQ,29,0)</f>
        <v>#N/A</v>
      </c>
      <c r="AZ213" s="115" t="e">
        <f>VLOOKUP($A213,'S49'!$C:$BQ,30,0)</f>
        <v>#N/A</v>
      </c>
      <c r="BA213" s="115" t="e">
        <f>VLOOKUP($A213,'S49'!$C:$BQ,52,0)</f>
        <v>#N/A</v>
      </c>
      <c r="BB213" s="115" t="e">
        <f>VLOOKUP($A213,'S49'!$C:$BQ,59,0)</f>
        <v>#N/A</v>
      </c>
      <c r="BC213" s="115" t="e">
        <f>VLOOKUP($A213,'S49'!$C:$BQ,60,0)</f>
        <v>#N/A</v>
      </c>
      <c r="BD213" s="107" t="e">
        <f>VLOOKUP($A213,'S50'!$C:$BQ,32,0)</f>
        <v>#N/A</v>
      </c>
      <c r="BE213" s="107" t="e">
        <f>VLOOKUP($A213,'S50'!$C:$BQ,39,0)</f>
        <v>#N/A</v>
      </c>
      <c r="BF213" s="107" t="e">
        <f>VLOOKUP($A213,'S50'!$C:$BQ,40,0)</f>
        <v>#N/A</v>
      </c>
      <c r="BG213" s="107" t="e">
        <f>VLOOKUP($A213,'S50'!$C:$BQ,22,0)</f>
        <v>#N/A</v>
      </c>
      <c r="BH213" s="115" t="e">
        <f>VLOOKUP($A213,'S50'!$C:$BQ,29,0)</f>
        <v>#N/A</v>
      </c>
      <c r="BI213" s="115" t="e">
        <f>VLOOKUP($A213,'S50'!$C:$BQ,30,0)</f>
        <v>#N/A</v>
      </c>
      <c r="BJ213" s="115" t="e">
        <f>VLOOKUP($A213,'S50'!$C:$BQ,52,0)</f>
        <v>#N/A</v>
      </c>
      <c r="BK213" s="115" t="e">
        <f>VLOOKUP($A213,'S50'!$C:$BQ,59,0)</f>
        <v>#N/A</v>
      </c>
      <c r="BL213" s="115" t="e">
        <f>VLOOKUP($A213,'S50'!$C:$BQ,60,0)</f>
        <v>#N/A</v>
      </c>
    </row>
    <row r="214" spans="1:64" x14ac:dyDescent="0.2">
      <c r="A214" s="106" t="s">
        <v>285</v>
      </c>
      <c r="B214" s="107">
        <f>VLOOKUP($A214,'S0 remplacer avec S44'!$C:$BQ,32,0)</f>
        <v>111.55</v>
      </c>
      <c r="C214" s="107">
        <f>VLOOKUP($A214,'S0 remplacer avec S44'!$C:$BQ,39,0)</f>
        <v>70</v>
      </c>
      <c r="D214" s="107">
        <f>VLOOKUP($A214,'S0 remplacer avec S44'!$C:$BQ,40,0)</f>
        <v>106</v>
      </c>
      <c r="E214" s="107">
        <f>VLOOKUP($A214,'S0 remplacer avec S44'!$C:$BQ,22,0)</f>
        <v>1776.6657250000001</v>
      </c>
      <c r="F214" s="115">
        <f>VLOOKUP($A214,'S0 remplacer avec S44'!$C:$BQ,29,0)</f>
        <v>0</v>
      </c>
      <c r="G214" s="115">
        <f>VLOOKUP($A214,'S0 remplacer avec S44'!$C:$BQ,30,0)</f>
        <v>201</v>
      </c>
      <c r="H214" s="115">
        <f>VLOOKUP($A214,'S0 remplacer avec S44'!$C:$BQ,52,0)</f>
        <v>69</v>
      </c>
      <c r="I214" s="115">
        <f>VLOOKUP($A214,'S0 remplacer avec S44'!$C:$BQ,59,0)</f>
        <v>24</v>
      </c>
      <c r="J214" s="115">
        <f>VLOOKUP($A214,'S0 remplacer avec S44'!$C:$BQ,60,0)</f>
        <v>42</v>
      </c>
      <c r="K214" s="107" t="e">
        <f>VLOOKUP($A214,'S45'!$C:$BQ,32,0)</f>
        <v>#N/A</v>
      </c>
      <c r="L214" s="107" t="e">
        <f>VLOOKUP($A214,'S45'!$C:$BQ,39,0)</f>
        <v>#N/A</v>
      </c>
      <c r="M214" s="107" t="e">
        <f>VLOOKUP($A214,'S45'!$C:$BQ,40,0)</f>
        <v>#N/A</v>
      </c>
      <c r="N214" s="107" t="e">
        <f>VLOOKUP($A214,'S45'!$C:$BQ,22,0)</f>
        <v>#N/A</v>
      </c>
      <c r="O214" s="115" t="e">
        <f>VLOOKUP($A214,'S45'!$C:$BQ,29,0)</f>
        <v>#N/A</v>
      </c>
      <c r="P214" s="115" t="e">
        <f>VLOOKUP($A214,'S45'!$C:$BQ,30,0)</f>
        <v>#N/A</v>
      </c>
      <c r="Q214" s="115" t="e">
        <f>VLOOKUP($A214,'S45'!$C:$BQ,52,0)</f>
        <v>#N/A</v>
      </c>
      <c r="R214" s="115" t="e">
        <f>VLOOKUP($A214,'S45'!$C:$BQ,59,0)</f>
        <v>#N/A</v>
      </c>
      <c r="S214" s="115" t="e">
        <f>VLOOKUP($A214,'S45'!$C:$BQ,60,0)</f>
        <v>#N/A</v>
      </c>
      <c r="T214" s="107" t="e">
        <f>VLOOKUP($A214,'S46'!$C:$BQ,32,0)</f>
        <v>#N/A</v>
      </c>
      <c r="U214" s="107" t="e">
        <f>VLOOKUP($A214,'S46'!$C:$BQ,39,0)</f>
        <v>#N/A</v>
      </c>
      <c r="V214" s="107" t="e">
        <f>VLOOKUP($A214,'S46'!$C:$BQ,40,0)</f>
        <v>#N/A</v>
      </c>
      <c r="W214" s="107" t="e">
        <f>VLOOKUP($A214,'S46'!$C:$BQ,22,0)</f>
        <v>#N/A</v>
      </c>
      <c r="X214" s="115" t="e">
        <f>VLOOKUP($A214,'S46'!$C:$BQ,29,0)</f>
        <v>#N/A</v>
      </c>
      <c r="Y214" s="115" t="e">
        <f>VLOOKUP($A214,'S46'!$C:$BQ,30,0)</f>
        <v>#N/A</v>
      </c>
      <c r="Z214" s="115" t="e">
        <f>VLOOKUP($A214,'S46'!$C:$BQ,52,0)</f>
        <v>#N/A</v>
      </c>
      <c r="AA214" s="115" t="e">
        <f>VLOOKUP($A214,'S46'!$C:$BQ,59,0)</f>
        <v>#N/A</v>
      </c>
      <c r="AB214" s="115" t="e">
        <f>VLOOKUP($A214,'S46'!$C:$BQ,60,0)</f>
        <v>#N/A</v>
      </c>
      <c r="AC214" s="107" t="e">
        <f>VLOOKUP($A214,'S47'!$C:$BQ,32,0)</f>
        <v>#N/A</v>
      </c>
      <c r="AD214" s="107" t="e">
        <f>VLOOKUP($A214,'S47'!$C:$BQ,39,0)</f>
        <v>#N/A</v>
      </c>
      <c r="AE214" s="107" t="e">
        <f>VLOOKUP($A214,'S47'!$C:$BQ,40,0)</f>
        <v>#N/A</v>
      </c>
      <c r="AF214" s="107" t="e">
        <f>VLOOKUP($A214,'S47'!$C:$BQ,22,0)</f>
        <v>#N/A</v>
      </c>
      <c r="AG214" s="115" t="e">
        <f>VLOOKUP($A214,'S47'!$C:$BQ,29,0)</f>
        <v>#N/A</v>
      </c>
      <c r="AH214" s="115" t="e">
        <f>VLOOKUP($A214,'S47'!$C:$BQ,30,0)</f>
        <v>#N/A</v>
      </c>
      <c r="AI214" s="115" t="e">
        <f>VLOOKUP($A214,'S47'!$C:$BQ,52,0)</f>
        <v>#N/A</v>
      </c>
      <c r="AJ214" s="115" t="e">
        <f>VLOOKUP($A214,'S47'!$C:$BQ,59,0)</f>
        <v>#N/A</v>
      </c>
      <c r="AK214" s="115" t="e">
        <f>VLOOKUP($A214,'S47'!$C:$BQ,60,0)</f>
        <v>#N/A</v>
      </c>
      <c r="AL214" s="107" t="e">
        <f>VLOOKUP($A214,'S48'!$C:$BQ,32,0)</f>
        <v>#N/A</v>
      </c>
      <c r="AM214" s="107" t="e">
        <f>VLOOKUP($A214,'S48'!$C:$BQ,39,0)</f>
        <v>#N/A</v>
      </c>
      <c r="AN214" s="107" t="e">
        <f>VLOOKUP($A214,'S48'!$C:$BQ,40,0)</f>
        <v>#N/A</v>
      </c>
      <c r="AO214" s="107" t="e">
        <f>VLOOKUP($A214,'S48'!$C:$BQ,22,0)</f>
        <v>#N/A</v>
      </c>
      <c r="AP214" s="115" t="e">
        <f>VLOOKUP($A214,'S48'!$C:$BQ,29,0)</f>
        <v>#N/A</v>
      </c>
      <c r="AQ214" s="115" t="e">
        <f>VLOOKUP($A214,'S48'!$C:$BQ,30,0)</f>
        <v>#N/A</v>
      </c>
      <c r="AR214" s="115" t="e">
        <f>VLOOKUP($A214,'S48'!$C:$BQ,52,0)</f>
        <v>#N/A</v>
      </c>
      <c r="AS214" s="115" t="e">
        <f>VLOOKUP($A214,'S48'!$C:$BQ,59,0)</f>
        <v>#N/A</v>
      </c>
      <c r="AT214" s="115" t="e">
        <f>VLOOKUP($A214,'S48'!$C:$BQ,60,0)</f>
        <v>#N/A</v>
      </c>
      <c r="AU214" s="107" t="e">
        <f>VLOOKUP($A214,'S49'!$C:$BQ,32,0)</f>
        <v>#N/A</v>
      </c>
      <c r="AV214" s="107" t="e">
        <f>VLOOKUP($A214,'S49'!$C:$BQ,39,0)</f>
        <v>#N/A</v>
      </c>
      <c r="AW214" s="107" t="e">
        <f>VLOOKUP($A214,'S49'!$C:$BQ,40,0)</f>
        <v>#N/A</v>
      </c>
      <c r="AX214" s="107" t="e">
        <f>VLOOKUP($A214,'S49'!$C:$BQ,22,0)</f>
        <v>#N/A</v>
      </c>
      <c r="AY214" s="115" t="e">
        <f>VLOOKUP($A214,'S49'!$C:$BQ,29,0)</f>
        <v>#N/A</v>
      </c>
      <c r="AZ214" s="115" t="e">
        <f>VLOOKUP($A214,'S49'!$C:$BQ,30,0)</f>
        <v>#N/A</v>
      </c>
      <c r="BA214" s="115" t="e">
        <f>VLOOKUP($A214,'S49'!$C:$BQ,52,0)</f>
        <v>#N/A</v>
      </c>
      <c r="BB214" s="115" t="e">
        <f>VLOOKUP($A214,'S49'!$C:$BQ,59,0)</f>
        <v>#N/A</v>
      </c>
      <c r="BC214" s="115" t="e">
        <f>VLOOKUP($A214,'S49'!$C:$BQ,60,0)</f>
        <v>#N/A</v>
      </c>
      <c r="BD214" s="107" t="e">
        <f>VLOOKUP($A214,'S50'!$C:$BQ,32,0)</f>
        <v>#N/A</v>
      </c>
      <c r="BE214" s="107" t="e">
        <f>VLOOKUP($A214,'S50'!$C:$BQ,39,0)</f>
        <v>#N/A</v>
      </c>
      <c r="BF214" s="107" t="e">
        <f>VLOOKUP($A214,'S50'!$C:$BQ,40,0)</f>
        <v>#N/A</v>
      </c>
      <c r="BG214" s="107" t="e">
        <f>VLOOKUP($A214,'S50'!$C:$BQ,22,0)</f>
        <v>#N/A</v>
      </c>
      <c r="BH214" s="115" t="e">
        <f>VLOOKUP($A214,'S50'!$C:$BQ,29,0)</f>
        <v>#N/A</v>
      </c>
      <c r="BI214" s="115" t="e">
        <f>VLOOKUP($A214,'S50'!$C:$BQ,30,0)</f>
        <v>#N/A</v>
      </c>
      <c r="BJ214" s="115" t="e">
        <f>VLOOKUP($A214,'S50'!$C:$BQ,52,0)</f>
        <v>#N/A</v>
      </c>
      <c r="BK214" s="115" t="e">
        <f>VLOOKUP($A214,'S50'!$C:$BQ,59,0)</f>
        <v>#N/A</v>
      </c>
      <c r="BL214" s="115" t="e">
        <f>VLOOKUP($A214,'S50'!$C:$BQ,60,0)</f>
        <v>#N/A</v>
      </c>
    </row>
    <row r="215" spans="1:64" x14ac:dyDescent="0.2">
      <c r="A215" s="106" t="s">
        <v>286</v>
      </c>
      <c r="B215" s="107">
        <f>VLOOKUP($A215,'S0 remplacer avec S44'!$C:$BQ,32,0)</f>
        <v>132.35</v>
      </c>
      <c r="C215" s="107">
        <f>VLOOKUP($A215,'S0 remplacer avec S44'!$C:$BQ,39,0)</f>
        <v>29</v>
      </c>
      <c r="D215" s="107">
        <f>VLOOKUP($A215,'S0 remplacer avec S44'!$C:$BQ,40,0)</f>
        <v>61</v>
      </c>
      <c r="E215" s="107">
        <f>VLOOKUP($A215,'S0 remplacer avec S44'!$C:$BQ,22,0)</f>
        <v>2344.707375</v>
      </c>
      <c r="F215" s="115">
        <f>VLOOKUP($A215,'S0 remplacer avec S44'!$C:$BQ,29,0)</f>
        <v>0</v>
      </c>
      <c r="G215" s="115">
        <f>VLOOKUP($A215,'S0 remplacer avec S44'!$C:$BQ,30,0)</f>
        <v>0</v>
      </c>
      <c r="H215" s="115">
        <f>VLOOKUP($A215,'S0 remplacer avec S44'!$C:$BQ,52,0)</f>
        <v>78.599999999999994</v>
      </c>
      <c r="I215" s="115">
        <f>VLOOKUP($A215,'S0 remplacer avec S44'!$C:$BQ,59,0)</f>
        <v>3</v>
      </c>
      <c r="J215" s="115">
        <f>VLOOKUP($A215,'S0 remplacer avec S44'!$C:$BQ,60,0)</f>
        <v>20</v>
      </c>
      <c r="K215" s="107" t="e">
        <f>VLOOKUP($A215,'S45'!$C:$BQ,32,0)</f>
        <v>#N/A</v>
      </c>
      <c r="L215" s="107" t="e">
        <f>VLOOKUP($A215,'S45'!$C:$BQ,39,0)</f>
        <v>#N/A</v>
      </c>
      <c r="M215" s="107" t="e">
        <f>VLOOKUP($A215,'S45'!$C:$BQ,40,0)</f>
        <v>#N/A</v>
      </c>
      <c r="N215" s="107" t="e">
        <f>VLOOKUP($A215,'S45'!$C:$BQ,22,0)</f>
        <v>#N/A</v>
      </c>
      <c r="O215" s="115" t="e">
        <f>VLOOKUP($A215,'S45'!$C:$BQ,29,0)</f>
        <v>#N/A</v>
      </c>
      <c r="P215" s="115" t="e">
        <f>VLOOKUP($A215,'S45'!$C:$BQ,30,0)</f>
        <v>#N/A</v>
      </c>
      <c r="Q215" s="115" t="e">
        <f>VLOOKUP($A215,'S45'!$C:$BQ,52,0)</f>
        <v>#N/A</v>
      </c>
      <c r="R215" s="115" t="e">
        <f>VLOOKUP($A215,'S45'!$C:$BQ,59,0)</f>
        <v>#N/A</v>
      </c>
      <c r="S215" s="115" t="e">
        <f>VLOOKUP($A215,'S45'!$C:$BQ,60,0)</f>
        <v>#N/A</v>
      </c>
      <c r="T215" s="107" t="e">
        <f>VLOOKUP($A215,'S46'!$C:$BQ,32,0)</f>
        <v>#N/A</v>
      </c>
      <c r="U215" s="107" t="e">
        <f>VLOOKUP($A215,'S46'!$C:$BQ,39,0)</f>
        <v>#N/A</v>
      </c>
      <c r="V215" s="107" t="e">
        <f>VLOOKUP($A215,'S46'!$C:$BQ,40,0)</f>
        <v>#N/A</v>
      </c>
      <c r="W215" s="107" t="e">
        <f>VLOOKUP($A215,'S46'!$C:$BQ,22,0)</f>
        <v>#N/A</v>
      </c>
      <c r="X215" s="115" t="e">
        <f>VLOOKUP($A215,'S46'!$C:$BQ,29,0)</f>
        <v>#N/A</v>
      </c>
      <c r="Y215" s="115" t="e">
        <f>VLOOKUP($A215,'S46'!$C:$BQ,30,0)</f>
        <v>#N/A</v>
      </c>
      <c r="Z215" s="115" t="e">
        <f>VLOOKUP($A215,'S46'!$C:$BQ,52,0)</f>
        <v>#N/A</v>
      </c>
      <c r="AA215" s="115" t="e">
        <f>VLOOKUP($A215,'S46'!$C:$BQ,59,0)</f>
        <v>#N/A</v>
      </c>
      <c r="AB215" s="115" t="e">
        <f>VLOOKUP($A215,'S46'!$C:$BQ,60,0)</f>
        <v>#N/A</v>
      </c>
      <c r="AC215" s="107" t="e">
        <f>VLOOKUP($A215,'S47'!$C:$BQ,32,0)</f>
        <v>#N/A</v>
      </c>
      <c r="AD215" s="107" t="e">
        <f>VLOOKUP($A215,'S47'!$C:$BQ,39,0)</f>
        <v>#N/A</v>
      </c>
      <c r="AE215" s="107" t="e">
        <f>VLOOKUP($A215,'S47'!$C:$BQ,40,0)</f>
        <v>#N/A</v>
      </c>
      <c r="AF215" s="107" t="e">
        <f>VLOOKUP($A215,'S47'!$C:$BQ,22,0)</f>
        <v>#N/A</v>
      </c>
      <c r="AG215" s="115" t="e">
        <f>VLOOKUP($A215,'S47'!$C:$BQ,29,0)</f>
        <v>#N/A</v>
      </c>
      <c r="AH215" s="115" t="e">
        <f>VLOOKUP($A215,'S47'!$C:$BQ,30,0)</f>
        <v>#N/A</v>
      </c>
      <c r="AI215" s="115" t="e">
        <f>VLOOKUP($A215,'S47'!$C:$BQ,52,0)</f>
        <v>#N/A</v>
      </c>
      <c r="AJ215" s="115" t="e">
        <f>VLOOKUP($A215,'S47'!$C:$BQ,59,0)</f>
        <v>#N/A</v>
      </c>
      <c r="AK215" s="115" t="e">
        <f>VLOOKUP($A215,'S47'!$C:$BQ,60,0)</f>
        <v>#N/A</v>
      </c>
      <c r="AL215" s="107" t="e">
        <f>VLOOKUP($A215,'S48'!$C:$BQ,32,0)</f>
        <v>#N/A</v>
      </c>
      <c r="AM215" s="107" t="e">
        <f>VLOOKUP($A215,'S48'!$C:$BQ,39,0)</f>
        <v>#N/A</v>
      </c>
      <c r="AN215" s="107" t="e">
        <f>VLOOKUP($A215,'S48'!$C:$BQ,40,0)</f>
        <v>#N/A</v>
      </c>
      <c r="AO215" s="107" t="e">
        <f>VLOOKUP($A215,'S48'!$C:$BQ,22,0)</f>
        <v>#N/A</v>
      </c>
      <c r="AP215" s="115" t="e">
        <f>VLOOKUP($A215,'S48'!$C:$BQ,29,0)</f>
        <v>#N/A</v>
      </c>
      <c r="AQ215" s="115" t="e">
        <f>VLOOKUP($A215,'S48'!$C:$BQ,30,0)</f>
        <v>#N/A</v>
      </c>
      <c r="AR215" s="115" t="e">
        <f>VLOOKUP($A215,'S48'!$C:$BQ,52,0)</f>
        <v>#N/A</v>
      </c>
      <c r="AS215" s="115" t="e">
        <f>VLOOKUP($A215,'S48'!$C:$BQ,59,0)</f>
        <v>#N/A</v>
      </c>
      <c r="AT215" s="115" t="e">
        <f>VLOOKUP($A215,'S48'!$C:$BQ,60,0)</f>
        <v>#N/A</v>
      </c>
      <c r="AU215" s="107" t="e">
        <f>VLOOKUP($A215,'S49'!$C:$BQ,32,0)</f>
        <v>#N/A</v>
      </c>
      <c r="AV215" s="107" t="e">
        <f>VLOOKUP($A215,'S49'!$C:$BQ,39,0)</f>
        <v>#N/A</v>
      </c>
      <c r="AW215" s="107" t="e">
        <f>VLOOKUP($A215,'S49'!$C:$BQ,40,0)</f>
        <v>#N/A</v>
      </c>
      <c r="AX215" s="107" t="e">
        <f>VLOOKUP($A215,'S49'!$C:$BQ,22,0)</f>
        <v>#N/A</v>
      </c>
      <c r="AY215" s="115" t="e">
        <f>VLOOKUP($A215,'S49'!$C:$BQ,29,0)</f>
        <v>#N/A</v>
      </c>
      <c r="AZ215" s="115" t="e">
        <f>VLOOKUP($A215,'S49'!$C:$BQ,30,0)</f>
        <v>#N/A</v>
      </c>
      <c r="BA215" s="115" t="e">
        <f>VLOOKUP($A215,'S49'!$C:$BQ,52,0)</f>
        <v>#N/A</v>
      </c>
      <c r="BB215" s="115" t="e">
        <f>VLOOKUP($A215,'S49'!$C:$BQ,59,0)</f>
        <v>#N/A</v>
      </c>
      <c r="BC215" s="115" t="e">
        <f>VLOOKUP($A215,'S49'!$C:$BQ,60,0)</f>
        <v>#N/A</v>
      </c>
      <c r="BD215" s="107" t="e">
        <f>VLOOKUP($A215,'S50'!$C:$BQ,32,0)</f>
        <v>#N/A</v>
      </c>
      <c r="BE215" s="107" t="e">
        <f>VLOOKUP($A215,'S50'!$C:$BQ,39,0)</f>
        <v>#N/A</v>
      </c>
      <c r="BF215" s="107" t="e">
        <f>VLOOKUP($A215,'S50'!$C:$BQ,40,0)</f>
        <v>#N/A</v>
      </c>
      <c r="BG215" s="107" t="e">
        <f>VLOOKUP($A215,'S50'!$C:$BQ,22,0)</f>
        <v>#N/A</v>
      </c>
      <c r="BH215" s="115" t="e">
        <f>VLOOKUP($A215,'S50'!$C:$BQ,29,0)</f>
        <v>#N/A</v>
      </c>
      <c r="BI215" s="115" t="e">
        <f>VLOOKUP($A215,'S50'!$C:$BQ,30,0)</f>
        <v>#N/A</v>
      </c>
      <c r="BJ215" s="115" t="e">
        <f>VLOOKUP($A215,'S50'!$C:$BQ,52,0)</f>
        <v>#N/A</v>
      </c>
      <c r="BK215" s="115" t="e">
        <f>VLOOKUP($A215,'S50'!$C:$BQ,59,0)</f>
        <v>#N/A</v>
      </c>
      <c r="BL215" s="115" t="e">
        <f>VLOOKUP($A215,'S50'!$C:$BQ,60,0)</f>
        <v>#N/A</v>
      </c>
    </row>
    <row r="216" spans="1:64" x14ac:dyDescent="0.2">
      <c r="A216" s="106" t="s">
        <v>287</v>
      </c>
      <c r="B216" s="107">
        <f>VLOOKUP($A216,'S0 remplacer avec S44'!$C:$BQ,32,0)</f>
        <v>86.4</v>
      </c>
      <c r="C216" s="107">
        <f>VLOOKUP($A216,'S0 remplacer avec S44'!$C:$BQ,39,0)</f>
        <v>153</v>
      </c>
      <c r="D216" s="107">
        <f>VLOOKUP($A216,'S0 remplacer avec S44'!$C:$BQ,40,0)</f>
        <v>201</v>
      </c>
      <c r="E216" s="107">
        <f>VLOOKUP($A216,'S0 remplacer avec S44'!$C:$BQ,22,0)</f>
        <v>1585.8655349999999</v>
      </c>
      <c r="F216" s="115">
        <f>VLOOKUP($A216,'S0 remplacer avec S44'!$C:$BQ,29,0)</f>
        <v>587</v>
      </c>
      <c r="G216" s="115">
        <f>VLOOKUP($A216,'S0 remplacer avec S44'!$C:$BQ,30,0)</f>
        <v>1021</v>
      </c>
      <c r="H216" s="115">
        <f>VLOOKUP($A216,'S0 remplacer avec S44'!$C:$BQ,52,0)</f>
        <v>179.4</v>
      </c>
      <c r="I216" s="115">
        <f>VLOOKUP($A216,'S0 remplacer avec S44'!$C:$BQ,59,0)</f>
        <v>0</v>
      </c>
      <c r="J216" s="115">
        <f>VLOOKUP($A216,'S0 remplacer avec S44'!$C:$BQ,60,0)</f>
        <v>0</v>
      </c>
      <c r="K216" s="107" t="e">
        <f>VLOOKUP($A216,'S45'!$C:$BQ,32,0)</f>
        <v>#N/A</v>
      </c>
      <c r="L216" s="107" t="e">
        <f>VLOOKUP($A216,'S45'!$C:$BQ,39,0)</f>
        <v>#N/A</v>
      </c>
      <c r="M216" s="107" t="e">
        <f>VLOOKUP($A216,'S45'!$C:$BQ,40,0)</f>
        <v>#N/A</v>
      </c>
      <c r="N216" s="107" t="e">
        <f>VLOOKUP($A216,'S45'!$C:$BQ,22,0)</f>
        <v>#N/A</v>
      </c>
      <c r="O216" s="115" t="e">
        <f>VLOOKUP($A216,'S45'!$C:$BQ,29,0)</f>
        <v>#N/A</v>
      </c>
      <c r="P216" s="115" t="e">
        <f>VLOOKUP($A216,'S45'!$C:$BQ,30,0)</f>
        <v>#N/A</v>
      </c>
      <c r="Q216" s="115" t="e">
        <f>VLOOKUP($A216,'S45'!$C:$BQ,52,0)</f>
        <v>#N/A</v>
      </c>
      <c r="R216" s="115" t="e">
        <f>VLOOKUP($A216,'S45'!$C:$BQ,59,0)</f>
        <v>#N/A</v>
      </c>
      <c r="S216" s="115" t="e">
        <f>VLOOKUP($A216,'S45'!$C:$BQ,60,0)</f>
        <v>#N/A</v>
      </c>
      <c r="T216" s="107" t="e">
        <f>VLOOKUP($A216,'S46'!$C:$BQ,32,0)</f>
        <v>#N/A</v>
      </c>
      <c r="U216" s="107" t="e">
        <f>VLOOKUP($A216,'S46'!$C:$BQ,39,0)</f>
        <v>#N/A</v>
      </c>
      <c r="V216" s="107" t="e">
        <f>VLOOKUP($A216,'S46'!$C:$BQ,40,0)</f>
        <v>#N/A</v>
      </c>
      <c r="W216" s="107" t="e">
        <f>VLOOKUP($A216,'S46'!$C:$BQ,22,0)</f>
        <v>#N/A</v>
      </c>
      <c r="X216" s="115" t="e">
        <f>VLOOKUP($A216,'S46'!$C:$BQ,29,0)</f>
        <v>#N/A</v>
      </c>
      <c r="Y216" s="115" t="e">
        <f>VLOOKUP($A216,'S46'!$C:$BQ,30,0)</f>
        <v>#N/A</v>
      </c>
      <c r="Z216" s="115" t="e">
        <f>VLOOKUP($A216,'S46'!$C:$BQ,52,0)</f>
        <v>#N/A</v>
      </c>
      <c r="AA216" s="115" t="e">
        <f>VLOOKUP($A216,'S46'!$C:$BQ,59,0)</f>
        <v>#N/A</v>
      </c>
      <c r="AB216" s="115" t="e">
        <f>VLOOKUP($A216,'S46'!$C:$BQ,60,0)</f>
        <v>#N/A</v>
      </c>
      <c r="AC216" s="107" t="e">
        <f>VLOOKUP($A216,'S47'!$C:$BQ,32,0)</f>
        <v>#N/A</v>
      </c>
      <c r="AD216" s="107" t="e">
        <f>VLOOKUP($A216,'S47'!$C:$BQ,39,0)</f>
        <v>#N/A</v>
      </c>
      <c r="AE216" s="107" t="e">
        <f>VLOOKUP($A216,'S47'!$C:$BQ,40,0)</f>
        <v>#N/A</v>
      </c>
      <c r="AF216" s="107" t="e">
        <f>VLOOKUP($A216,'S47'!$C:$BQ,22,0)</f>
        <v>#N/A</v>
      </c>
      <c r="AG216" s="115" t="e">
        <f>VLOOKUP($A216,'S47'!$C:$BQ,29,0)</f>
        <v>#N/A</v>
      </c>
      <c r="AH216" s="115" t="e">
        <f>VLOOKUP($A216,'S47'!$C:$BQ,30,0)</f>
        <v>#N/A</v>
      </c>
      <c r="AI216" s="115" t="e">
        <f>VLOOKUP($A216,'S47'!$C:$BQ,52,0)</f>
        <v>#N/A</v>
      </c>
      <c r="AJ216" s="115" t="e">
        <f>VLOOKUP($A216,'S47'!$C:$BQ,59,0)</f>
        <v>#N/A</v>
      </c>
      <c r="AK216" s="115" t="e">
        <f>VLOOKUP($A216,'S47'!$C:$BQ,60,0)</f>
        <v>#N/A</v>
      </c>
      <c r="AL216" s="107" t="e">
        <f>VLOOKUP($A216,'S48'!$C:$BQ,32,0)</f>
        <v>#N/A</v>
      </c>
      <c r="AM216" s="107" t="e">
        <f>VLOOKUP($A216,'S48'!$C:$BQ,39,0)</f>
        <v>#N/A</v>
      </c>
      <c r="AN216" s="107" t="e">
        <f>VLOOKUP($A216,'S48'!$C:$BQ,40,0)</f>
        <v>#N/A</v>
      </c>
      <c r="AO216" s="107" t="e">
        <f>VLOOKUP($A216,'S48'!$C:$BQ,22,0)</f>
        <v>#N/A</v>
      </c>
      <c r="AP216" s="115" t="e">
        <f>VLOOKUP($A216,'S48'!$C:$BQ,29,0)</f>
        <v>#N/A</v>
      </c>
      <c r="AQ216" s="115" t="e">
        <f>VLOOKUP($A216,'S48'!$C:$BQ,30,0)</f>
        <v>#N/A</v>
      </c>
      <c r="AR216" s="115" t="e">
        <f>VLOOKUP($A216,'S48'!$C:$BQ,52,0)</f>
        <v>#N/A</v>
      </c>
      <c r="AS216" s="115" t="e">
        <f>VLOOKUP($A216,'S48'!$C:$BQ,59,0)</f>
        <v>#N/A</v>
      </c>
      <c r="AT216" s="115" t="e">
        <f>VLOOKUP($A216,'S48'!$C:$BQ,60,0)</f>
        <v>#N/A</v>
      </c>
      <c r="AU216" s="107" t="e">
        <f>VLOOKUP($A216,'S49'!$C:$BQ,32,0)</f>
        <v>#N/A</v>
      </c>
      <c r="AV216" s="107" t="e">
        <f>VLOOKUP($A216,'S49'!$C:$BQ,39,0)</f>
        <v>#N/A</v>
      </c>
      <c r="AW216" s="107" t="e">
        <f>VLOOKUP($A216,'S49'!$C:$BQ,40,0)</f>
        <v>#N/A</v>
      </c>
      <c r="AX216" s="107" t="e">
        <f>VLOOKUP($A216,'S49'!$C:$BQ,22,0)</f>
        <v>#N/A</v>
      </c>
      <c r="AY216" s="115" t="e">
        <f>VLOOKUP($A216,'S49'!$C:$BQ,29,0)</f>
        <v>#N/A</v>
      </c>
      <c r="AZ216" s="115" t="e">
        <f>VLOOKUP($A216,'S49'!$C:$BQ,30,0)</f>
        <v>#N/A</v>
      </c>
      <c r="BA216" s="115" t="e">
        <f>VLOOKUP($A216,'S49'!$C:$BQ,52,0)</f>
        <v>#N/A</v>
      </c>
      <c r="BB216" s="115" t="e">
        <f>VLOOKUP($A216,'S49'!$C:$BQ,59,0)</f>
        <v>#N/A</v>
      </c>
      <c r="BC216" s="115" t="e">
        <f>VLOOKUP($A216,'S49'!$C:$BQ,60,0)</f>
        <v>#N/A</v>
      </c>
      <c r="BD216" s="107" t="e">
        <f>VLOOKUP($A216,'S50'!$C:$BQ,32,0)</f>
        <v>#N/A</v>
      </c>
      <c r="BE216" s="107" t="e">
        <f>VLOOKUP($A216,'S50'!$C:$BQ,39,0)</f>
        <v>#N/A</v>
      </c>
      <c r="BF216" s="107" t="e">
        <f>VLOOKUP($A216,'S50'!$C:$BQ,40,0)</f>
        <v>#N/A</v>
      </c>
      <c r="BG216" s="107" t="e">
        <f>VLOOKUP($A216,'S50'!$C:$BQ,22,0)</f>
        <v>#N/A</v>
      </c>
      <c r="BH216" s="115" t="e">
        <f>VLOOKUP($A216,'S50'!$C:$BQ,29,0)</f>
        <v>#N/A</v>
      </c>
      <c r="BI216" s="115" t="e">
        <f>VLOOKUP($A216,'S50'!$C:$BQ,30,0)</f>
        <v>#N/A</v>
      </c>
      <c r="BJ216" s="115" t="e">
        <f>VLOOKUP($A216,'S50'!$C:$BQ,52,0)</f>
        <v>#N/A</v>
      </c>
      <c r="BK216" s="115" t="e">
        <f>VLOOKUP($A216,'S50'!$C:$BQ,59,0)</f>
        <v>#N/A</v>
      </c>
      <c r="BL216" s="115" t="e">
        <f>VLOOKUP($A216,'S50'!$C:$BQ,60,0)</f>
        <v>#N/A</v>
      </c>
    </row>
    <row r="217" spans="1:64" x14ac:dyDescent="0.2">
      <c r="A217" s="106" t="s">
        <v>288</v>
      </c>
      <c r="B217" s="107">
        <f>VLOOKUP($A217,'S0 remplacer avec S44'!$C:$BQ,32,0)</f>
        <v>145.94999999999999</v>
      </c>
      <c r="C217" s="107">
        <f>VLOOKUP($A217,'S0 remplacer avec S44'!$C:$BQ,39,0)</f>
        <v>113</v>
      </c>
      <c r="D217" s="107">
        <f>VLOOKUP($A217,'S0 remplacer avec S44'!$C:$BQ,40,0)</f>
        <v>164</v>
      </c>
      <c r="E217" s="107">
        <f>VLOOKUP($A217,'S0 remplacer avec S44'!$C:$BQ,22,0)</f>
        <v>1867.4395549999999</v>
      </c>
      <c r="F217" s="115">
        <f>VLOOKUP($A217,'S0 remplacer avec S44'!$C:$BQ,29,0)</f>
        <v>481</v>
      </c>
      <c r="G217" s="115">
        <f>VLOOKUP($A217,'S0 remplacer avec S44'!$C:$BQ,30,0)</f>
        <v>951</v>
      </c>
      <c r="H217" s="115">
        <f>VLOOKUP($A217,'S0 remplacer avec S44'!$C:$BQ,52,0)</f>
        <v>143.80000000000001</v>
      </c>
      <c r="I217" s="115">
        <f>VLOOKUP($A217,'S0 remplacer avec S44'!$C:$BQ,59,0)</f>
        <v>0</v>
      </c>
      <c r="J217" s="115">
        <f>VLOOKUP($A217,'S0 remplacer avec S44'!$C:$BQ,60,0)</f>
        <v>14</v>
      </c>
      <c r="K217" s="107" t="e">
        <f>VLOOKUP($A217,'S45'!$C:$BQ,32,0)</f>
        <v>#N/A</v>
      </c>
      <c r="L217" s="107" t="e">
        <f>VLOOKUP($A217,'S45'!$C:$BQ,39,0)</f>
        <v>#N/A</v>
      </c>
      <c r="M217" s="107" t="e">
        <f>VLOOKUP($A217,'S45'!$C:$BQ,40,0)</f>
        <v>#N/A</v>
      </c>
      <c r="N217" s="107" t="e">
        <f>VLOOKUP($A217,'S45'!$C:$BQ,22,0)</f>
        <v>#N/A</v>
      </c>
      <c r="O217" s="115" t="e">
        <f>VLOOKUP($A217,'S45'!$C:$BQ,29,0)</f>
        <v>#N/A</v>
      </c>
      <c r="P217" s="115" t="e">
        <f>VLOOKUP($A217,'S45'!$C:$BQ,30,0)</f>
        <v>#N/A</v>
      </c>
      <c r="Q217" s="115" t="e">
        <f>VLOOKUP($A217,'S45'!$C:$BQ,52,0)</f>
        <v>#N/A</v>
      </c>
      <c r="R217" s="115" t="e">
        <f>VLOOKUP($A217,'S45'!$C:$BQ,59,0)</f>
        <v>#N/A</v>
      </c>
      <c r="S217" s="115" t="e">
        <f>VLOOKUP($A217,'S45'!$C:$BQ,60,0)</f>
        <v>#N/A</v>
      </c>
      <c r="T217" s="107" t="e">
        <f>VLOOKUP($A217,'S46'!$C:$BQ,32,0)</f>
        <v>#N/A</v>
      </c>
      <c r="U217" s="107" t="e">
        <f>VLOOKUP($A217,'S46'!$C:$BQ,39,0)</f>
        <v>#N/A</v>
      </c>
      <c r="V217" s="107" t="e">
        <f>VLOOKUP($A217,'S46'!$C:$BQ,40,0)</f>
        <v>#N/A</v>
      </c>
      <c r="W217" s="107" t="e">
        <f>VLOOKUP($A217,'S46'!$C:$BQ,22,0)</f>
        <v>#N/A</v>
      </c>
      <c r="X217" s="115" t="e">
        <f>VLOOKUP($A217,'S46'!$C:$BQ,29,0)</f>
        <v>#N/A</v>
      </c>
      <c r="Y217" s="115" t="e">
        <f>VLOOKUP($A217,'S46'!$C:$BQ,30,0)</f>
        <v>#N/A</v>
      </c>
      <c r="Z217" s="115" t="e">
        <f>VLOOKUP($A217,'S46'!$C:$BQ,52,0)</f>
        <v>#N/A</v>
      </c>
      <c r="AA217" s="115" t="e">
        <f>VLOOKUP($A217,'S46'!$C:$BQ,59,0)</f>
        <v>#N/A</v>
      </c>
      <c r="AB217" s="115" t="e">
        <f>VLOOKUP($A217,'S46'!$C:$BQ,60,0)</f>
        <v>#N/A</v>
      </c>
      <c r="AC217" s="107" t="e">
        <f>VLOOKUP($A217,'S47'!$C:$BQ,32,0)</f>
        <v>#N/A</v>
      </c>
      <c r="AD217" s="107" t="e">
        <f>VLOOKUP($A217,'S47'!$C:$BQ,39,0)</f>
        <v>#N/A</v>
      </c>
      <c r="AE217" s="107" t="e">
        <f>VLOOKUP($A217,'S47'!$C:$BQ,40,0)</f>
        <v>#N/A</v>
      </c>
      <c r="AF217" s="107" t="e">
        <f>VLOOKUP($A217,'S47'!$C:$BQ,22,0)</f>
        <v>#N/A</v>
      </c>
      <c r="AG217" s="115" t="e">
        <f>VLOOKUP($A217,'S47'!$C:$BQ,29,0)</f>
        <v>#N/A</v>
      </c>
      <c r="AH217" s="115" t="e">
        <f>VLOOKUP($A217,'S47'!$C:$BQ,30,0)</f>
        <v>#N/A</v>
      </c>
      <c r="AI217" s="115" t="e">
        <f>VLOOKUP($A217,'S47'!$C:$BQ,52,0)</f>
        <v>#N/A</v>
      </c>
      <c r="AJ217" s="115" t="e">
        <f>VLOOKUP($A217,'S47'!$C:$BQ,59,0)</f>
        <v>#N/A</v>
      </c>
      <c r="AK217" s="115" t="e">
        <f>VLOOKUP($A217,'S47'!$C:$BQ,60,0)</f>
        <v>#N/A</v>
      </c>
      <c r="AL217" s="107" t="e">
        <f>VLOOKUP($A217,'S48'!$C:$BQ,32,0)</f>
        <v>#N/A</v>
      </c>
      <c r="AM217" s="107" t="e">
        <f>VLOOKUP($A217,'S48'!$C:$BQ,39,0)</f>
        <v>#N/A</v>
      </c>
      <c r="AN217" s="107" t="e">
        <f>VLOOKUP($A217,'S48'!$C:$BQ,40,0)</f>
        <v>#N/A</v>
      </c>
      <c r="AO217" s="107" t="e">
        <f>VLOOKUP($A217,'S48'!$C:$BQ,22,0)</f>
        <v>#N/A</v>
      </c>
      <c r="AP217" s="115" t="e">
        <f>VLOOKUP($A217,'S48'!$C:$BQ,29,0)</f>
        <v>#N/A</v>
      </c>
      <c r="AQ217" s="115" t="e">
        <f>VLOOKUP($A217,'S48'!$C:$BQ,30,0)</f>
        <v>#N/A</v>
      </c>
      <c r="AR217" s="115" t="e">
        <f>VLOOKUP($A217,'S48'!$C:$BQ,52,0)</f>
        <v>#N/A</v>
      </c>
      <c r="AS217" s="115" t="e">
        <f>VLOOKUP($A217,'S48'!$C:$BQ,59,0)</f>
        <v>#N/A</v>
      </c>
      <c r="AT217" s="115" t="e">
        <f>VLOOKUP($A217,'S48'!$C:$BQ,60,0)</f>
        <v>#N/A</v>
      </c>
      <c r="AU217" s="107" t="e">
        <f>VLOOKUP($A217,'S49'!$C:$BQ,32,0)</f>
        <v>#N/A</v>
      </c>
      <c r="AV217" s="107" t="e">
        <f>VLOOKUP($A217,'S49'!$C:$BQ,39,0)</f>
        <v>#N/A</v>
      </c>
      <c r="AW217" s="107" t="e">
        <f>VLOOKUP($A217,'S49'!$C:$BQ,40,0)</f>
        <v>#N/A</v>
      </c>
      <c r="AX217" s="107" t="e">
        <f>VLOOKUP($A217,'S49'!$C:$BQ,22,0)</f>
        <v>#N/A</v>
      </c>
      <c r="AY217" s="115" t="e">
        <f>VLOOKUP($A217,'S49'!$C:$BQ,29,0)</f>
        <v>#N/A</v>
      </c>
      <c r="AZ217" s="115" t="e">
        <f>VLOOKUP($A217,'S49'!$C:$BQ,30,0)</f>
        <v>#N/A</v>
      </c>
      <c r="BA217" s="115" t="e">
        <f>VLOOKUP($A217,'S49'!$C:$BQ,52,0)</f>
        <v>#N/A</v>
      </c>
      <c r="BB217" s="115" t="e">
        <f>VLOOKUP($A217,'S49'!$C:$BQ,59,0)</f>
        <v>#N/A</v>
      </c>
      <c r="BC217" s="115" t="e">
        <f>VLOOKUP($A217,'S49'!$C:$BQ,60,0)</f>
        <v>#N/A</v>
      </c>
      <c r="BD217" s="107" t="e">
        <f>VLOOKUP($A217,'S50'!$C:$BQ,32,0)</f>
        <v>#N/A</v>
      </c>
      <c r="BE217" s="107" t="e">
        <f>VLOOKUP($A217,'S50'!$C:$BQ,39,0)</f>
        <v>#N/A</v>
      </c>
      <c r="BF217" s="107" t="e">
        <f>VLOOKUP($A217,'S50'!$C:$BQ,40,0)</f>
        <v>#N/A</v>
      </c>
      <c r="BG217" s="107" t="e">
        <f>VLOOKUP($A217,'S50'!$C:$BQ,22,0)</f>
        <v>#N/A</v>
      </c>
      <c r="BH217" s="115" t="e">
        <f>VLOOKUP($A217,'S50'!$C:$BQ,29,0)</f>
        <v>#N/A</v>
      </c>
      <c r="BI217" s="115" t="e">
        <f>VLOOKUP($A217,'S50'!$C:$BQ,30,0)</f>
        <v>#N/A</v>
      </c>
      <c r="BJ217" s="115" t="e">
        <f>VLOOKUP($A217,'S50'!$C:$BQ,52,0)</f>
        <v>#N/A</v>
      </c>
      <c r="BK217" s="115" t="e">
        <f>VLOOKUP($A217,'S50'!$C:$BQ,59,0)</f>
        <v>#N/A</v>
      </c>
      <c r="BL217" s="115" t="e">
        <f>VLOOKUP($A217,'S50'!$C:$BQ,60,0)</f>
        <v>#N/A</v>
      </c>
    </row>
    <row r="218" spans="1:64" x14ac:dyDescent="0.2">
      <c r="A218" s="106" t="s">
        <v>289</v>
      </c>
      <c r="B218" s="107">
        <f>VLOOKUP($A218,'S0 remplacer avec S44'!$C:$BQ,32,0)</f>
        <v>101.25</v>
      </c>
      <c r="C218" s="107">
        <f>VLOOKUP($A218,'S0 remplacer avec S44'!$C:$BQ,39,0)</f>
        <v>92</v>
      </c>
      <c r="D218" s="107">
        <f>VLOOKUP($A218,'S0 remplacer avec S44'!$C:$BQ,40,0)</f>
        <v>131</v>
      </c>
      <c r="E218" s="107">
        <f>VLOOKUP($A218,'S0 remplacer avec S44'!$C:$BQ,22,0)</f>
        <v>1081.3149000000001</v>
      </c>
      <c r="F218" s="115">
        <f>VLOOKUP($A218,'S0 remplacer avec S44'!$C:$BQ,29,0)</f>
        <v>677</v>
      </c>
      <c r="G218" s="115">
        <f>VLOOKUP($A218,'S0 remplacer avec S44'!$C:$BQ,30,0)</f>
        <v>1028</v>
      </c>
      <c r="H218" s="115">
        <f>VLOOKUP($A218,'S0 remplacer avec S44'!$C:$BQ,52,0)</f>
        <v>93.8</v>
      </c>
      <c r="I218" s="115">
        <f>VLOOKUP($A218,'S0 remplacer avec S44'!$C:$BQ,59,0)</f>
        <v>5</v>
      </c>
      <c r="J218" s="115">
        <f>VLOOKUP($A218,'S0 remplacer avec S44'!$C:$BQ,60,0)</f>
        <v>24</v>
      </c>
      <c r="K218" s="107" t="e">
        <f>VLOOKUP($A218,'S45'!$C:$BQ,32,0)</f>
        <v>#N/A</v>
      </c>
      <c r="L218" s="107" t="e">
        <f>VLOOKUP($A218,'S45'!$C:$BQ,39,0)</f>
        <v>#N/A</v>
      </c>
      <c r="M218" s="107" t="e">
        <f>VLOOKUP($A218,'S45'!$C:$BQ,40,0)</f>
        <v>#N/A</v>
      </c>
      <c r="N218" s="107" t="e">
        <f>VLOOKUP($A218,'S45'!$C:$BQ,22,0)</f>
        <v>#N/A</v>
      </c>
      <c r="O218" s="115" t="e">
        <f>VLOOKUP($A218,'S45'!$C:$BQ,29,0)</f>
        <v>#N/A</v>
      </c>
      <c r="P218" s="115" t="e">
        <f>VLOOKUP($A218,'S45'!$C:$BQ,30,0)</f>
        <v>#N/A</v>
      </c>
      <c r="Q218" s="115" t="e">
        <f>VLOOKUP($A218,'S45'!$C:$BQ,52,0)</f>
        <v>#N/A</v>
      </c>
      <c r="R218" s="115" t="e">
        <f>VLOOKUP($A218,'S45'!$C:$BQ,59,0)</f>
        <v>#N/A</v>
      </c>
      <c r="S218" s="115" t="e">
        <f>VLOOKUP($A218,'S45'!$C:$BQ,60,0)</f>
        <v>#N/A</v>
      </c>
      <c r="T218" s="107" t="e">
        <f>VLOOKUP($A218,'S46'!$C:$BQ,32,0)</f>
        <v>#N/A</v>
      </c>
      <c r="U218" s="107" t="e">
        <f>VLOOKUP($A218,'S46'!$C:$BQ,39,0)</f>
        <v>#N/A</v>
      </c>
      <c r="V218" s="107" t="e">
        <f>VLOOKUP($A218,'S46'!$C:$BQ,40,0)</f>
        <v>#N/A</v>
      </c>
      <c r="W218" s="107" t="e">
        <f>VLOOKUP($A218,'S46'!$C:$BQ,22,0)</f>
        <v>#N/A</v>
      </c>
      <c r="X218" s="115" t="e">
        <f>VLOOKUP($A218,'S46'!$C:$BQ,29,0)</f>
        <v>#N/A</v>
      </c>
      <c r="Y218" s="115" t="e">
        <f>VLOOKUP($A218,'S46'!$C:$BQ,30,0)</f>
        <v>#N/A</v>
      </c>
      <c r="Z218" s="115" t="e">
        <f>VLOOKUP($A218,'S46'!$C:$BQ,52,0)</f>
        <v>#N/A</v>
      </c>
      <c r="AA218" s="115" t="e">
        <f>VLOOKUP($A218,'S46'!$C:$BQ,59,0)</f>
        <v>#N/A</v>
      </c>
      <c r="AB218" s="115" t="e">
        <f>VLOOKUP($A218,'S46'!$C:$BQ,60,0)</f>
        <v>#N/A</v>
      </c>
      <c r="AC218" s="107" t="e">
        <f>VLOOKUP($A218,'S47'!$C:$BQ,32,0)</f>
        <v>#N/A</v>
      </c>
      <c r="AD218" s="107" t="e">
        <f>VLOOKUP($A218,'S47'!$C:$BQ,39,0)</f>
        <v>#N/A</v>
      </c>
      <c r="AE218" s="107" t="e">
        <f>VLOOKUP($A218,'S47'!$C:$BQ,40,0)</f>
        <v>#N/A</v>
      </c>
      <c r="AF218" s="107" t="e">
        <f>VLOOKUP($A218,'S47'!$C:$BQ,22,0)</f>
        <v>#N/A</v>
      </c>
      <c r="AG218" s="115" t="e">
        <f>VLOOKUP($A218,'S47'!$C:$BQ,29,0)</f>
        <v>#N/A</v>
      </c>
      <c r="AH218" s="115" t="e">
        <f>VLOOKUP($A218,'S47'!$C:$BQ,30,0)</f>
        <v>#N/A</v>
      </c>
      <c r="AI218" s="115" t="e">
        <f>VLOOKUP($A218,'S47'!$C:$BQ,52,0)</f>
        <v>#N/A</v>
      </c>
      <c r="AJ218" s="115" t="e">
        <f>VLOOKUP($A218,'S47'!$C:$BQ,59,0)</f>
        <v>#N/A</v>
      </c>
      <c r="AK218" s="115" t="e">
        <f>VLOOKUP($A218,'S47'!$C:$BQ,60,0)</f>
        <v>#N/A</v>
      </c>
      <c r="AL218" s="107" t="e">
        <f>VLOOKUP($A218,'S48'!$C:$BQ,32,0)</f>
        <v>#N/A</v>
      </c>
      <c r="AM218" s="107" t="e">
        <f>VLOOKUP($A218,'S48'!$C:$BQ,39,0)</f>
        <v>#N/A</v>
      </c>
      <c r="AN218" s="107" t="e">
        <f>VLOOKUP($A218,'S48'!$C:$BQ,40,0)</f>
        <v>#N/A</v>
      </c>
      <c r="AO218" s="107" t="e">
        <f>VLOOKUP($A218,'S48'!$C:$BQ,22,0)</f>
        <v>#N/A</v>
      </c>
      <c r="AP218" s="115" t="e">
        <f>VLOOKUP($A218,'S48'!$C:$BQ,29,0)</f>
        <v>#N/A</v>
      </c>
      <c r="AQ218" s="115" t="e">
        <f>VLOOKUP($A218,'S48'!$C:$BQ,30,0)</f>
        <v>#N/A</v>
      </c>
      <c r="AR218" s="115" t="e">
        <f>VLOOKUP($A218,'S48'!$C:$BQ,52,0)</f>
        <v>#N/A</v>
      </c>
      <c r="AS218" s="115" t="e">
        <f>VLOOKUP($A218,'S48'!$C:$BQ,59,0)</f>
        <v>#N/A</v>
      </c>
      <c r="AT218" s="115" t="e">
        <f>VLOOKUP($A218,'S48'!$C:$BQ,60,0)</f>
        <v>#N/A</v>
      </c>
      <c r="AU218" s="107" t="e">
        <f>VLOOKUP($A218,'S49'!$C:$BQ,32,0)</f>
        <v>#N/A</v>
      </c>
      <c r="AV218" s="107" t="e">
        <f>VLOOKUP($A218,'S49'!$C:$BQ,39,0)</f>
        <v>#N/A</v>
      </c>
      <c r="AW218" s="107" t="e">
        <f>VLOOKUP($A218,'S49'!$C:$BQ,40,0)</f>
        <v>#N/A</v>
      </c>
      <c r="AX218" s="107" t="e">
        <f>VLOOKUP($A218,'S49'!$C:$BQ,22,0)</f>
        <v>#N/A</v>
      </c>
      <c r="AY218" s="115" t="e">
        <f>VLOOKUP($A218,'S49'!$C:$BQ,29,0)</f>
        <v>#N/A</v>
      </c>
      <c r="AZ218" s="115" t="e">
        <f>VLOOKUP($A218,'S49'!$C:$BQ,30,0)</f>
        <v>#N/A</v>
      </c>
      <c r="BA218" s="115" t="e">
        <f>VLOOKUP($A218,'S49'!$C:$BQ,52,0)</f>
        <v>#N/A</v>
      </c>
      <c r="BB218" s="115" t="e">
        <f>VLOOKUP($A218,'S49'!$C:$BQ,59,0)</f>
        <v>#N/A</v>
      </c>
      <c r="BC218" s="115" t="e">
        <f>VLOOKUP($A218,'S49'!$C:$BQ,60,0)</f>
        <v>#N/A</v>
      </c>
      <c r="BD218" s="107" t="e">
        <f>VLOOKUP($A218,'S50'!$C:$BQ,32,0)</f>
        <v>#N/A</v>
      </c>
      <c r="BE218" s="107" t="e">
        <f>VLOOKUP($A218,'S50'!$C:$BQ,39,0)</f>
        <v>#N/A</v>
      </c>
      <c r="BF218" s="107" t="e">
        <f>VLOOKUP($A218,'S50'!$C:$BQ,40,0)</f>
        <v>#N/A</v>
      </c>
      <c r="BG218" s="107" t="e">
        <f>VLOOKUP($A218,'S50'!$C:$BQ,22,0)</f>
        <v>#N/A</v>
      </c>
      <c r="BH218" s="115" t="e">
        <f>VLOOKUP($A218,'S50'!$C:$BQ,29,0)</f>
        <v>#N/A</v>
      </c>
      <c r="BI218" s="115" t="e">
        <f>VLOOKUP($A218,'S50'!$C:$BQ,30,0)</f>
        <v>#N/A</v>
      </c>
      <c r="BJ218" s="115" t="e">
        <f>VLOOKUP($A218,'S50'!$C:$BQ,52,0)</f>
        <v>#N/A</v>
      </c>
      <c r="BK218" s="115" t="e">
        <f>VLOOKUP($A218,'S50'!$C:$BQ,59,0)</f>
        <v>#N/A</v>
      </c>
      <c r="BL218" s="115" t="e">
        <f>VLOOKUP($A218,'S50'!$C:$BQ,60,0)</f>
        <v>#N/A</v>
      </c>
    </row>
    <row r="219" spans="1:64" x14ac:dyDescent="0.2">
      <c r="A219" s="106" t="s">
        <v>290</v>
      </c>
      <c r="B219" s="107">
        <f>VLOOKUP($A219,'S0 remplacer avec S44'!$C:$BQ,32,0)</f>
        <v>248.4</v>
      </c>
      <c r="C219" s="107">
        <f>VLOOKUP($A219,'S0 remplacer avec S44'!$C:$BQ,39,0)</f>
        <v>212</v>
      </c>
      <c r="D219" s="107">
        <f>VLOOKUP($A219,'S0 remplacer avec S44'!$C:$BQ,40,0)</f>
        <v>304</v>
      </c>
      <c r="E219" s="107">
        <f>VLOOKUP($A219,'S0 remplacer avec S44'!$C:$BQ,22,0)</f>
        <v>3106.0787049999999</v>
      </c>
      <c r="F219" s="115">
        <f>VLOOKUP($A219,'S0 remplacer avec S44'!$C:$BQ,29,0)</f>
        <v>1077</v>
      </c>
      <c r="G219" s="115">
        <f>VLOOKUP($A219,'S0 remplacer avec S44'!$C:$BQ,30,0)</f>
        <v>1914</v>
      </c>
      <c r="H219" s="115">
        <f>VLOOKUP($A219,'S0 remplacer avec S44'!$C:$BQ,52,0)</f>
        <v>239.4</v>
      </c>
      <c r="I219" s="115">
        <f>VLOOKUP($A219,'S0 remplacer avec S44'!$C:$BQ,59,0)</f>
        <v>0</v>
      </c>
      <c r="J219" s="115">
        <f>VLOOKUP($A219,'S0 remplacer avec S44'!$C:$BQ,60,0)</f>
        <v>41</v>
      </c>
      <c r="K219" s="107" t="e">
        <f>VLOOKUP($A219,'S45'!$C:$BQ,32,0)</f>
        <v>#N/A</v>
      </c>
      <c r="L219" s="107" t="e">
        <f>VLOOKUP($A219,'S45'!$C:$BQ,39,0)</f>
        <v>#N/A</v>
      </c>
      <c r="M219" s="107" t="e">
        <f>VLOOKUP($A219,'S45'!$C:$BQ,40,0)</f>
        <v>#N/A</v>
      </c>
      <c r="N219" s="107" t="e">
        <f>VLOOKUP($A219,'S45'!$C:$BQ,22,0)</f>
        <v>#N/A</v>
      </c>
      <c r="O219" s="115" t="e">
        <f>VLOOKUP($A219,'S45'!$C:$BQ,29,0)</f>
        <v>#N/A</v>
      </c>
      <c r="P219" s="115" t="e">
        <f>VLOOKUP($A219,'S45'!$C:$BQ,30,0)</f>
        <v>#N/A</v>
      </c>
      <c r="Q219" s="115" t="e">
        <f>VLOOKUP($A219,'S45'!$C:$BQ,52,0)</f>
        <v>#N/A</v>
      </c>
      <c r="R219" s="115" t="e">
        <f>VLOOKUP($A219,'S45'!$C:$BQ,59,0)</f>
        <v>#N/A</v>
      </c>
      <c r="S219" s="115" t="e">
        <f>VLOOKUP($A219,'S45'!$C:$BQ,60,0)</f>
        <v>#N/A</v>
      </c>
      <c r="T219" s="107" t="e">
        <f>VLOOKUP($A219,'S46'!$C:$BQ,32,0)</f>
        <v>#N/A</v>
      </c>
      <c r="U219" s="107" t="e">
        <f>VLOOKUP($A219,'S46'!$C:$BQ,39,0)</f>
        <v>#N/A</v>
      </c>
      <c r="V219" s="107" t="e">
        <f>VLOOKUP($A219,'S46'!$C:$BQ,40,0)</f>
        <v>#N/A</v>
      </c>
      <c r="W219" s="107" t="e">
        <f>VLOOKUP($A219,'S46'!$C:$BQ,22,0)</f>
        <v>#N/A</v>
      </c>
      <c r="X219" s="115" t="e">
        <f>VLOOKUP($A219,'S46'!$C:$BQ,29,0)</f>
        <v>#N/A</v>
      </c>
      <c r="Y219" s="115" t="e">
        <f>VLOOKUP($A219,'S46'!$C:$BQ,30,0)</f>
        <v>#N/A</v>
      </c>
      <c r="Z219" s="115" t="e">
        <f>VLOOKUP($A219,'S46'!$C:$BQ,52,0)</f>
        <v>#N/A</v>
      </c>
      <c r="AA219" s="115" t="e">
        <f>VLOOKUP($A219,'S46'!$C:$BQ,59,0)</f>
        <v>#N/A</v>
      </c>
      <c r="AB219" s="115" t="e">
        <f>VLOOKUP($A219,'S46'!$C:$BQ,60,0)</f>
        <v>#N/A</v>
      </c>
      <c r="AC219" s="107" t="e">
        <f>VLOOKUP($A219,'S47'!$C:$BQ,32,0)</f>
        <v>#N/A</v>
      </c>
      <c r="AD219" s="107" t="e">
        <f>VLOOKUP($A219,'S47'!$C:$BQ,39,0)</f>
        <v>#N/A</v>
      </c>
      <c r="AE219" s="107" t="e">
        <f>VLOOKUP($A219,'S47'!$C:$BQ,40,0)</f>
        <v>#N/A</v>
      </c>
      <c r="AF219" s="107" t="e">
        <f>VLOOKUP($A219,'S47'!$C:$BQ,22,0)</f>
        <v>#N/A</v>
      </c>
      <c r="AG219" s="115" t="e">
        <f>VLOOKUP($A219,'S47'!$C:$BQ,29,0)</f>
        <v>#N/A</v>
      </c>
      <c r="AH219" s="115" t="e">
        <f>VLOOKUP($A219,'S47'!$C:$BQ,30,0)</f>
        <v>#N/A</v>
      </c>
      <c r="AI219" s="115" t="e">
        <f>VLOOKUP($A219,'S47'!$C:$BQ,52,0)</f>
        <v>#N/A</v>
      </c>
      <c r="AJ219" s="115" t="e">
        <f>VLOOKUP($A219,'S47'!$C:$BQ,59,0)</f>
        <v>#N/A</v>
      </c>
      <c r="AK219" s="115" t="e">
        <f>VLOOKUP($A219,'S47'!$C:$BQ,60,0)</f>
        <v>#N/A</v>
      </c>
      <c r="AL219" s="107" t="e">
        <f>VLOOKUP($A219,'S48'!$C:$BQ,32,0)</f>
        <v>#N/A</v>
      </c>
      <c r="AM219" s="107" t="e">
        <f>VLOOKUP($A219,'S48'!$C:$BQ,39,0)</f>
        <v>#N/A</v>
      </c>
      <c r="AN219" s="107" t="e">
        <f>VLOOKUP($A219,'S48'!$C:$BQ,40,0)</f>
        <v>#N/A</v>
      </c>
      <c r="AO219" s="107" t="e">
        <f>VLOOKUP($A219,'S48'!$C:$BQ,22,0)</f>
        <v>#N/A</v>
      </c>
      <c r="AP219" s="115" t="e">
        <f>VLOOKUP($A219,'S48'!$C:$BQ,29,0)</f>
        <v>#N/A</v>
      </c>
      <c r="AQ219" s="115" t="e">
        <f>VLOOKUP($A219,'S48'!$C:$BQ,30,0)</f>
        <v>#N/A</v>
      </c>
      <c r="AR219" s="115" t="e">
        <f>VLOOKUP($A219,'S48'!$C:$BQ,52,0)</f>
        <v>#N/A</v>
      </c>
      <c r="AS219" s="115" t="e">
        <f>VLOOKUP($A219,'S48'!$C:$BQ,59,0)</f>
        <v>#N/A</v>
      </c>
      <c r="AT219" s="115" t="e">
        <f>VLOOKUP($A219,'S48'!$C:$BQ,60,0)</f>
        <v>#N/A</v>
      </c>
      <c r="AU219" s="107" t="e">
        <f>VLOOKUP($A219,'S49'!$C:$BQ,32,0)</f>
        <v>#N/A</v>
      </c>
      <c r="AV219" s="107" t="e">
        <f>VLOOKUP($A219,'S49'!$C:$BQ,39,0)</f>
        <v>#N/A</v>
      </c>
      <c r="AW219" s="107" t="e">
        <f>VLOOKUP($A219,'S49'!$C:$BQ,40,0)</f>
        <v>#N/A</v>
      </c>
      <c r="AX219" s="107" t="e">
        <f>VLOOKUP($A219,'S49'!$C:$BQ,22,0)</f>
        <v>#N/A</v>
      </c>
      <c r="AY219" s="115" t="e">
        <f>VLOOKUP($A219,'S49'!$C:$BQ,29,0)</f>
        <v>#N/A</v>
      </c>
      <c r="AZ219" s="115" t="e">
        <f>VLOOKUP($A219,'S49'!$C:$BQ,30,0)</f>
        <v>#N/A</v>
      </c>
      <c r="BA219" s="115" t="e">
        <f>VLOOKUP($A219,'S49'!$C:$BQ,52,0)</f>
        <v>#N/A</v>
      </c>
      <c r="BB219" s="115" t="e">
        <f>VLOOKUP($A219,'S49'!$C:$BQ,59,0)</f>
        <v>#N/A</v>
      </c>
      <c r="BC219" s="115" t="e">
        <f>VLOOKUP($A219,'S49'!$C:$BQ,60,0)</f>
        <v>#N/A</v>
      </c>
      <c r="BD219" s="107" t="e">
        <f>VLOOKUP($A219,'S50'!$C:$BQ,32,0)</f>
        <v>#N/A</v>
      </c>
      <c r="BE219" s="107" t="e">
        <f>VLOOKUP($A219,'S50'!$C:$BQ,39,0)</f>
        <v>#N/A</v>
      </c>
      <c r="BF219" s="107" t="e">
        <f>VLOOKUP($A219,'S50'!$C:$BQ,40,0)</f>
        <v>#N/A</v>
      </c>
      <c r="BG219" s="107" t="e">
        <f>VLOOKUP($A219,'S50'!$C:$BQ,22,0)</f>
        <v>#N/A</v>
      </c>
      <c r="BH219" s="115" t="e">
        <f>VLOOKUP($A219,'S50'!$C:$BQ,29,0)</f>
        <v>#N/A</v>
      </c>
      <c r="BI219" s="115" t="e">
        <f>VLOOKUP($A219,'S50'!$C:$BQ,30,0)</f>
        <v>#N/A</v>
      </c>
      <c r="BJ219" s="115" t="e">
        <f>VLOOKUP($A219,'S50'!$C:$BQ,52,0)</f>
        <v>#N/A</v>
      </c>
      <c r="BK219" s="115" t="e">
        <f>VLOOKUP($A219,'S50'!$C:$BQ,59,0)</f>
        <v>#N/A</v>
      </c>
      <c r="BL219" s="115" t="e">
        <f>VLOOKUP($A219,'S50'!$C:$BQ,60,0)</f>
        <v>#N/A</v>
      </c>
    </row>
    <row r="220" spans="1:64" x14ac:dyDescent="0.2">
      <c r="A220" s="106" t="s">
        <v>291</v>
      </c>
      <c r="B220" s="107">
        <f>VLOOKUP($A220,'S0 remplacer avec S44'!$C:$BQ,32,0)</f>
        <v>146.15</v>
      </c>
      <c r="C220" s="107">
        <f>VLOOKUP($A220,'S0 remplacer avec S44'!$C:$BQ,39,0)</f>
        <v>41</v>
      </c>
      <c r="D220" s="107">
        <f>VLOOKUP($A220,'S0 remplacer avec S44'!$C:$BQ,40,0)</f>
        <v>78</v>
      </c>
      <c r="E220" s="107">
        <f>VLOOKUP($A220,'S0 remplacer avec S44'!$C:$BQ,22,0)</f>
        <v>1803.7364399999999</v>
      </c>
      <c r="F220" s="115">
        <f>VLOOKUP($A220,'S0 remplacer avec S44'!$C:$BQ,29,0)</f>
        <v>0</v>
      </c>
      <c r="G220" s="115">
        <f>VLOOKUP($A220,'S0 remplacer avec S44'!$C:$BQ,30,0)</f>
        <v>233</v>
      </c>
      <c r="H220" s="115">
        <f>VLOOKUP($A220,'S0 remplacer avec S44'!$C:$BQ,52,0)</f>
        <v>225.4</v>
      </c>
      <c r="I220" s="115">
        <f>VLOOKUP($A220,'S0 remplacer avec S44'!$C:$BQ,59,0)</f>
        <v>0</v>
      </c>
      <c r="J220" s="115">
        <f>VLOOKUP($A220,'S0 remplacer avec S44'!$C:$BQ,60,0)</f>
        <v>0</v>
      </c>
      <c r="K220" s="107" t="e">
        <f>VLOOKUP($A220,'S45'!$C:$BQ,32,0)</f>
        <v>#N/A</v>
      </c>
      <c r="L220" s="107" t="e">
        <f>VLOOKUP($A220,'S45'!$C:$BQ,39,0)</f>
        <v>#N/A</v>
      </c>
      <c r="M220" s="107" t="e">
        <f>VLOOKUP($A220,'S45'!$C:$BQ,40,0)</f>
        <v>#N/A</v>
      </c>
      <c r="N220" s="107" t="e">
        <f>VLOOKUP($A220,'S45'!$C:$BQ,22,0)</f>
        <v>#N/A</v>
      </c>
      <c r="O220" s="115" t="e">
        <f>VLOOKUP($A220,'S45'!$C:$BQ,29,0)</f>
        <v>#N/A</v>
      </c>
      <c r="P220" s="115" t="e">
        <f>VLOOKUP($A220,'S45'!$C:$BQ,30,0)</f>
        <v>#N/A</v>
      </c>
      <c r="Q220" s="115" t="e">
        <f>VLOOKUP($A220,'S45'!$C:$BQ,52,0)</f>
        <v>#N/A</v>
      </c>
      <c r="R220" s="115" t="e">
        <f>VLOOKUP($A220,'S45'!$C:$BQ,59,0)</f>
        <v>#N/A</v>
      </c>
      <c r="S220" s="115" t="e">
        <f>VLOOKUP($A220,'S45'!$C:$BQ,60,0)</f>
        <v>#N/A</v>
      </c>
      <c r="T220" s="107" t="e">
        <f>VLOOKUP($A220,'S46'!$C:$BQ,32,0)</f>
        <v>#N/A</v>
      </c>
      <c r="U220" s="107" t="e">
        <f>VLOOKUP($A220,'S46'!$C:$BQ,39,0)</f>
        <v>#N/A</v>
      </c>
      <c r="V220" s="107" t="e">
        <f>VLOOKUP($A220,'S46'!$C:$BQ,40,0)</f>
        <v>#N/A</v>
      </c>
      <c r="W220" s="107" t="e">
        <f>VLOOKUP($A220,'S46'!$C:$BQ,22,0)</f>
        <v>#N/A</v>
      </c>
      <c r="X220" s="115" t="e">
        <f>VLOOKUP($A220,'S46'!$C:$BQ,29,0)</f>
        <v>#N/A</v>
      </c>
      <c r="Y220" s="115" t="e">
        <f>VLOOKUP($A220,'S46'!$C:$BQ,30,0)</f>
        <v>#N/A</v>
      </c>
      <c r="Z220" s="115" t="e">
        <f>VLOOKUP($A220,'S46'!$C:$BQ,52,0)</f>
        <v>#N/A</v>
      </c>
      <c r="AA220" s="115" t="e">
        <f>VLOOKUP($A220,'S46'!$C:$BQ,59,0)</f>
        <v>#N/A</v>
      </c>
      <c r="AB220" s="115" t="e">
        <f>VLOOKUP($A220,'S46'!$C:$BQ,60,0)</f>
        <v>#N/A</v>
      </c>
      <c r="AC220" s="107" t="e">
        <f>VLOOKUP($A220,'S47'!$C:$BQ,32,0)</f>
        <v>#N/A</v>
      </c>
      <c r="AD220" s="107" t="e">
        <f>VLOOKUP($A220,'S47'!$C:$BQ,39,0)</f>
        <v>#N/A</v>
      </c>
      <c r="AE220" s="107" t="e">
        <f>VLOOKUP($A220,'S47'!$C:$BQ,40,0)</f>
        <v>#N/A</v>
      </c>
      <c r="AF220" s="107" t="e">
        <f>VLOOKUP($A220,'S47'!$C:$BQ,22,0)</f>
        <v>#N/A</v>
      </c>
      <c r="AG220" s="115" t="e">
        <f>VLOOKUP($A220,'S47'!$C:$BQ,29,0)</f>
        <v>#N/A</v>
      </c>
      <c r="AH220" s="115" t="e">
        <f>VLOOKUP($A220,'S47'!$C:$BQ,30,0)</f>
        <v>#N/A</v>
      </c>
      <c r="AI220" s="115" t="e">
        <f>VLOOKUP($A220,'S47'!$C:$BQ,52,0)</f>
        <v>#N/A</v>
      </c>
      <c r="AJ220" s="115" t="e">
        <f>VLOOKUP($A220,'S47'!$C:$BQ,59,0)</f>
        <v>#N/A</v>
      </c>
      <c r="AK220" s="115" t="e">
        <f>VLOOKUP($A220,'S47'!$C:$BQ,60,0)</f>
        <v>#N/A</v>
      </c>
      <c r="AL220" s="107" t="e">
        <f>VLOOKUP($A220,'S48'!$C:$BQ,32,0)</f>
        <v>#N/A</v>
      </c>
      <c r="AM220" s="107" t="e">
        <f>VLOOKUP($A220,'S48'!$C:$BQ,39,0)</f>
        <v>#N/A</v>
      </c>
      <c r="AN220" s="107" t="e">
        <f>VLOOKUP($A220,'S48'!$C:$BQ,40,0)</f>
        <v>#N/A</v>
      </c>
      <c r="AO220" s="107" t="e">
        <f>VLOOKUP($A220,'S48'!$C:$BQ,22,0)</f>
        <v>#N/A</v>
      </c>
      <c r="AP220" s="115" t="e">
        <f>VLOOKUP($A220,'S48'!$C:$BQ,29,0)</f>
        <v>#N/A</v>
      </c>
      <c r="AQ220" s="115" t="e">
        <f>VLOOKUP($A220,'S48'!$C:$BQ,30,0)</f>
        <v>#N/A</v>
      </c>
      <c r="AR220" s="115" t="e">
        <f>VLOOKUP($A220,'S48'!$C:$BQ,52,0)</f>
        <v>#N/A</v>
      </c>
      <c r="AS220" s="115" t="e">
        <f>VLOOKUP($A220,'S48'!$C:$BQ,59,0)</f>
        <v>#N/A</v>
      </c>
      <c r="AT220" s="115" t="e">
        <f>VLOOKUP($A220,'S48'!$C:$BQ,60,0)</f>
        <v>#N/A</v>
      </c>
      <c r="AU220" s="107" t="e">
        <f>VLOOKUP($A220,'S49'!$C:$BQ,32,0)</f>
        <v>#N/A</v>
      </c>
      <c r="AV220" s="107" t="e">
        <f>VLOOKUP($A220,'S49'!$C:$BQ,39,0)</f>
        <v>#N/A</v>
      </c>
      <c r="AW220" s="107" t="e">
        <f>VLOOKUP($A220,'S49'!$C:$BQ,40,0)</f>
        <v>#N/A</v>
      </c>
      <c r="AX220" s="107" t="e">
        <f>VLOOKUP($A220,'S49'!$C:$BQ,22,0)</f>
        <v>#N/A</v>
      </c>
      <c r="AY220" s="115" t="e">
        <f>VLOOKUP($A220,'S49'!$C:$BQ,29,0)</f>
        <v>#N/A</v>
      </c>
      <c r="AZ220" s="115" t="e">
        <f>VLOOKUP($A220,'S49'!$C:$BQ,30,0)</f>
        <v>#N/A</v>
      </c>
      <c r="BA220" s="115" t="e">
        <f>VLOOKUP($A220,'S49'!$C:$BQ,52,0)</f>
        <v>#N/A</v>
      </c>
      <c r="BB220" s="115" t="e">
        <f>VLOOKUP($A220,'S49'!$C:$BQ,59,0)</f>
        <v>#N/A</v>
      </c>
      <c r="BC220" s="115" t="e">
        <f>VLOOKUP($A220,'S49'!$C:$BQ,60,0)</f>
        <v>#N/A</v>
      </c>
      <c r="BD220" s="107" t="e">
        <f>VLOOKUP($A220,'S50'!$C:$BQ,32,0)</f>
        <v>#N/A</v>
      </c>
      <c r="BE220" s="107" t="e">
        <f>VLOOKUP($A220,'S50'!$C:$BQ,39,0)</f>
        <v>#N/A</v>
      </c>
      <c r="BF220" s="107" t="e">
        <f>VLOOKUP($A220,'S50'!$C:$BQ,40,0)</f>
        <v>#N/A</v>
      </c>
      <c r="BG220" s="107" t="e">
        <f>VLOOKUP($A220,'S50'!$C:$BQ,22,0)</f>
        <v>#N/A</v>
      </c>
      <c r="BH220" s="115" t="e">
        <f>VLOOKUP($A220,'S50'!$C:$BQ,29,0)</f>
        <v>#N/A</v>
      </c>
      <c r="BI220" s="115" t="e">
        <f>VLOOKUP($A220,'S50'!$C:$BQ,30,0)</f>
        <v>#N/A</v>
      </c>
      <c r="BJ220" s="115" t="e">
        <f>VLOOKUP($A220,'S50'!$C:$BQ,52,0)</f>
        <v>#N/A</v>
      </c>
      <c r="BK220" s="115" t="e">
        <f>VLOOKUP($A220,'S50'!$C:$BQ,59,0)</f>
        <v>#N/A</v>
      </c>
      <c r="BL220" s="115" t="e">
        <f>VLOOKUP($A220,'S50'!$C:$BQ,60,0)</f>
        <v>#N/A</v>
      </c>
    </row>
    <row r="221" spans="1:64" x14ac:dyDescent="0.2">
      <c r="A221" s="106" t="s">
        <v>292</v>
      </c>
      <c r="B221" s="107">
        <f>VLOOKUP($A221,'S0 remplacer avec S44'!$C:$BQ,32,0)</f>
        <v>185.05</v>
      </c>
      <c r="C221" s="107">
        <f>VLOOKUP($A221,'S0 remplacer avec S44'!$C:$BQ,39,0)</f>
        <v>14</v>
      </c>
      <c r="D221" s="107">
        <f>VLOOKUP($A221,'S0 remplacer avec S44'!$C:$BQ,40,0)</f>
        <v>54</v>
      </c>
      <c r="E221" s="107">
        <f>VLOOKUP($A221,'S0 remplacer avec S44'!$C:$BQ,22,0)</f>
        <v>1582.9987149999999</v>
      </c>
      <c r="F221" s="115">
        <f>VLOOKUP($A221,'S0 remplacer avec S44'!$C:$BQ,29,0)</f>
        <v>224</v>
      </c>
      <c r="G221" s="115">
        <f>VLOOKUP($A221,'S0 remplacer avec S44'!$C:$BQ,30,0)</f>
        <v>585</v>
      </c>
      <c r="H221" s="115">
        <f>VLOOKUP($A221,'S0 remplacer avec S44'!$C:$BQ,52,0)</f>
        <v>129.6</v>
      </c>
      <c r="I221" s="115">
        <f>VLOOKUP($A221,'S0 remplacer avec S44'!$C:$BQ,59,0)</f>
        <v>0</v>
      </c>
      <c r="J221" s="115">
        <f>VLOOKUP($A221,'S0 remplacer avec S44'!$C:$BQ,60,0)</f>
        <v>0</v>
      </c>
      <c r="K221" s="107" t="e">
        <f>VLOOKUP($A221,'S45'!$C:$BQ,32,0)</f>
        <v>#N/A</v>
      </c>
      <c r="L221" s="107" t="e">
        <f>VLOOKUP($A221,'S45'!$C:$BQ,39,0)</f>
        <v>#N/A</v>
      </c>
      <c r="M221" s="107" t="e">
        <f>VLOOKUP($A221,'S45'!$C:$BQ,40,0)</f>
        <v>#N/A</v>
      </c>
      <c r="N221" s="107" t="e">
        <f>VLOOKUP($A221,'S45'!$C:$BQ,22,0)</f>
        <v>#N/A</v>
      </c>
      <c r="O221" s="115" t="e">
        <f>VLOOKUP($A221,'S45'!$C:$BQ,29,0)</f>
        <v>#N/A</v>
      </c>
      <c r="P221" s="115" t="e">
        <f>VLOOKUP($A221,'S45'!$C:$BQ,30,0)</f>
        <v>#N/A</v>
      </c>
      <c r="Q221" s="115" t="e">
        <f>VLOOKUP($A221,'S45'!$C:$BQ,52,0)</f>
        <v>#N/A</v>
      </c>
      <c r="R221" s="115" t="e">
        <f>VLOOKUP($A221,'S45'!$C:$BQ,59,0)</f>
        <v>#N/A</v>
      </c>
      <c r="S221" s="115" t="e">
        <f>VLOOKUP($A221,'S45'!$C:$BQ,60,0)</f>
        <v>#N/A</v>
      </c>
      <c r="T221" s="107" t="e">
        <f>VLOOKUP($A221,'S46'!$C:$BQ,32,0)</f>
        <v>#N/A</v>
      </c>
      <c r="U221" s="107" t="e">
        <f>VLOOKUP($A221,'S46'!$C:$BQ,39,0)</f>
        <v>#N/A</v>
      </c>
      <c r="V221" s="107" t="e">
        <f>VLOOKUP($A221,'S46'!$C:$BQ,40,0)</f>
        <v>#N/A</v>
      </c>
      <c r="W221" s="107" t="e">
        <f>VLOOKUP($A221,'S46'!$C:$BQ,22,0)</f>
        <v>#N/A</v>
      </c>
      <c r="X221" s="115" t="e">
        <f>VLOOKUP($A221,'S46'!$C:$BQ,29,0)</f>
        <v>#N/A</v>
      </c>
      <c r="Y221" s="115" t="e">
        <f>VLOOKUP($A221,'S46'!$C:$BQ,30,0)</f>
        <v>#N/A</v>
      </c>
      <c r="Z221" s="115" t="e">
        <f>VLOOKUP($A221,'S46'!$C:$BQ,52,0)</f>
        <v>#N/A</v>
      </c>
      <c r="AA221" s="115" t="e">
        <f>VLOOKUP($A221,'S46'!$C:$BQ,59,0)</f>
        <v>#N/A</v>
      </c>
      <c r="AB221" s="115" t="e">
        <f>VLOOKUP($A221,'S46'!$C:$BQ,60,0)</f>
        <v>#N/A</v>
      </c>
      <c r="AC221" s="107" t="e">
        <f>VLOOKUP($A221,'S47'!$C:$BQ,32,0)</f>
        <v>#N/A</v>
      </c>
      <c r="AD221" s="107" t="e">
        <f>VLOOKUP($A221,'S47'!$C:$BQ,39,0)</f>
        <v>#N/A</v>
      </c>
      <c r="AE221" s="107" t="e">
        <f>VLOOKUP($A221,'S47'!$C:$BQ,40,0)</f>
        <v>#N/A</v>
      </c>
      <c r="AF221" s="107" t="e">
        <f>VLOOKUP($A221,'S47'!$C:$BQ,22,0)</f>
        <v>#N/A</v>
      </c>
      <c r="AG221" s="115" t="e">
        <f>VLOOKUP($A221,'S47'!$C:$BQ,29,0)</f>
        <v>#N/A</v>
      </c>
      <c r="AH221" s="115" t="e">
        <f>VLOOKUP($A221,'S47'!$C:$BQ,30,0)</f>
        <v>#N/A</v>
      </c>
      <c r="AI221" s="115" t="e">
        <f>VLOOKUP($A221,'S47'!$C:$BQ,52,0)</f>
        <v>#N/A</v>
      </c>
      <c r="AJ221" s="115" t="e">
        <f>VLOOKUP($A221,'S47'!$C:$BQ,59,0)</f>
        <v>#N/A</v>
      </c>
      <c r="AK221" s="115" t="e">
        <f>VLOOKUP($A221,'S47'!$C:$BQ,60,0)</f>
        <v>#N/A</v>
      </c>
      <c r="AL221" s="107" t="e">
        <f>VLOOKUP($A221,'S48'!$C:$BQ,32,0)</f>
        <v>#N/A</v>
      </c>
      <c r="AM221" s="107" t="e">
        <f>VLOOKUP($A221,'S48'!$C:$BQ,39,0)</f>
        <v>#N/A</v>
      </c>
      <c r="AN221" s="107" t="e">
        <f>VLOOKUP($A221,'S48'!$C:$BQ,40,0)</f>
        <v>#N/A</v>
      </c>
      <c r="AO221" s="107" t="e">
        <f>VLOOKUP($A221,'S48'!$C:$BQ,22,0)</f>
        <v>#N/A</v>
      </c>
      <c r="AP221" s="115" t="e">
        <f>VLOOKUP($A221,'S48'!$C:$BQ,29,0)</f>
        <v>#N/A</v>
      </c>
      <c r="AQ221" s="115" t="e">
        <f>VLOOKUP($A221,'S48'!$C:$BQ,30,0)</f>
        <v>#N/A</v>
      </c>
      <c r="AR221" s="115" t="e">
        <f>VLOOKUP($A221,'S48'!$C:$BQ,52,0)</f>
        <v>#N/A</v>
      </c>
      <c r="AS221" s="115" t="e">
        <f>VLOOKUP($A221,'S48'!$C:$BQ,59,0)</f>
        <v>#N/A</v>
      </c>
      <c r="AT221" s="115" t="e">
        <f>VLOOKUP($A221,'S48'!$C:$BQ,60,0)</f>
        <v>#N/A</v>
      </c>
      <c r="AU221" s="107" t="e">
        <f>VLOOKUP($A221,'S49'!$C:$BQ,32,0)</f>
        <v>#N/A</v>
      </c>
      <c r="AV221" s="107" t="e">
        <f>VLOOKUP($A221,'S49'!$C:$BQ,39,0)</f>
        <v>#N/A</v>
      </c>
      <c r="AW221" s="107" t="e">
        <f>VLOOKUP($A221,'S49'!$C:$BQ,40,0)</f>
        <v>#N/A</v>
      </c>
      <c r="AX221" s="107" t="e">
        <f>VLOOKUP($A221,'S49'!$C:$BQ,22,0)</f>
        <v>#N/A</v>
      </c>
      <c r="AY221" s="115" t="e">
        <f>VLOOKUP($A221,'S49'!$C:$BQ,29,0)</f>
        <v>#N/A</v>
      </c>
      <c r="AZ221" s="115" t="e">
        <f>VLOOKUP($A221,'S49'!$C:$BQ,30,0)</f>
        <v>#N/A</v>
      </c>
      <c r="BA221" s="115" t="e">
        <f>VLOOKUP($A221,'S49'!$C:$BQ,52,0)</f>
        <v>#N/A</v>
      </c>
      <c r="BB221" s="115" t="e">
        <f>VLOOKUP($A221,'S49'!$C:$BQ,59,0)</f>
        <v>#N/A</v>
      </c>
      <c r="BC221" s="115" t="e">
        <f>VLOOKUP($A221,'S49'!$C:$BQ,60,0)</f>
        <v>#N/A</v>
      </c>
      <c r="BD221" s="107" t="e">
        <f>VLOOKUP($A221,'S50'!$C:$BQ,32,0)</f>
        <v>#N/A</v>
      </c>
      <c r="BE221" s="107" t="e">
        <f>VLOOKUP($A221,'S50'!$C:$BQ,39,0)</f>
        <v>#N/A</v>
      </c>
      <c r="BF221" s="107" t="e">
        <f>VLOOKUP($A221,'S50'!$C:$BQ,40,0)</f>
        <v>#N/A</v>
      </c>
      <c r="BG221" s="107" t="e">
        <f>VLOOKUP($A221,'S50'!$C:$BQ,22,0)</f>
        <v>#N/A</v>
      </c>
      <c r="BH221" s="115" t="e">
        <f>VLOOKUP($A221,'S50'!$C:$BQ,29,0)</f>
        <v>#N/A</v>
      </c>
      <c r="BI221" s="115" t="e">
        <f>VLOOKUP($A221,'S50'!$C:$BQ,30,0)</f>
        <v>#N/A</v>
      </c>
      <c r="BJ221" s="115" t="e">
        <f>VLOOKUP($A221,'S50'!$C:$BQ,52,0)</f>
        <v>#N/A</v>
      </c>
      <c r="BK221" s="115" t="e">
        <f>VLOOKUP($A221,'S50'!$C:$BQ,59,0)</f>
        <v>#N/A</v>
      </c>
      <c r="BL221" s="115" t="e">
        <f>VLOOKUP($A221,'S50'!$C:$BQ,60,0)</f>
        <v>#N/A</v>
      </c>
    </row>
    <row r="222" spans="1:64" x14ac:dyDescent="0.2">
      <c r="A222" s="106" t="s">
        <v>293</v>
      </c>
      <c r="B222" s="107">
        <f>VLOOKUP($A222,'S0 remplacer avec S44'!$C:$BQ,32,0)</f>
        <v>246.1</v>
      </c>
      <c r="C222" s="107">
        <f>VLOOKUP($A222,'S0 remplacer avec S44'!$C:$BQ,39,0)</f>
        <v>240</v>
      </c>
      <c r="D222" s="107">
        <f>VLOOKUP($A222,'S0 remplacer avec S44'!$C:$BQ,40,0)</f>
        <v>337</v>
      </c>
      <c r="E222" s="107">
        <f>VLOOKUP($A222,'S0 remplacer avec S44'!$C:$BQ,22,0)</f>
        <v>4701.7310500000003</v>
      </c>
      <c r="F222" s="115">
        <f>VLOOKUP($A222,'S0 remplacer avec S44'!$C:$BQ,29,0)</f>
        <v>0</v>
      </c>
      <c r="G222" s="115">
        <f>VLOOKUP($A222,'S0 remplacer avec S44'!$C:$BQ,30,0)</f>
        <v>600</v>
      </c>
      <c r="H222" s="115">
        <f>VLOOKUP($A222,'S0 remplacer avec S44'!$C:$BQ,52,0)</f>
        <v>290.39999999999998</v>
      </c>
      <c r="I222" s="115">
        <f>VLOOKUP($A222,'S0 remplacer avec S44'!$C:$BQ,59,0)</f>
        <v>0</v>
      </c>
      <c r="J222" s="115">
        <f>VLOOKUP($A222,'S0 remplacer avec S44'!$C:$BQ,60,0)</f>
        <v>6</v>
      </c>
      <c r="K222" s="107" t="e">
        <f>VLOOKUP($A222,'S45'!$C:$BQ,32,0)</f>
        <v>#N/A</v>
      </c>
      <c r="L222" s="107" t="e">
        <f>VLOOKUP($A222,'S45'!$C:$BQ,39,0)</f>
        <v>#N/A</v>
      </c>
      <c r="M222" s="107" t="e">
        <f>VLOOKUP($A222,'S45'!$C:$BQ,40,0)</f>
        <v>#N/A</v>
      </c>
      <c r="N222" s="107" t="e">
        <f>VLOOKUP($A222,'S45'!$C:$BQ,22,0)</f>
        <v>#N/A</v>
      </c>
      <c r="O222" s="115" t="e">
        <f>VLOOKUP($A222,'S45'!$C:$BQ,29,0)</f>
        <v>#N/A</v>
      </c>
      <c r="P222" s="115" t="e">
        <f>VLOOKUP($A222,'S45'!$C:$BQ,30,0)</f>
        <v>#N/A</v>
      </c>
      <c r="Q222" s="115" t="e">
        <f>VLOOKUP($A222,'S45'!$C:$BQ,52,0)</f>
        <v>#N/A</v>
      </c>
      <c r="R222" s="115" t="e">
        <f>VLOOKUP($A222,'S45'!$C:$BQ,59,0)</f>
        <v>#N/A</v>
      </c>
      <c r="S222" s="115" t="e">
        <f>VLOOKUP($A222,'S45'!$C:$BQ,60,0)</f>
        <v>#N/A</v>
      </c>
      <c r="T222" s="107" t="e">
        <f>VLOOKUP($A222,'S46'!$C:$BQ,32,0)</f>
        <v>#N/A</v>
      </c>
      <c r="U222" s="107" t="e">
        <f>VLOOKUP($A222,'S46'!$C:$BQ,39,0)</f>
        <v>#N/A</v>
      </c>
      <c r="V222" s="107" t="e">
        <f>VLOOKUP($A222,'S46'!$C:$BQ,40,0)</f>
        <v>#N/A</v>
      </c>
      <c r="W222" s="107" t="e">
        <f>VLOOKUP($A222,'S46'!$C:$BQ,22,0)</f>
        <v>#N/A</v>
      </c>
      <c r="X222" s="115" t="e">
        <f>VLOOKUP($A222,'S46'!$C:$BQ,29,0)</f>
        <v>#N/A</v>
      </c>
      <c r="Y222" s="115" t="e">
        <f>VLOOKUP($A222,'S46'!$C:$BQ,30,0)</f>
        <v>#N/A</v>
      </c>
      <c r="Z222" s="115" t="e">
        <f>VLOOKUP($A222,'S46'!$C:$BQ,52,0)</f>
        <v>#N/A</v>
      </c>
      <c r="AA222" s="115" t="e">
        <f>VLOOKUP($A222,'S46'!$C:$BQ,59,0)</f>
        <v>#N/A</v>
      </c>
      <c r="AB222" s="115" t="e">
        <f>VLOOKUP($A222,'S46'!$C:$BQ,60,0)</f>
        <v>#N/A</v>
      </c>
      <c r="AC222" s="107" t="e">
        <f>VLOOKUP($A222,'S47'!$C:$BQ,32,0)</f>
        <v>#N/A</v>
      </c>
      <c r="AD222" s="107" t="e">
        <f>VLOOKUP($A222,'S47'!$C:$BQ,39,0)</f>
        <v>#N/A</v>
      </c>
      <c r="AE222" s="107" t="e">
        <f>VLOOKUP($A222,'S47'!$C:$BQ,40,0)</f>
        <v>#N/A</v>
      </c>
      <c r="AF222" s="107" t="e">
        <f>VLOOKUP($A222,'S47'!$C:$BQ,22,0)</f>
        <v>#N/A</v>
      </c>
      <c r="AG222" s="115" t="e">
        <f>VLOOKUP($A222,'S47'!$C:$BQ,29,0)</f>
        <v>#N/A</v>
      </c>
      <c r="AH222" s="115" t="e">
        <f>VLOOKUP($A222,'S47'!$C:$BQ,30,0)</f>
        <v>#N/A</v>
      </c>
      <c r="AI222" s="115" t="e">
        <f>VLOOKUP($A222,'S47'!$C:$BQ,52,0)</f>
        <v>#N/A</v>
      </c>
      <c r="AJ222" s="115" t="e">
        <f>VLOOKUP($A222,'S47'!$C:$BQ,59,0)</f>
        <v>#N/A</v>
      </c>
      <c r="AK222" s="115" t="e">
        <f>VLOOKUP($A222,'S47'!$C:$BQ,60,0)</f>
        <v>#N/A</v>
      </c>
      <c r="AL222" s="107" t="e">
        <f>VLOOKUP($A222,'S48'!$C:$BQ,32,0)</f>
        <v>#N/A</v>
      </c>
      <c r="AM222" s="107" t="e">
        <f>VLOOKUP($A222,'S48'!$C:$BQ,39,0)</f>
        <v>#N/A</v>
      </c>
      <c r="AN222" s="107" t="e">
        <f>VLOOKUP($A222,'S48'!$C:$BQ,40,0)</f>
        <v>#N/A</v>
      </c>
      <c r="AO222" s="107" t="e">
        <f>VLOOKUP($A222,'S48'!$C:$BQ,22,0)</f>
        <v>#N/A</v>
      </c>
      <c r="AP222" s="115" t="e">
        <f>VLOOKUP($A222,'S48'!$C:$BQ,29,0)</f>
        <v>#N/A</v>
      </c>
      <c r="AQ222" s="115" t="e">
        <f>VLOOKUP($A222,'S48'!$C:$BQ,30,0)</f>
        <v>#N/A</v>
      </c>
      <c r="AR222" s="115" t="e">
        <f>VLOOKUP($A222,'S48'!$C:$BQ,52,0)</f>
        <v>#N/A</v>
      </c>
      <c r="AS222" s="115" t="e">
        <f>VLOOKUP($A222,'S48'!$C:$BQ,59,0)</f>
        <v>#N/A</v>
      </c>
      <c r="AT222" s="115" t="e">
        <f>VLOOKUP($A222,'S48'!$C:$BQ,60,0)</f>
        <v>#N/A</v>
      </c>
      <c r="AU222" s="107" t="e">
        <f>VLOOKUP($A222,'S49'!$C:$BQ,32,0)</f>
        <v>#N/A</v>
      </c>
      <c r="AV222" s="107" t="e">
        <f>VLOOKUP($A222,'S49'!$C:$BQ,39,0)</f>
        <v>#N/A</v>
      </c>
      <c r="AW222" s="107" t="e">
        <f>VLOOKUP($A222,'S49'!$C:$BQ,40,0)</f>
        <v>#N/A</v>
      </c>
      <c r="AX222" s="107" t="e">
        <f>VLOOKUP($A222,'S49'!$C:$BQ,22,0)</f>
        <v>#N/A</v>
      </c>
      <c r="AY222" s="115" t="e">
        <f>VLOOKUP($A222,'S49'!$C:$BQ,29,0)</f>
        <v>#N/A</v>
      </c>
      <c r="AZ222" s="115" t="e">
        <f>VLOOKUP($A222,'S49'!$C:$BQ,30,0)</f>
        <v>#N/A</v>
      </c>
      <c r="BA222" s="115" t="e">
        <f>VLOOKUP($A222,'S49'!$C:$BQ,52,0)</f>
        <v>#N/A</v>
      </c>
      <c r="BB222" s="115" t="e">
        <f>VLOOKUP($A222,'S49'!$C:$BQ,59,0)</f>
        <v>#N/A</v>
      </c>
      <c r="BC222" s="115" t="e">
        <f>VLOOKUP($A222,'S49'!$C:$BQ,60,0)</f>
        <v>#N/A</v>
      </c>
      <c r="BD222" s="107" t="e">
        <f>VLOOKUP($A222,'S50'!$C:$BQ,32,0)</f>
        <v>#N/A</v>
      </c>
      <c r="BE222" s="107" t="e">
        <f>VLOOKUP($A222,'S50'!$C:$BQ,39,0)</f>
        <v>#N/A</v>
      </c>
      <c r="BF222" s="107" t="e">
        <f>VLOOKUP($A222,'S50'!$C:$BQ,40,0)</f>
        <v>#N/A</v>
      </c>
      <c r="BG222" s="107" t="e">
        <f>VLOOKUP($A222,'S50'!$C:$BQ,22,0)</f>
        <v>#N/A</v>
      </c>
      <c r="BH222" s="115" t="e">
        <f>VLOOKUP($A222,'S50'!$C:$BQ,29,0)</f>
        <v>#N/A</v>
      </c>
      <c r="BI222" s="115" t="e">
        <f>VLOOKUP($A222,'S50'!$C:$BQ,30,0)</f>
        <v>#N/A</v>
      </c>
      <c r="BJ222" s="115" t="e">
        <f>VLOOKUP($A222,'S50'!$C:$BQ,52,0)</f>
        <v>#N/A</v>
      </c>
      <c r="BK222" s="115" t="e">
        <f>VLOOKUP($A222,'S50'!$C:$BQ,59,0)</f>
        <v>#N/A</v>
      </c>
      <c r="BL222" s="115" t="e">
        <f>VLOOKUP($A222,'S50'!$C:$BQ,60,0)</f>
        <v>#N/A</v>
      </c>
    </row>
    <row r="223" spans="1:64" x14ac:dyDescent="0.2">
      <c r="A223" s="106" t="s">
        <v>294</v>
      </c>
      <c r="B223" s="107">
        <f>VLOOKUP($A223,'S0 remplacer avec S44'!$C:$BQ,32,0)</f>
        <v>114.5</v>
      </c>
      <c r="C223" s="107">
        <f>VLOOKUP($A223,'S0 remplacer avec S44'!$C:$BQ,39,0)</f>
        <v>65</v>
      </c>
      <c r="D223" s="107">
        <f>VLOOKUP($A223,'S0 remplacer avec S44'!$C:$BQ,40,0)</f>
        <v>100</v>
      </c>
      <c r="E223" s="107">
        <f>VLOOKUP($A223,'S0 remplacer avec S44'!$C:$BQ,22,0)</f>
        <v>1692.8295149999999</v>
      </c>
      <c r="F223" s="115">
        <f>VLOOKUP($A223,'S0 remplacer avec S44'!$C:$BQ,29,0)</f>
        <v>0</v>
      </c>
      <c r="G223" s="115">
        <f>VLOOKUP($A223,'S0 remplacer avec S44'!$C:$BQ,30,0)</f>
        <v>258</v>
      </c>
      <c r="H223" s="115">
        <f>VLOOKUP($A223,'S0 remplacer avec S44'!$C:$BQ,52,0)</f>
        <v>71.400000000000006</v>
      </c>
      <c r="I223" s="115">
        <f>VLOOKUP($A223,'S0 remplacer avec S44'!$C:$BQ,59,0)</f>
        <v>20</v>
      </c>
      <c r="J223" s="115">
        <f>VLOOKUP($A223,'S0 remplacer avec S44'!$C:$BQ,60,0)</f>
        <v>38</v>
      </c>
      <c r="K223" s="107" t="e">
        <f>VLOOKUP($A223,'S45'!$C:$BQ,32,0)</f>
        <v>#N/A</v>
      </c>
      <c r="L223" s="107" t="e">
        <f>VLOOKUP($A223,'S45'!$C:$BQ,39,0)</f>
        <v>#N/A</v>
      </c>
      <c r="M223" s="107" t="e">
        <f>VLOOKUP($A223,'S45'!$C:$BQ,40,0)</f>
        <v>#N/A</v>
      </c>
      <c r="N223" s="107" t="e">
        <f>VLOOKUP($A223,'S45'!$C:$BQ,22,0)</f>
        <v>#N/A</v>
      </c>
      <c r="O223" s="115" t="e">
        <f>VLOOKUP($A223,'S45'!$C:$BQ,29,0)</f>
        <v>#N/A</v>
      </c>
      <c r="P223" s="115" t="e">
        <f>VLOOKUP($A223,'S45'!$C:$BQ,30,0)</f>
        <v>#N/A</v>
      </c>
      <c r="Q223" s="115" t="e">
        <f>VLOOKUP($A223,'S45'!$C:$BQ,52,0)</f>
        <v>#N/A</v>
      </c>
      <c r="R223" s="115" t="e">
        <f>VLOOKUP($A223,'S45'!$C:$BQ,59,0)</f>
        <v>#N/A</v>
      </c>
      <c r="S223" s="115" t="e">
        <f>VLOOKUP($A223,'S45'!$C:$BQ,60,0)</f>
        <v>#N/A</v>
      </c>
      <c r="T223" s="107" t="e">
        <f>VLOOKUP($A223,'S46'!$C:$BQ,32,0)</f>
        <v>#N/A</v>
      </c>
      <c r="U223" s="107" t="e">
        <f>VLOOKUP($A223,'S46'!$C:$BQ,39,0)</f>
        <v>#N/A</v>
      </c>
      <c r="V223" s="107" t="e">
        <f>VLOOKUP($A223,'S46'!$C:$BQ,40,0)</f>
        <v>#N/A</v>
      </c>
      <c r="W223" s="107" t="e">
        <f>VLOOKUP($A223,'S46'!$C:$BQ,22,0)</f>
        <v>#N/A</v>
      </c>
      <c r="X223" s="115" t="e">
        <f>VLOOKUP($A223,'S46'!$C:$BQ,29,0)</f>
        <v>#N/A</v>
      </c>
      <c r="Y223" s="115" t="e">
        <f>VLOOKUP($A223,'S46'!$C:$BQ,30,0)</f>
        <v>#N/A</v>
      </c>
      <c r="Z223" s="115" t="e">
        <f>VLOOKUP($A223,'S46'!$C:$BQ,52,0)</f>
        <v>#N/A</v>
      </c>
      <c r="AA223" s="115" t="e">
        <f>VLOOKUP($A223,'S46'!$C:$BQ,59,0)</f>
        <v>#N/A</v>
      </c>
      <c r="AB223" s="115" t="e">
        <f>VLOOKUP($A223,'S46'!$C:$BQ,60,0)</f>
        <v>#N/A</v>
      </c>
      <c r="AC223" s="107" t="e">
        <f>VLOOKUP($A223,'S47'!$C:$BQ,32,0)</f>
        <v>#N/A</v>
      </c>
      <c r="AD223" s="107" t="e">
        <f>VLOOKUP($A223,'S47'!$C:$BQ,39,0)</f>
        <v>#N/A</v>
      </c>
      <c r="AE223" s="107" t="e">
        <f>VLOOKUP($A223,'S47'!$C:$BQ,40,0)</f>
        <v>#N/A</v>
      </c>
      <c r="AF223" s="107" t="e">
        <f>VLOOKUP($A223,'S47'!$C:$BQ,22,0)</f>
        <v>#N/A</v>
      </c>
      <c r="AG223" s="115" t="e">
        <f>VLOOKUP($A223,'S47'!$C:$BQ,29,0)</f>
        <v>#N/A</v>
      </c>
      <c r="AH223" s="115" t="e">
        <f>VLOOKUP($A223,'S47'!$C:$BQ,30,0)</f>
        <v>#N/A</v>
      </c>
      <c r="AI223" s="115" t="e">
        <f>VLOOKUP($A223,'S47'!$C:$BQ,52,0)</f>
        <v>#N/A</v>
      </c>
      <c r="AJ223" s="115" t="e">
        <f>VLOOKUP($A223,'S47'!$C:$BQ,59,0)</f>
        <v>#N/A</v>
      </c>
      <c r="AK223" s="115" t="e">
        <f>VLOOKUP($A223,'S47'!$C:$BQ,60,0)</f>
        <v>#N/A</v>
      </c>
      <c r="AL223" s="107" t="e">
        <f>VLOOKUP($A223,'S48'!$C:$BQ,32,0)</f>
        <v>#N/A</v>
      </c>
      <c r="AM223" s="107" t="e">
        <f>VLOOKUP($A223,'S48'!$C:$BQ,39,0)</f>
        <v>#N/A</v>
      </c>
      <c r="AN223" s="107" t="e">
        <f>VLOOKUP($A223,'S48'!$C:$BQ,40,0)</f>
        <v>#N/A</v>
      </c>
      <c r="AO223" s="107" t="e">
        <f>VLOOKUP($A223,'S48'!$C:$BQ,22,0)</f>
        <v>#N/A</v>
      </c>
      <c r="AP223" s="115" t="e">
        <f>VLOOKUP($A223,'S48'!$C:$BQ,29,0)</f>
        <v>#N/A</v>
      </c>
      <c r="AQ223" s="115" t="e">
        <f>VLOOKUP($A223,'S48'!$C:$BQ,30,0)</f>
        <v>#N/A</v>
      </c>
      <c r="AR223" s="115" t="e">
        <f>VLOOKUP($A223,'S48'!$C:$BQ,52,0)</f>
        <v>#N/A</v>
      </c>
      <c r="AS223" s="115" t="e">
        <f>VLOOKUP($A223,'S48'!$C:$BQ,59,0)</f>
        <v>#N/A</v>
      </c>
      <c r="AT223" s="115" t="e">
        <f>VLOOKUP($A223,'S48'!$C:$BQ,60,0)</f>
        <v>#N/A</v>
      </c>
      <c r="AU223" s="107" t="e">
        <f>VLOOKUP($A223,'S49'!$C:$BQ,32,0)</f>
        <v>#N/A</v>
      </c>
      <c r="AV223" s="107" t="e">
        <f>VLOOKUP($A223,'S49'!$C:$BQ,39,0)</f>
        <v>#N/A</v>
      </c>
      <c r="AW223" s="107" t="e">
        <f>VLOOKUP($A223,'S49'!$C:$BQ,40,0)</f>
        <v>#N/A</v>
      </c>
      <c r="AX223" s="107" t="e">
        <f>VLOOKUP($A223,'S49'!$C:$BQ,22,0)</f>
        <v>#N/A</v>
      </c>
      <c r="AY223" s="115" t="e">
        <f>VLOOKUP($A223,'S49'!$C:$BQ,29,0)</f>
        <v>#N/A</v>
      </c>
      <c r="AZ223" s="115" t="e">
        <f>VLOOKUP($A223,'S49'!$C:$BQ,30,0)</f>
        <v>#N/A</v>
      </c>
      <c r="BA223" s="115" t="e">
        <f>VLOOKUP($A223,'S49'!$C:$BQ,52,0)</f>
        <v>#N/A</v>
      </c>
      <c r="BB223" s="115" t="e">
        <f>VLOOKUP($A223,'S49'!$C:$BQ,59,0)</f>
        <v>#N/A</v>
      </c>
      <c r="BC223" s="115" t="e">
        <f>VLOOKUP($A223,'S49'!$C:$BQ,60,0)</f>
        <v>#N/A</v>
      </c>
      <c r="BD223" s="107" t="e">
        <f>VLOOKUP($A223,'S50'!$C:$BQ,32,0)</f>
        <v>#N/A</v>
      </c>
      <c r="BE223" s="107" t="e">
        <f>VLOOKUP($A223,'S50'!$C:$BQ,39,0)</f>
        <v>#N/A</v>
      </c>
      <c r="BF223" s="107" t="e">
        <f>VLOOKUP($A223,'S50'!$C:$BQ,40,0)</f>
        <v>#N/A</v>
      </c>
      <c r="BG223" s="107" t="e">
        <f>VLOOKUP($A223,'S50'!$C:$BQ,22,0)</f>
        <v>#N/A</v>
      </c>
      <c r="BH223" s="115" t="e">
        <f>VLOOKUP($A223,'S50'!$C:$BQ,29,0)</f>
        <v>#N/A</v>
      </c>
      <c r="BI223" s="115" t="e">
        <f>VLOOKUP($A223,'S50'!$C:$BQ,30,0)</f>
        <v>#N/A</v>
      </c>
      <c r="BJ223" s="115" t="e">
        <f>VLOOKUP($A223,'S50'!$C:$BQ,52,0)</f>
        <v>#N/A</v>
      </c>
      <c r="BK223" s="115" t="e">
        <f>VLOOKUP($A223,'S50'!$C:$BQ,59,0)</f>
        <v>#N/A</v>
      </c>
      <c r="BL223" s="115" t="e">
        <f>VLOOKUP($A223,'S50'!$C:$BQ,60,0)</f>
        <v>#N/A</v>
      </c>
    </row>
    <row r="224" spans="1:64" x14ac:dyDescent="0.2">
      <c r="A224" s="106" t="s">
        <v>295</v>
      </c>
      <c r="B224" s="107">
        <f>VLOOKUP($A224,'S0 remplacer avec S44'!$C:$BQ,32,0)</f>
        <v>133.15</v>
      </c>
      <c r="C224" s="107">
        <f>VLOOKUP($A224,'S0 remplacer avec S44'!$C:$BQ,39,0)</f>
        <v>55</v>
      </c>
      <c r="D224" s="107">
        <f>VLOOKUP($A224,'S0 remplacer avec S44'!$C:$BQ,40,0)</f>
        <v>92</v>
      </c>
      <c r="E224" s="107">
        <f>VLOOKUP($A224,'S0 remplacer avec S44'!$C:$BQ,22,0)</f>
        <v>2274.2442599999999</v>
      </c>
      <c r="F224" s="115">
        <f>VLOOKUP($A224,'S0 remplacer avec S44'!$C:$BQ,29,0)</f>
        <v>0</v>
      </c>
      <c r="G224" s="115">
        <f>VLOOKUP($A224,'S0 remplacer avec S44'!$C:$BQ,30,0)</f>
        <v>0</v>
      </c>
      <c r="H224" s="115">
        <f>VLOOKUP($A224,'S0 remplacer avec S44'!$C:$BQ,52,0)</f>
        <v>103.4</v>
      </c>
      <c r="I224" s="115">
        <f>VLOOKUP($A224,'S0 remplacer avec S44'!$C:$BQ,59,0)</f>
        <v>0</v>
      </c>
      <c r="J224" s="115">
        <f>VLOOKUP($A224,'S0 remplacer avec S44'!$C:$BQ,60,0)</f>
        <v>11</v>
      </c>
      <c r="K224" s="107" t="e">
        <f>VLOOKUP($A224,'S45'!$C:$BQ,32,0)</f>
        <v>#N/A</v>
      </c>
      <c r="L224" s="107" t="e">
        <f>VLOOKUP($A224,'S45'!$C:$BQ,39,0)</f>
        <v>#N/A</v>
      </c>
      <c r="M224" s="107" t="e">
        <f>VLOOKUP($A224,'S45'!$C:$BQ,40,0)</f>
        <v>#N/A</v>
      </c>
      <c r="N224" s="107" t="e">
        <f>VLOOKUP($A224,'S45'!$C:$BQ,22,0)</f>
        <v>#N/A</v>
      </c>
      <c r="O224" s="115" t="e">
        <f>VLOOKUP($A224,'S45'!$C:$BQ,29,0)</f>
        <v>#N/A</v>
      </c>
      <c r="P224" s="115" t="e">
        <f>VLOOKUP($A224,'S45'!$C:$BQ,30,0)</f>
        <v>#N/A</v>
      </c>
      <c r="Q224" s="115" t="e">
        <f>VLOOKUP($A224,'S45'!$C:$BQ,52,0)</f>
        <v>#N/A</v>
      </c>
      <c r="R224" s="115" t="e">
        <f>VLOOKUP($A224,'S45'!$C:$BQ,59,0)</f>
        <v>#N/A</v>
      </c>
      <c r="S224" s="115" t="e">
        <f>VLOOKUP($A224,'S45'!$C:$BQ,60,0)</f>
        <v>#N/A</v>
      </c>
      <c r="T224" s="107" t="e">
        <f>VLOOKUP($A224,'S46'!$C:$BQ,32,0)</f>
        <v>#N/A</v>
      </c>
      <c r="U224" s="107" t="e">
        <f>VLOOKUP($A224,'S46'!$C:$BQ,39,0)</f>
        <v>#N/A</v>
      </c>
      <c r="V224" s="107" t="e">
        <f>VLOOKUP($A224,'S46'!$C:$BQ,40,0)</f>
        <v>#N/A</v>
      </c>
      <c r="W224" s="107" t="e">
        <f>VLOOKUP($A224,'S46'!$C:$BQ,22,0)</f>
        <v>#N/A</v>
      </c>
      <c r="X224" s="115" t="e">
        <f>VLOOKUP($A224,'S46'!$C:$BQ,29,0)</f>
        <v>#N/A</v>
      </c>
      <c r="Y224" s="115" t="e">
        <f>VLOOKUP($A224,'S46'!$C:$BQ,30,0)</f>
        <v>#N/A</v>
      </c>
      <c r="Z224" s="115" t="e">
        <f>VLOOKUP($A224,'S46'!$C:$BQ,52,0)</f>
        <v>#N/A</v>
      </c>
      <c r="AA224" s="115" t="e">
        <f>VLOOKUP($A224,'S46'!$C:$BQ,59,0)</f>
        <v>#N/A</v>
      </c>
      <c r="AB224" s="115" t="e">
        <f>VLOOKUP($A224,'S46'!$C:$BQ,60,0)</f>
        <v>#N/A</v>
      </c>
      <c r="AC224" s="107" t="e">
        <f>VLOOKUP($A224,'S47'!$C:$BQ,32,0)</f>
        <v>#N/A</v>
      </c>
      <c r="AD224" s="107" t="e">
        <f>VLOOKUP($A224,'S47'!$C:$BQ,39,0)</f>
        <v>#N/A</v>
      </c>
      <c r="AE224" s="107" t="e">
        <f>VLOOKUP($A224,'S47'!$C:$BQ,40,0)</f>
        <v>#N/A</v>
      </c>
      <c r="AF224" s="107" t="e">
        <f>VLOOKUP($A224,'S47'!$C:$BQ,22,0)</f>
        <v>#N/A</v>
      </c>
      <c r="AG224" s="115" t="e">
        <f>VLOOKUP($A224,'S47'!$C:$BQ,29,0)</f>
        <v>#N/A</v>
      </c>
      <c r="AH224" s="115" t="e">
        <f>VLOOKUP($A224,'S47'!$C:$BQ,30,0)</f>
        <v>#N/A</v>
      </c>
      <c r="AI224" s="115" t="e">
        <f>VLOOKUP($A224,'S47'!$C:$BQ,52,0)</f>
        <v>#N/A</v>
      </c>
      <c r="AJ224" s="115" t="e">
        <f>VLOOKUP($A224,'S47'!$C:$BQ,59,0)</f>
        <v>#N/A</v>
      </c>
      <c r="AK224" s="115" t="e">
        <f>VLOOKUP($A224,'S47'!$C:$BQ,60,0)</f>
        <v>#N/A</v>
      </c>
      <c r="AL224" s="107" t="e">
        <f>VLOOKUP($A224,'S48'!$C:$BQ,32,0)</f>
        <v>#N/A</v>
      </c>
      <c r="AM224" s="107" t="e">
        <f>VLOOKUP($A224,'S48'!$C:$BQ,39,0)</f>
        <v>#N/A</v>
      </c>
      <c r="AN224" s="107" t="e">
        <f>VLOOKUP($A224,'S48'!$C:$BQ,40,0)</f>
        <v>#N/A</v>
      </c>
      <c r="AO224" s="107" t="e">
        <f>VLOOKUP($A224,'S48'!$C:$BQ,22,0)</f>
        <v>#N/A</v>
      </c>
      <c r="AP224" s="115" t="e">
        <f>VLOOKUP($A224,'S48'!$C:$BQ,29,0)</f>
        <v>#N/A</v>
      </c>
      <c r="AQ224" s="115" t="e">
        <f>VLOOKUP($A224,'S48'!$C:$BQ,30,0)</f>
        <v>#N/A</v>
      </c>
      <c r="AR224" s="115" t="e">
        <f>VLOOKUP($A224,'S48'!$C:$BQ,52,0)</f>
        <v>#N/A</v>
      </c>
      <c r="AS224" s="115" t="e">
        <f>VLOOKUP($A224,'S48'!$C:$BQ,59,0)</f>
        <v>#N/A</v>
      </c>
      <c r="AT224" s="115" t="e">
        <f>VLOOKUP($A224,'S48'!$C:$BQ,60,0)</f>
        <v>#N/A</v>
      </c>
      <c r="AU224" s="107" t="e">
        <f>VLOOKUP($A224,'S49'!$C:$BQ,32,0)</f>
        <v>#N/A</v>
      </c>
      <c r="AV224" s="107" t="e">
        <f>VLOOKUP($A224,'S49'!$C:$BQ,39,0)</f>
        <v>#N/A</v>
      </c>
      <c r="AW224" s="107" t="e">
        <f>VLOOKUP($A224,'S49'!$C:$BQ,40,0)</f>
        <v>#N/A</v>
      </c>
      <c r="AX224" s="107" t="e">
        <f>VLOOKUP($A224,'S49'!$C:$BQ,22,0)</f>
        <v>#N/A</v>
      </c>
      <c r="AY224" s="115" t="e">
        <f>VLOOKUP($A224,'S49'!$C:$BQ,29,0)</f>
        <v>#N/A</v>
      </c>
      <c r="AZ224" s="115" t="e">
        <f>VLOOKUP($A224,'S49'!$C:$BQ,30,0)</f>
        <v>#N/A</v>
      </c>
      <c r="BA224" s="115" t="e">
        <f>VLOOKUP($A224,'S49'!$C:$BQ,52,0)</f>
        <v>#N/A</v>
      </c>
      <c r="BB224" s="115" t="e">
        <f>VLOOKUP($A224,'S49'!$C:$BQ,59,0)</f>
        <v>#N/A</v>
      </c>
      <c r="BC224" s="115" t="e">
        <f>VLOOKUP($A224,'S49'!$C:$BQ,60,0)</f>
        <v>#N/A</v>
      </c>
      <c r="BD224" s="107" t="e">
        <f>VLOOKUP($A224,'S50'!$C:$BQ,32,0)</f>
        <v>#N/A</v>
      </c>
      <c r="BE224" s="107" t="e">
        <f>VLOOKUP($A224,'S50'!$C:$BQ,39,0)</f>
        <v>#N/A</v>
      </c>
      <c r="BF224" s="107" t="e">
        <f>VLOOKUP($A224,'S50'!$C:$BQ,40,0)</f>
        <v>#N/A</v>
      </c>
      <c r="BG224" s="107" t="e">
        <f>VLOOKUP($A224,'S50'!$C:$BQ,22,0)</f>
        <v>#N/A</v>
      </c>
      <c r="BH224" s="115" t="e">
        <f>VLOOKUP($A224,'S50'!$C:$BQ,29,0)</f>
        <v>#N/A</v>
      </c>
      <c r="BI224" s="115" t="e">
        <f>VLOOKUP($A224,'S50'!$C:$BQ,30,0)</f>
        <v>#N/A</v>
      </c>
      <c r="BJ224" s="115" t="e">
        <f>VLOOKUP($A224,'S50'!$C:$BQ,52,0)</f>
        <v>#N/A</v>
      </c>
      <c r="BK224" s="115" t="e">
        <f>VLOOKUP($A224,'S50'!$C:$BQ,59,0)</f>
        <v>#N/A</v>
      </c>
      <c r="BL224" s="115" t="e">
        <f>VLOOKUP($A224,'S50'!$C:$BQ,60,0)</f>
        <v>#N/A</v>
      </c>
    </row>
    <row r="225" spans="1:64" x14ac:dyDescent="0.2">
      <c r="A225" s="106" t="s">
        <v>296</v>
      </c>
      <c r="B225" s="107">
        <f>VLOOKUP($A225,'S0 remplacer avec S44'!$C:$BQ,32,0)</f>
        <v>151.85</v>
      </c>
      <c r="C225" s="107">
        <f>VLOOKUP($A225,'S0 remplacer avec S44'!$C:$BQ,39,0)</f>
        <v>57</v>
      </c>
      <c r="D225" s="107">
        <f>VLOOKUP($A225,'S0 remplacer avec S44'!$C:$BQ,40,0)</f>
        <v>99</v>
      </c>
      <c r="E225" s="107">
        <f>VLOOKUP($A225,'S0 remplacer avec S44'!$C:$BQ,22,0)</f>
        <v>1546.6676649999999</v>
      </c>
      <c r="F225" s="115">
        <f>VLOOKUP($A225,'S0 remplacer avec S44'!$C:$BQ,29,0)</f>
        <v>352</v>
      </c>
      <c r="G225" s="115">
        <f>VLOOKUP($A225,'S0 remplacer avec S44'!$C:$BQ,30,0)</f>
        <v>731</v>
      </c>
      <c r="H225" s="115">
        <f>VLOOKUP($A225,'S0 remplacer avec S44'!$C:$BQ,52,0)</f>
        <v>98.8</v>
      </c>
      <c r="I225" s="115">
        <f>VLOOKUP($A225,'S0 remplacer avec S44'!$C:$BQ,59,0)</f>
        <v>8</v>
      </c>
      <c r="J225" s="115">
        <f>VLOOKUP($A225,'S0 remplacer avec S44'!$C:$BQ,60,0)</f>
        <v>29</v>
      </c>
      <c r="K225" s="107" t="e">
        <f>VLOOKUP($A225,'S45'!$C:$BQ,32,0)</f>
        <v>#N/A</v>
      </c>
      <c r="L225" s="107" t="e">
        <f>VLOOKUP($A225,'S45'!$C:$BQ,39,0)</f>
        <v>#N/A</v>
      </c>
      <c r="M225" s="107" t="e">
        <f>VLOOKUP($A225,'S45'!$C:$BQ,40,0)</f>
        <v>#N/A</v>
      </c>
      <c r="N225" s="107" t="e">
        <f>VLOOKUP($A225,'S45'!$C:$BQ,22,0)</f>
        <v>#N/A</v>
      </c>
      <c r="O225" s="115" t="e">
        <f>VLOOKUP($A225,'S45'!$C:$BQ,29,0)</f>
        <v>#N/A</v>
      </c>
      <c r="P225" s="115" t="e">
        <f>VLOOKUP($A225,'S45'!$C:$BQ,30,0)</f>
        <v>#N/A</v>
      </c>
      <c r="Q225" s="115" t="e">
        <f>VLOOKUP($A225,'S45'!$C:$BQ,52,0)</f>
        <v>#N/A</v>
      </c>
      <c r="R225" s="115" t="e">
        <f>VLOOKUP($A225,'S45'!$C:$BQ,59,0)</f>
        <v>#N/A</v>
      </c>
      <c r="S225" s="115" t="e">
        <f>VLOOKUP($A225,'S45'!$C:$BQ,60,0)</f>
        <v>#N/A</v>
      </c>
      <c r="T225" s="107" t="e">
        <f>VLOOKUP($A225,'S46'!$C:$BQ,32,0)</f>
        <v>#N/A</v>
      </c>
      <c r="U225" s="107" t="e">
        <f>VLOOKUP($A225,'S46'!$C:$BQ,39,0)</f>
        <v>#N/A</v>
      </c>
      <c r="V225" s="107" t="e">
        <f>VLOOKUP($A225,'S46'!$C:$BQ,40,0)</f>
        <v>#N/A</v>
      </c>
      <c r="W225" s="107" t="e">
        <f>VLOOKUP($A225,'S46'!$C:$BQ,22,0)</f>
        <v>#N/A</v>
      </c>
      <c r="X225" s="115" t="e">
        <f>VLOOKUP($A225,'S46'!$C:$BQ,29,0)</f>
        <v>#N/A</v>
      </c>
      <c r="Y225" s="115" t="e">
        <f>VLOOKUP($A225,'S46'!$C:$BQ,30,0)</f>
        <v>#N/A</v>
      </c>
      <c r="Z225" s="115" t="e">
        <f>VLOOKUP($A225,'S46'!$C:$BQ,52,0)</f>
        <v>#N/A</v>
      </c>
      <c r="AA225" s="115" t="e">
        <f>VLOOKUP($A225,'S46'!$C:$BQ,59,0)</f>
        <v>#N/A</v>
      </c>
      <c r="AB225" s="115" t="e">
        <f>VLOOKUP($A225,'S46'!$C:$BQ,60,0)</f>
        <v>#N/A</v>
      </c>
      <c r="AC225" s="107" t="e">
        <f>VLOOKUP($A225,'S47'!$C:$BQ,32,0)</f>
        <v>#N/A</v>
      </c>
      <c r="AD225" s="107" t="e">
        <f>VLOOKUP($A225,'S47'!$C:$BQ,39,0)</f>
        <v>#N/A</v>
      </c>
      <c r="AE225" s="107" t="e">
        <f>VLOOKUP($A225,'S47'!$C:$BQ,40,0)</f>
        <v>#N/A</v>
      </c>
      <c r="AF225" s="107" t="e">
        <f>VLOOKUP($A225,'S47'!$C:$BQ,22,0)</f>
        <v>#N/A</v>
      </c>
      <c r="AG225" s="115" t="e">
        <f>VLOOKUP($A225,'S47'!$C:$BQ,29,0)</f>
        <v>#N/A</v>
      </c>
      <c r="AH225" s="115" t="e">
        <f>VLOOKUP($A225,'S47'!$C:$BQ,30,0)</f>
        <v>#N/A</v>
      </c>
      <c r="AI225" s="115" t="e">
        <f>VLOOKUP($A225,'S47'!$C:$BQ,52,0)</f>
        <v>#N/A</v>
      </c>
      <c r="AJ225" s="115" t="e">
        <f>VLOOKUP($A225,'S47'!$C:$BQ,59,0)</f>
        <v>#N/A</v>
      </c>
      <c r="AK225" s="115" t="e">
        <f>VLOOKUP($A225,'S47'!$C:$BQ,60,0)</f>
        <v>#N/A</v>
      </c>
      <c r="AL225" s="107" t="e">
        <f>VLOOKUP($A225,'S48'!$C:$BQ,32,0)</f>
        <v>#N/A</v>
      </c>
      <c r="AM225" s="107" t="e">
        <f>VLOOKUP($A225,'S48'!$C:$BQ,39,0)</f>
        <v>#N/A</v>
      </c>
      <c r="AN225" s="107" t="e">
        <f>VLOOKUP($A225,'S48'!$C:$BQ,40,0)</f>
        <v>#N/A</v>
      </c>
      <c r="AO225" s="107" t="e">
        <f>VLOOKUP($A225,'S48'!$C:$BQ,22,0)</f>
        <v>#N/A</v>
      </c>
      <c r="AP225" s="115" t="e">
        <f>VLOOKUP($A225,'S48'!$C:$BQ,29,0)</f>
        <v>#N/A</v>
      </c>
      <c r="AQ225" s="115" t="e">
        <f>VLOOKUP($A225,'S48'!$C:$BQ,30,0)</f>
        <v>#N/A</v>
      </c>
      <c r="AR225" s="115" t="e">
        <f>VLOOKUP($A225,'S48'!$C:$BQ,52,0)</f>
        <v>#N/A</v>
      </c>
      <c r="AS225" s="115" t="e">
        <f>VLOOKUP($A225,'S48'!$C:$BQ,59,0)</f>
        <v>#N/A</v>
      </c>
      <c r="AT225" s="115" t="e">
        <f>VLOOKUP($A225,'S48'!$C:$BQ,60,0)</f>
        <v>#N/A</v>
      </c>
      <c r="AU225" s="107" t="e">
        <f>VLOOKUP($A225,'S49'!$C:$BQ,32,0)</f>
        <v>#N/A</v>
      </c>
      <c r="AV225" s="107" t="e">
        <f>VLOOKUP($A225,'S49'!$C:$BQ,39,0)</f>
        <v>#N/A</v>
      </c>
      <c r="AW225" s="107" t="e">
        <f>VLOOKUP($A225,'S49'!$C:$BQ,40,0)</f>
        <v>#N/A</v>
      </c>
      <c r="AX225" s="107" t="e">
        <f>VLOOKUP($A225,'S49'!$C:$BQ,22,0)</f>
        <v>#N/A</v>
      </c>
      <c r="AY225" s="115" t="e">
        <f>VLOOKUP($A225,'S49'!$C:$BQ,29,0)</f>
        <v>#N/A</v>
      </c>
      <c r="AZ225" s="115" t="e">
        <f>VLOOKUP($A225,'S49'!$C:$BQ,30,0)</f>
        <v>#N/A</v>
      </c>
      <c r="BA225" s="115" t="e">
        <f>VLOOKUP($A225,'S49'!$C:$BQ,52,0)</f>
        <v>#N/A</v>
      </c>
      <c r="BB225" s="115" t="e">
        <f>VLOOKUP($A225,'S49'!$C:$BQ,59,0)</f>
        <v>#N/A</v>
      </c>
      <c r="BC225" s="115" t="e">
        <f>VLOOKUP($A225,'S49'!$C:$BQ,60,0)</f>
        <v>#N/A</v>
      </c>
      <c r="BD225" s="107" t="e">
        <f>VLOOKUP($A225,'S50'!$C:$BQ,32,0)</f>
        <v>#N/A</v>
      </c>
      <c r="BE225" s="107" t="e">
        <f>VLOOKUP($A225,'S50'!$C:$BQ,39,0)</f>
        <v>#N/A</v>
      </c>
      <c r="BF225" s="107" t="e">
        <f>VLOOKUP($A225,'S50'!$C:$BQ,40,0)</f>
        <v>#N/A</v>
      </c>
      <c r="BG225" s="107" t="e">
        <f>VLOOKUP($A225,'S50'!$C:$BQ,22,0)</f>
        <v>#N/A</v>
      </c>
      <c r="BH225" s="115" t="e">
        <f>VLOOKUP($A225,'S50'!$C:$BQ,29,0)</f>
        <v>#N/A</v>
      </c>
      <c r="BI225" s="115" t="e">
        <f>VLOOKUP($A225,'S50'!$C:$BQ,30,0)</f>
        <v>#N/A</v>
      </c>
      <c r="BJ225" s="115" t="e">
        <f>VLOOKUP($A225,'S50'!$C:$BQ,52,0)</f>
        <v>#N/A</v>
      </c>
      <c r="BK225" s="115" t="e">
        <f>VLOOKUP($A225,'S50'!$C:$BQ,59,0)</f>
        <v>#N/A</v>
      </c>
      <c r="BL225" s="115" t="e">
        <f>VLOOKUP($A225,'S50'!$C:$BQ,60,0)</f>
        <v>#N/A</v>
      </c>
    </row>
    <row r="226" spans="1:64" x14ac:dyDescent="0.2">
      <c r="A226" s="106" t="s">
        <v>297</v>
      </c>
      <c r="B226" s="107">
        <f>VLOOKUP($A226,'S0 remplacer avec S44'!$C:$BQ,32,0)</f>
        <v>108.8</v>
      </c>
      <c r="C226" s="107">
        <f>VLOOKUP($A226,'S0 remplacer avec S44'!$C:$BQ,39,0)</f>
        <v>133</v>
      </c>
      <c r="D226" s="107">
        <f>VLOOKUP($A226,'S0 remplacer avec S44'!$C:$BQ,40,0)</f>
        <v>181</v>
      </c>
      <c r="E226" s="107">
        <f>VLOOKUP($A226,'S0 remplacer avec S44'!$C:$BQ,22,0)</f>
        <v>1741.99458</v>
      </c>
      <c r="F226" s="115">
        <f>VLOOKUP($A226,'S0 remplacer avec S44'!$C:$BQ,29,0)</f>
        <v>451</v>
      </c>
      <c r="G226" s="115">
        <f>VLOOKUP($A226,'S0 remplacer avec S44'!$C:$BQ,30,0)</f>
        <v>890</v>
      </c>
      <c r="H226" s="115">
        <f>VLOOKUP($A226,'S0 remplacer avec S44'!$C:$BQ,52,0)</f>
        <v>97.6</v>
      </c>
      <c r="I226" s="115">
        <f>VLOOKUP($A226,'S0 remplacer avec S44'!$C:$BQ,59,0)</f>
        <v>25</v>
      </c>
      <c r="J226" s="115">
        <f>VLOOKUP($A226,'S0 remplacer avec S44'!$C:$BQ,60,0)</f>
        <v>50</v>
      </c>
      <c r="K226" s="107" t="e">
        <f>VLOOKUP($A226,'S45'!$C:$BQ,32,0)</f>
        <v>#N/A</v>
      </c>
      <c r="L226" s="107" t="e">
        <f>VLOOKUP($A226,'S45'!$C:$BQ,39,0)</f>
        <v>#N/A</v>
      </c>
      <c r="M226" s="107" t="e">
        <f>VLOOKUP($A226,'S45'!$C:$BQ,40,0)</f>
        <v>#N/A</v>
      </c>
      <c r="N226" s="107" t="e">
        <f>VLOOKUP($A226,'S45'!$C:$BQ,22,0)</f>
        <v>#N/A</v>
      </c>
      <c r="O226" s="115" t="e">
        <f>VLOOKUP($A226,'S45'!$C:$BQ,29,0)</f>
        <v>#N/A</v>
      </c>
      <c r="P226" s="115" t="e">
        <f>VLOOKUP($A226,'S45'!$C:$BQ,30,0)</f>
        <v>#N/A</v>
      </c>
      <c r="Q226" s="115" t="e">
        <f>VLOOKUP($A226,'S45'!$C:$BQ,52,0)</f>
        <v>#N/A</v>
      </c>
      <c r="R226" s="115" t="e">
        <f>VLOOKUP($A226,'S45'!$C:$BQ,59,0)</f>
        <v>#N/A</v>
      </c>
      <c r="S226" s="115" t="e">
        <f>VLOOKUP($A226,'S45'!$C:$BQ,60,0)</f>
        <v>#N/A</v>
      </c>
      <c r="T226" s="107" t="e">
        <f>VLOOKUP($A226,'S46'!$C:$BQ,32,0)</f>
        <v>#N/A</v>
      </c>
      <c r="U226" s="107" t="e">
        <f>VLOOKUP($A226,'S46'!$C:$BQ,39,0)</f>
        <v>#N/A</v>
      </c>
      <c r="V226" s="107" t="e">
        <f>VLOOKUP($A226,'S46'!$C:$BQ,40,0)</f>
        <v>#N/A</v>
      </c>
      <c r="W226" s="107" t="e">
        <f>VLOOKUP($A226,'S46'!$C:$BQ,22,0)</f>
        <v>#N/A</v>
      </c>
      <c r="X226" s="115" t="e">
        <f>VLOOKUP($A226,'S46'!$C:$BQ,29,0)</f>
        <v>#N/A</v>
      </c>
      <c r="Y226" s="115" t="e">
        <f>VLOOKUP($A226,'S46'!$C:$BQ,30,0)</f>
        <v>#N/A</v>
      </c>
      <c r="Z226" s="115" t="e">
        <f>VLOOKUP($A226,'S46'!$C:$BQ,52,0)</f>
        <v>#N/A</v>
      </c>
      <c r="AA226" s="115" t="e">
        <f>VLOOKUP($A226,'S46'!$C:$BQ,59,0)</f>
        <v>#N/A</v>
      </c>
      <c r="AB226" s="115" t="e">
        <f>VLOOKUP($A226,'S46'!$C:$BQ,60,0)</f>
        <v>#N/A</v>
      </c>
      <c r="AC226" s="107" t="e">
        <f>VLOOKUP($A226,'S47'!$C:$BQ,32,0)</f>
        <v>#N/A</v>
      </c>
      <c r="AD226" s="107" t="e">
        <f>VLOOKUP($A226,'S47'!$C:$BQ,39,0)</f>
        <v>#N/A</v>
      </c>
      <c r="AE226" s="107" t="e">
        <f>VLOOKUP($A226,'S47'!$C:$BQ,40,0)</f>
        <v>#N/A</v>
      </c>
      <c r="AF226" s="107" t="e">
        <f>VLOOKUP($A226,'S47'!$C:$BQ,22,0)</f>
        <v>#N/A</v>
      </c>
      <c r="AG226" s="115" t="e">
        <f>VLOOKUP($A226,'S47'!$C:$BQ,29,0)</f>
        <v>#N/A</v>
      </c>
      <c r="AH226" s="115" t="e">
        <f>VLOOKUP($A226,'S47'!$C:$BQ,30,0)</f>
        <v>#N/A</v>
      </c>
      <c r="AI226" s="115" t="e">
        <f>VLOOKUP($A226,'S47'!$C:$BQ,52,0)</f>
        <v>#N/A</v>
      </c>
      <c r="AJ226" s="115" t="e">
        <f>VLOOKUP($A226,'S47'!$C:$BQ,59,0)</f>
        <v>#N/A</v>
      </c>
      <c r="AK226" s="115" t="e">
        <f>VLOOKUP($A226,'S47'!$C:$BQ,60,0)</f>
        <v>#N/A</v>
      </c>
      <c r="AL226" s="107" t="e">
        <f>VLOOKUP($A226,'S48'!$C:$BQ,32,0)</f>
        <v>#N/A</v>
      </c>
      <c r="AM226" s="107" t="e">
        <f>VLOOKUP($A226,'S48'!$C:$BQ,39,0)</f>
        <v>#N/A</v>
      </c>
      <c r="AN226" s="107" t="e">
        <f>VLOOKUP($A226,'S48'!$C:$BQ,40,0)</f>
        <v>#N/A</v>
      </c>
      <c r="AO226" s="107" t="e">
        <f>VLOOKUP($A226,'S48'!$C:$BQ,22,0)</f>
        <v>#N/A</v>
      </c>
      <c r="AP226" s="115" t="e">
        <f>VLOOKUP($A226,'S48'!$C:$BQ,29,0)</f>
        <v>#N/A</v>
      </c>
      <c r="AQ226" s="115" t="e">
        <f>VLOOKUP($A226,'S48'!$C:$BQ,30,0)</f>
        <v>#N/A</v>
      </c>
      <c r="AR226" s="115" t="e">
        <f>VLOOKUP($A226,'S48'!$C:$BQ,52,0)</f>
        <v>#N/A</v>
      </c>
      <c r="AS226" s="115" t="e">
        <f>VLOOKUP($A226,'S48'!$C:$BQ,59,0)</f>
        <v>#N/A</v>
      </c>
      <c r="AT226" s="115" t="e">
        <f>VLOOKUP($A226,'S48'!$C:$BQ,60,0)</f>
        <v>#N/A</v>
      </c>
      <c r="AU226" s="107" t="e">
        <f>VLOOKUP($A226,'S49'!$C:$BQ,32,0)</f>
        <v>#N/A</v>
      </c>
      <c r="AV226" s="107" t="e">
        <f>VLOOKUP($A226,'S49'!$C:$BQ,39,0)</f>
        <v>#N/A</v>
      </c>
      <c r="AW226" s="107" t="e">
        <f>VLOOKUP($A226,'S49'!$C:$BQ,40,0)</f>
        <v>#N/A</v>
      </c>
      <c r="AX226" s="107" t="e">
        <f>VLOOKUP($A226,'S49'!$C:$BQ,22,0)</f>
        <v>#N/A</v>
      </c>
      <c r="AY226" s="115" t="e">
        <f>VLOOKUP($A226,'S49'!$C:$BQ,29,0)</f>
        <v>#N/A</v>
      </c>
      <c r="AZ226" s="115" t="e">
        <f>VLOOKUP($A226,'S49'!$C:$BQ,30,0)</f>
        <v>#N/A</v>
      </c>
      <c r="BA226" s="115" t="e">
        <f>VLOOKUP($A226,'S49'!$C:$BQ,52,0)</f>
        <v>#N/A</v>
      </c>
      <c r="BB226" s="115" t="e">
        <f>VLOOKUP($A226,'S49'!$C:$BQ,59,0)</f>
        <v>#N/A</v>
      </c>
      <c r="BC226" s="115" t="e">
        <f>VLOOKUP($A226,'S49'!$C:$BQ,60,0)</f>
        <v>#N/A</v>
      </c>
      <c r="BD226" s="107" t="e">
        <f>VLOOKUP($A226,'S50'!$C:$BQ,32,0)</f>
        <v>#N/A</v>
      </c>
      <c r="BE226" s="107" t="e">
        <f>VLOOKUP($A226,'S50'!$C:$BQ,39,0)</f>
        <v>#N/A</v>
      </c>
      <c r="BF226" s="107" t="e">
        <f>VLOOKUP($A226,'S50'!$C:$BQ,40,0)</f>
        <v>#N/A</v>
      </c>
      <c r="BG226" s="107" t="e">
        <f>VLOOKUP($A226,'S50'!$C:$BQ,22,0)</f>
        <v>#N/A</v>
      </c>
      <c r="BH226" s="115" t="e">
        <f>VLOOKUP($A226,'S50'!$C:$BQ,29,0)</f>
        <v>#N/A</v>
      </c>
      <c r="BI226" s="115" t="e">
        <f>VLOOKUP($A226,'S50'!$C:$BQ,30,0)</f>
        <v>#N/A</v>
      </c>
      <c r="BJ226" s="115" t="e">
        <f>VLOOKUP($A226,'S50'!$C:$BQ,52,0)</f>
        <v>#N/A</v>
      </c>
      <c r="BK226" s="115" t="e">
        <f>VLOOKUP($A226,'S50'!$C:$BQ,59,0)</f>
        <v>#N/A</v>
      </c>
      <c r="BL226" s="115" t="e">
        <f>VLOOKUP($A226,'S50'!$C:$BQ,60,0)</f>
        <v>#N/A</v>
      </c>
    </row>
    <row r="227" spans="1:64" x14ac:dyDescent="0.2">
      <c r="A227" s="106" t="s">
        <v>298</v>
      </c>
      <c r="B227" s="107">
        <f>VLOOKUP($A227,'S0 remplacer avec S44'!$C:$BQ,32,0)</f>
        <v>317.35000000000002</v>
      </c>
      <c r="C227" s="107">
        <f>VLOOKUP($A227,'S0 remplacer avec S44'!$C:$BQ,39,0)</f>
        <v>63</v>
      </c>
      <c r="D227" s="107">
        <f>VLOOKUP($A227,'S0 remplacer avec S44'!$C:$BQ,40,0)</f>
        <v>138</v>
      </c>
      <c r="E227" s="107">
        <f>VLOOKUP($A227,'S0 remplacer avec S44'!$C:$BQ,22,0)</f>
        <v>3469.2968850000002</v>
      </c>
      <c r="F227" s="115">
        <f>VLOOKUP($A227,'S0 remplacer avec S44'!$C:$BQ,29,0)</f>
        <v>0</v>
      </c>
      <c r="G227" s="115">
        <f>VLOOKUP($A227,'S0 remplacer avec S44'!$C:$BQ,30,0)</f>
        <v>672</v>
      </c>
      <c r="H227" s="115">
        <f>VLOOKUP($A227,'S0 remplacer avec S44'!$C:$BQ,52,0)</f>
        <v>238.2</v>
      </c>
      <c r="I227" s="115">
        <f>VLOOKUP($A227,'S0 remplacer avec S44'!$C:$BQ,59,0)</f>
        <v>0</v>
      </c>
      <c r="J227" s="115">
        <f>VLOOKUP($A227,'S0 remplacer avec S44'!$C:$BQ,60,0)</f>
        <v>0</v>
      </c>
      <c r="K227" s="107" t="e">
        <f>VLOOKUP($A227,'S45'!$C:$BQ,32,0)</f>
        <v>#N/A</v>
      </c>
      <c r="L227" s="107" t="e">
        <f>VLOOKUP($A227,'S45'!$C:$BQ,39,0)</f>
        <v>#N/A</v>
      </c>
      <c r="M227" s="107" t="e">
        <f>VLOOKUP($A227,'S45'!$C:$BQ,40,0)</f>
        <v>#N/A</v>
      </c>
      <c r="N227" s="107" t="e">
        <f>VLOOKUP($A227,'S45'!$C:$BQ,22,0)</f>
        <v>#N/A</v>
      </c>
      <c r="O227" s="115" t="e">
        <f>VLOOKUP($A227,'S45'!$C:$BQ,29,0)</f>
        <v>#N/A</v>
      </c>
      <c r="P227" s="115" t="e">
        <f>VLOOKUP($A227,'S45'!$C:$BQ,30,0)</f>
        <v>#N/A</v>
      </c>
      <c r="Q227" s="115" t="e">
        <f>VLOOKUP($A227,'S45'!$C:$BQ,52,0)</f>
        <v>#N/A</v>
      </c>
      <c r="R227" s="115" t="e">
        <f>VLOOKUP($A227,'S45'!$C:$BQ,59,0)</f>
        <v>#N/A</v>
      </c>
      <c r="S227" s="115" t="e">
        <f>VLOOKUP($A227,'S45'!$C:$BQ,60,0)</f>
        <v>#N/A</v>
      </c>
      <c r="T227" s="107" t="e">
        <f>VLOOKUP($A227,'S46'!$C:$BQ,32,0)</f>
        <v>#N/A</v>
      </c>
      <c r="U227" s="107" t="e">
        <f>VLOOKUP($A227,'S46'!$C:$BQ,39,0)</f>
        <v>#N/A</v>
      </c>
      <c r="V227" s="107" t="e">
        <f>VLOOKUP($A227,'S46'!$C:$BQ,40,0)</f>
        <v>#N/A</v>
      </c>
      <c r="W227" s="107" t="e">
        <f>VLOOKUP($A227,'S46'!$C:$BQ,22,0)</f>
        <v>#N/A</v>
      </c>
      <c r="X227" s="115" t="e">
        <f>VLOOKUP($A227,'S46'!$C:$BQ,29,0)</f>
        <v>#N/A</v>
      </c>
      <c r="Y227" s="115" t="e">
        <f>VLOOKUP($A227,'S46'!$C:$BQ,30,0)</f>
        <v>#N/A</v>
      </c>
      <c r="Z227" s="115" t="e">
        <f>VLOOKUP($A227,'S46'!$C:$BQ,52,0)</f>
        <v>#N/A</v>
      </c>
      <c r="AA227" s="115" t="e">
        <f>VLOOKUP($A227,'S46'!$C:$BQ,59,0)</f>
        <v>#N/A</v>
      </c>
      <c r="AB227" s="115" t="e">
        <f>VLOOKUP($A227,'S46'!$C:$BQ,60,0)</f>
        <v>#N/A</v>
      </c>
      <c r="AC227" s="107" t="e">
        <f>VLOOKUP($A227,'S47'!$C:$BQ,32,0)</f>
        <v>#N/A</v>
      </c>
      <c r="AD227" s="107" t="e">
        <f>VLOOKUP($A227,'S47'!$C:$BQ,39,0)</f>
        <v>#N/A</v>
      </c>
      <c r="AE227" s="107" t="e">
        <f>VLOOKUP($A227,'S47'!$C:$BQ,40,0)</f>
        <v>#N/A</v>
      </c>
      <c r="AF227" s="107" t="e">
        <f>VLOOKUP($A227,'S47'!$C:$BQ,22,0)</f>
        <v>#N/A</v>
      </c>
      <c r="AG227" s="115" t="e">
        <f>VLOOKUP($A227,'S47'!$C:$BQ,29,0)</f>
        <v>#N/A</v>
      </c>
      <c r="AH227" s="115" t="e">
        <f>VLOOKUP($A227,'S47'!$C:$BQ,30,0)</f>
        <v>#N/A</v>
      </c>
      <c r="AI227" s="115" t="e">
        <f>VLOOKUP($A227,'S47'!$C:$BQ,52,0)</f>
        <v>#N/A</v>
      </c>
      <c r="AJ227" s="115" t="e">
        <f>VLOOKUP($A227,'S47'!$C:$BQ,59,0)</f>
        <v>#N/A</v>
      </c>
      <c r="AK227" s="115" t="e">
        <f>VLOOKUP($A227,'S47'!$C:$BQ,60,0)</f>
        <v>#N/A</v>
      </c>
      <c r="AL227" s="107" t="e">
        <f>VLOOKUP($A227,'S48'!$C:$BQ,32,0)</f>
        <v>#N/A</v>
      </c>
      <c r="AM227" s="107" t="e">
        <f>VLOOKUP($A227,'S48'!$C:$BQ,39,0)</f>
        <v>#N/A</v>
      </c>
      <c r="AN227" s="107" t="e">
        <f>VLOOKUP($A227,'S48'!$C:$BQ,40,0)</f>
        <v>#N/A</v>
      </c>
      <c r="AO227" s="107" t="e">
        <f>VLOOKUP($A227,'S48'!$C:$BQ,22,0)</f>
        <v>#N/A</v>
      </c>
      <c r="AP227" s="115" t="e">
        <f>VLOOKUP($A227,'S48'!$C:$BQ,29,0)</f>
        <v>#N/A</v>
      </c>
      <c r="AQ227" s="115" t="e">
        <f>VLOOKUP($A227,'S48'!$C:$BQ,30,0)</f>
        <v>#N/A</v>
      </c>
      <c r="AR227" s="115" t="e">
        <f>VLOOKUP($A227,'S48'!$C:$BQ,52,0)</f>
        <v>#N/A</v>
      </c>
      <c r="AS227" s="115" t="e">
        <f>VLOOKUP($A227,'S48'!$C:$BQ,59,0)</f>
        <v>#N/A</v>
      </c>
      <c r="AT227" s="115" t="e">
        <f>VLOOKUP($A227,'S48'!$C:$BQ,60,0)</f>
        <v>#N/A</v>
      </c>
      <c r="AU227" s="107" t="e">
        <f>VLOOKUP($A227,'S49'!$C:$BQ,32,0)</f>
        <v>#N/A</v>
      </c>
      <c r="AV227" s="107" t="e">
        <f>VLOOKUP($A227,'S49'!$C:$BQ,39,0)</f>
        <v>#N/A</v>
      </c>
      <c r="AW227" s="107" t="e">
        <f>VLOOKUP($A227,'S49'!$C:$BQ,40,0)</f>
        <v>#N/A</v>
      </c>
      <c r="AX227" s="107" t="e">
        <f>VLOOKUP($A227,'S49'!$C:$BQ,22,0)</f>
        <v>#N/A</v>
      </c>
      <c r="AY227" s="115" t="e">
        <f>VLOOKUP($A227,'S49'!$C:$BQ,29,0)</f>
        <v>#N/A</v>
      </c>
      <c r="AZ227" s="115" t="e">
        <f>VLOOKUP($A227,'S49'!$C:$BQ,30,0)</f>
        <v>#N/A</v>
      </c>
      <c r="BA227" s="115" t="e">
        <f>VLOOKUP($A227,'S49'!$C:$BQ,52,0)</f>
        <v>#N/A</v>
      </c>
      <c r="BB227" s="115" t="e">
        <f>VLOOKUP($A227,'S49'!$C:$BQ,59,0)</f>
        <v>#N/A</v>
      </c>
      <c r="BC227" s="115" t="e">
        <f>VLOOKUP($A227,'S49'!$C:$BQ,60,0)</f>
        <v>#N/A</v>
      </c>
      <c r="BD227" s="107" t="e">
        <f>VLOOKUP($A227,'S50'!$C:$BQ,32,0)</f>
        <v>#N/A</v>
      </c>
      <c r="BE227" s="107" t="e">
        <f>VLOOKUP($A227,'S50'!$C:$BQ,39,0)</f>
        <v>#N/A</v>
      </c>
      <c r="BF227" s="107" t="e">
        <f>VLOOKUP($A227,'S50'!$C:$BQ,40,0)</f>
        <v>#N/A</v>
      </c>
      <c r="BG227" s="107" t="e">
        <f>VLOOKUP($A227,'S50'!$C:$BQ,22,0)</f>
        <v>#N/A</v>
      </c>
      <c r="BH227" s="115" t="e">
        <f>VLOOKUP($A227,'S50'!$C:$BQ,29,0)</f>
        <v>#N/A</v>
      </c>
      <c r="BI227" s="115" t="e">
        <f>VLOOKUP($A227,'S50'!$C:$BQ,30,0)</f>
        <v>#N/A</v>
      </c>
      <c r="BJ227" s="115" t="e">
        <f>VLOOKUP($A227,'S50'!$C:$BQ,52,0)</f>
        <v>#N/A</v>
      </c>
      <c r="BK227" s="115" t="e">
        <f>VLOOKUP($A227,'S50'!$C:$BQ,59,0)</f>
        <v>#N/A</v>
      </c>
      <c r="BL227" s="115" t="e">
        <f>VLOOKUP($A227,'S50'!$C:$BQ,60,0)</f>
        <v>#N/A</v>
      </c>
    </row>
    <row r="228" spans="1:64" x14ac:dyDescent="0.2">
      <c r="A228" s="106" t="s">
        <v>299</v>
      </c>
      <c r="B228" s="107">
        <f>VLOOKUP($A228,'S0 remplacer avec S44'!$C:$BQ,32,0)</f>
        <v>272.64999999999998</v>
      </c>
      <c r="C228" s="107">
        <f>VLOOKUP($A228,'S0 remplacer avec S44'!$C:$BQ,39,0)</f>
        <v>87</v>
      </c>
      <c r="D228" s="107">
        <f>VLOOKUP($A228,'S0 remplacer avec S44'!$C:$BQ,40,0)</f>
        <v>159</v>
      </c>
      <c r="E228" s="107">
        <f>VLOOKUP($A228,'S0 remplacer avec S44'!$C:$BQ,22,0)</f>
        <v>2874.0169350000001</v>
      </c>
      <c r="F228" s="115">
        <f>VLOOKUP($A228,'S0 remplacer avec S44'!$C:$BQ,29,0)</f>
        <v>395</v>
      </c>
      <c r="G228" s="115">
        <f>VLOOKUP($A228,'S0 remplacer avec S44'!$C:$BQ,30,0)</f>
        <v>1049</v>
      </c>
      <c r="H228" s="115">
        <f>VLOOKUP($A228,'S0 remplacer avec S44'!$C:$BQ,52,0)</f>
        <v>246.6</v>
      </c>
      <c r="I228" s="115">
        <f>VLOOKUP($A228,'S0 remplacer avec S44'!$C:$BQ,59,0)</f>
        <v>0</v>
      </c>
      <c r="J228" s="115">
        <f>VLOOKUP($A228,'S0 remplacer avec S44'!$C:$BQ,60,0)</f>
        <v>0</v>
      </c>
      <c r="K228" s="107" t="e">
        <f>VLOOKUP($A228,'S45'!$C:$BQ,32,0)</f>
        <v>#N/A</v>
      </c>
      <c r="L228" s="107" t="e">
        <f>VLOOKUP($A228,'S45'!$C:$BQ,39,0)</f>
        <v>#N/A</v>
      </c>
      <c r="M228" s="107" t="e">
        <f>VLOOKUP($A228,'S45'!$C:$BQ,40,0)</f>
        <v>#N/A</v>
      </c>
      <c r="N228" s="107" t="e">
        <f>VLOOKUP($A228,'S45'!$C:$BQ,22,0)</f>
        <v>#N/A</v>
      </c>
      <c r="O228" s="115" t="e">
        <f>VLOOKUP($A228,'S45'!$C:$BQ,29,0)</f>
        <v>#N/A</v>
      </c>
      <c r="P228" s="115" t="e">
        <f>VLOOKUP($A228,'S45'!$C:$BQ,30,0)</f>
        <v>#N/A</v>
      </c>
      <c r="Q228" s="115" t="e">
        <f>VLOOKUP($A228,'S45'!$C:$BQ,52,0)</f>
        <v>#N/A</v>
      </c>
      <c r="R228" s="115" t="e">
        <f>VLOOKUP($A228,'S45'!$C:$BQ,59,0)</f>
        <v>#N/A</v>
      </c>
      <c r="S228" s="115" t="e">
        <f>VLOOKUP($A228,'S45'!$C:$BQ,60,0)</f>
        <v>#N/A</v>
      </c>
      <c r="T228" s="107" t="e">
        <f>VLOOKUP($A228,'S46'!$C:$BQ,32,0)</f>
        <v>#N/A</v>
      </c>
      <c r="U228" s="107" t="e">
        <f>VLOOKUP($A228,'S46'!$C:$BQ,39,0)</f>
        <v>#N/A</v>
      </c>
      <c r="V228" s="107" t="e">
        <f>VLOOKUP($A228,'S46'!$C:$BQ,40,0)</f>
        <v>#N/A</v>
      </c>
      <c r="W228" s="107" t="e">
        <f>VLOOKUP($A228,'S46'!$C:$BQ,22,0)</f>
        <v>#N/A</v>
      </c>
      <c r="X228" s="115" t="e">
        <f>VLOOKUP($A228,'S46'!$C:$BQ,29,0)</f>
        <v>#N/A</v>
      </c>
      <c r="Y228" s="115" t="e">
        <f>VLOOKUP($A228,'S46'!$C:$BQ,30,0)</f>
        <v>#N/A</v>
      </c>
      <c r="Z228" s="115" t="e">
        <f>VLOOKUP($A228,'S46'!$C:$BQ,52,0)</f>
        <v>#N/A</v>
      </c>
      <c r="AA228" s="115" t="e">
        <f>VLOOKUP($A228,'S46'!$C:$BQ,59,0)</f>
        <v>#N/A</v>
      </c>
      <c r="AB228" s="115" t="e">
        <f>VLOOKUP($A228,'S46'!$C:$BQ,60,0)</f>
        <v>#N/A</v>
      </c>
      <c r="AC228" s="107" t="e">
        <f>VLOOKUP($A228,'S47'!$C:$BQ,32,0)</f>
        <v>#N/A</v>
      </c>
      <c r="AD228" s="107" t="e">
        <f>VLOOKUP($A228,'S47'!$C:$BQ,39,0)</f>
        <v>#N/A</v>
      </c>
      <c r="AE228" s="107" t="e">
        <f>VLOOKUP($A228,'S47'!$C:$BQ,40,0)</f>
        <v>#N/A</v>
      </c>
      <c r="AF228" s="107" t="e">
        <f>VLOOKUP($A228,'S47'!$C:$BQ,22,0)</f>
        <v>#N/A</v>
      </c>
      <c r="AG228" s="115" t="e">
        <f>VLOOKUP($A228,'S47'!$C:$BQ,29,0)</f>
        <v>#N/A</v>
      </c>
      <c r="AH228" s="115" t="e">
        <f>VLOOKUP($A228,'S47'!$C:$BQ,30,0)</f>
        <v>#N/A</v>
      </c>
      <c r="AI228" s="115" t="e">
        <f>VLOOKUP($A228,'S47'!$C:$BQ,52,0)</f>
        <v>#N/A</v>
      </c>
      <c r="AJ228" s="115" t="e">
        <f>VLOOKUP($A228,'S47'!$C:$BQ,59,0)</f>
        <v>#N/A</v>
      </c>
      <c r="AK228" s="115" t="e">
        <f>VLOOKUP($A228,'S47'!$C:$BQ,60,0)</f>
        <v>#N/A</v>
      </c>
      <c r="AL228" s="107" t="e">
        <f>VLOOKUP($A228,'S48'!$C:$BQ,32,0)</f>
        <v>#N/A</v>
      </c>
      <c r="AM228" s="107" t="e">
        <f>VLOOKUP($A228,'S48'!$C:$BQ,39,0)</f>
        <v>#N/A</v>
      </c>
      <c r="AN228" s="107" t="e">
        <f>VLOOKUP($A228,'S48'!$C:$BQ,40,0)</f>
        <v>#N/A</v>
      </c>
      <c r="AO228" s="107" t="e">
        <f>VLOOKUP($A228,'S48'!$C:$BQ,22,0)</f>
        <v>#N/A</v>
      </c>
      <c r="AP228" s="115" t="e">
        <f>VLOOKUP($A228,'S48'!$C:$BQ,29,0)</f>
        <v>#N/A</v>
      </c>
      <c r="AQ228" s="115" t="e">
        <f>VLOOKUP($A228,'S48'!$C:$BQ,30,0)</f>
        <v>#N/A</v>
      </c>
      <c r="AR228" s="115" t="e">
        <f>VLOOKUP($A228,'S48'!$C:$BQ,52,0)</f>
        <v>#N/A</v>
      </c>
      <c r="AS228" s="115" t="e">
        <f>VLOOKUP($A228,'S48'!$C:$BQ,59,0)</f>
        <v>#N/A</v>
      </c>
      <c r="AT228" s="115" t="e">
        <f>VLOOKUP($A228,'S48'!$C:$BQ,60,0)</f>
        <v>#N/A</v>
      </c>
      <c r="AU228" s="107" t="e">
        <f>VLOOKUP($A228,'S49'!$C:$BQ,32,0)</f>
        <v>#N/A</v>
      </c>
      <c r="AV228" s="107" t="e">
        <f>VLOOKUP($A228,'S49'!$C:$BQ,39,0)</f>
        <v>#N/A</v>
      </c>
      <c r="AW228" s="107" t="e">
        <f>VLOOKUP($A228,'S49'!$C:$BQ,40,0)</f>
        <v>#N/A</v>
      </c>
      <c r="AX228" s="107" t="e">
        <f>VLOOKUP($A228,'S49'!$C:$BQ,22,0)</f>
        <v>#N/A</v>
      </c>
      <c r="AY228" s="115" t="e">
        <f>VLOOKUP($A228,'S49'!$C:$BQ,29,0)</f>
        <v>#N/A</v>
      </c>
      <c r="AZ228" s="115" t="e">
        <f>VLOOKUP($A228,'S49'!$C:$BQ,30,0)</f>
        <v>#N/A</v>
      </c>
      <c r="BA228" s="115" t="e">
        <f>VLOOKUP($A228,'S49'!$C:$BQ,52,0)</f>
        <v>#N/A</v>
      </c>
      <c r="BB228" s="115" t="e">
        <f>VLOOKUP($A228,'S49'!$C:$BQ,59,0)</f>
        <v>#N/A</v>
      </c>
      <c r="BC228" s="115" t="e">
        <f>VLOOKUP($A228,'S49'!$C:$BQ,60,0)</f>
        <v>#N/A</v>
      </c>
      <c r="BD228" s="107" t="e">
        <f>VLOOKUP($A228,'S50'!$C:$BQ,32,0)</f>
        <v>#N/A</v>
      </c>
      <c r="BE228" s="107" t="e">
        <f>VLOOKUP($A228,'S50'!$C:$BQ,39,0)</f>
        <v>#N/A</v>
      </c>
      <c r="BF228" s="107" t="e">
        <f>VLOOKUP($A228,'S50'!$C:$BQ,40,0)</f>
        <v>#N/A</v>
      </c>
      <c r="BG228" s="107" t="e">
        <f>VLOOKUP($A228,'S50'!$C:$BQ,22,0)</f>
        <v>#N/A</v>
      </c>
      <c r="BH228" s="115" t="e">
        <f>VLOOKUP($A228,'S50'!$C:$BQ,29,0)</f>
        <v>#N/A</v>
      </c>
      <c r="BI228" s="115" t="e">
        <f>VLOOKUP($A228,'S50'!$C:$BQ,30,0)</f>
        <v>#N/A</v>
      </c>
      <c r="BJ228" s="115" t="e">
        <f>VLOOKUP($A228,'S50'!$C:$BQ,52,0)</f>
        <v>#N/A</v>
      </c>
      <c r="BK228" s="115" t="e">
        <f>VLOOKUP($A228,'S50'!$C:$BQ,59,0)</f>
        <v>#N/A</v>
      </c>
      <c r="BL228" s="115" t="e">
        <f>VLOOKUP($A228,'S50'!$C:$BQ,60,0)</f>
        <v>#N/A</v>
      </c>
    </row>
    <row r="229" spans="1:64" x14ac:dyDescent="0.2">
      <c r="A229" s="106" t="s">
        <v>301</v>
      </c>
      <c r="B229" s="107">
        <f>VLOOKUP($A229,'S0 remplacer avec S44'!$C:$BQ,32,0)</f>
        <v>161.69999999999999</v>
      </c>
      <c r="C229" s="107">
        <f>VLOOKUP($A229,'S0 remplacer avec S44'!$C:$BQ,39,0)</f>
        <v>0</v>
      </c>
      <c r="D229" s="107">
        <f>VLOOKUP($A229,'S0 remplacer avec S44'!$C:$BQ,40,0)</f>
        <v>24</v>
      </c>
      <c r="E229" s="107">
        <f>VLOOKUP($A229,'S0 remplacer avec S44'!$C:$BQ,22,0)</f>
        <v>1977.1755900000001</v>
      </c>
      <c r="F229" s="115">
        <f>VLOOKUP($A229,'S0 remplacer avec S44'!$C:$BQ,29,0)</f>
        <v>0</v>
      </c>
      <c r="G229" s="115">
        <f>VLOOKUP($A229,'S0 remplacer avec S44'!$C:$BQ,30,0)</f>
        <v>0</v>
      </c>
      <c r="H229" s="115">
        <f>VLOOKUP($A229,'S0 remplacer avec S44'!$C:$BQ,52,0)</f>
        <v>94.6</v>
      </c>
      <c r="I229" s="115">
        <f>VLOOKUP($A229,'S0 remplacer avec S44'!$C:$BQ,59,0)</f>
        <v>0</v>
      </c>
      <c r="J229" s="115">
        <f>VLOOKUP($A229,'S0 remplacer avec S44'!$C:$BQ,60,0)</f>
        <v>0</v>
      </c>
      <c r="K229" s="107" t="e">
        <f>VLOOKUP($A229,'S45'!$C:$BQ,32,0)</f>
        <v>#N/A</v>
      </c>
      <c r="L229" s="107" t="e">
        <f>VLOOKUP($A229,'S45'!$C:$BQ,39,0)</f>
        <v>#N/A</v>
      </c>
      <c r="M229" s="107" t="e">
        <f>VLOOKUP($A229,'S45'!$C:$BQ,40,0)</f>
        <v>#N/A</v>
      </c>
      <c r="N229" s="107" t="e">
        <f>VLOOKUP($A229,'S45'!$C:$BQ,22,0)</f>
        <v>#N/A</v>
      </c>
      <c r="O229" s="115" t="e">
        <f>VLOOKUP($A229,'S45'!$C:$BQ,29,0)</f>
        <v>#N/A</v>
      </c>
      <c r="P229" s="115" t="e">
        <f>VLOOKUP($A229,'S45'!$C:$BQ,30,0)</f>
        <v>#N/A</v>
      </c>
      <c r="Q229" s="115" t="e">
        <f>VLOOKUP($A229,'S45'!$C:$BQ,52,0)</f>
        <v>#N/A</v>
      </c>
      <c r="R229" s="115" t="e">
        <f>VLOOKUP($A229,'S45'!$C:$BQ,59,0)</f>
        <v>#N/A</v>
      </c>
      <c r="S229" s="115" t="e">
        <f>VLOOKUP($A229,'S45'!$C:$BQ,60,0)</f>
        <v>#N/A</v>
      </c>
      <c r="T229" s="107" t="e">
        <f>VLOOKUP($A229,'S46'!$C:$BQ,32,0)</f>
        <v>#N/A</v>
      </c>
      <c r="U229" s="107" t="e">
        <f>VLOOKUP($A229,'S46'!$C:$BQ,39,0)</f>
        <v>#N/A</v>
      </c>
      <c r="V229" s="107" t="e">
        <f>VLOOKUP($A229,'S46'!$C:$BQ,40,0)</f>
        <v>#N/A</v>
      </c>
      <c r="W229" s="107" t="e">
        <f>VLOOKUP($A229,'S46'!$C:$BQ,22,0)</f>
        <v>#N/A</v>
      </c>
      <c r="X229" s="115" t="e">
        <f>VLOOKUP($A229,'S46'!$C:$BQ,29,0)</f>
        <v>#N/A</v>
      </c>
      <c r="Y229" s="115" t="e">
        <f>VLOOKUP($A229,'S46'!$C:$BQ,30,0)</f>
        <v>#N/A</v>
      </c>
      <c r="Z229" s="115" t="e">
        <f>VLOOKUP($A229,'S46'!$C:$BQ,52,0)</f>
        <v>#N/A</v>
      </c>
      <c r="AA229" s="115" t="e">
        <f>VLOOKUP($A229,'S46'!$C:$BQ,59,0)</f>
        <v>#N/A</v>
      </c>
      <c r="AB229" s="115" t="e">
        <f>VLOOKUP($A229,'S46'!$C:$BQ,60,0)</f>
        <v>#N/A</v>
      </c>
      <c r="AC229" s="107" t="e">
        <f>VLOOKUP($A229,'S47'!$C:$BQ,32,0)</f>
        <v>#N/A</v>
      </c>
      <c r="AD229" s="107" t="e">
        <f>VLOOKUP($A229,'S47'!$C:$BQ,39,0)</f>
        <v>#N/A</v>
      </c>
      <c r="AE229" s="107" t="e">
        <f>VLOOKUP($A229,'S47'!$C:$BQ,40,0)</f>
        <v>#N/A</v>
      </c>
      <c r="AF229" s="107" t="e">
        <f>VLOOKUP($A229,'S47'!$C:$BQ,22,0)</f>
        <v>#N/A</v>
      </c>
      <c r="AG229" s="115" t="e">
        <f>VLOOKUP($A229,'S47'!$C:$BQ,29,0)</f>
        <v>#N/A</v>
      </c>
      <c r="AH229" s="115" t="e">
        <f>VLOOKUP($A229,'S47'!$C:$BQ,30,0)</f>
        <v>#N/A</v>
      </c>
      <c r="AI229" s="115" t="e">
        <f>VLOOKUP($A229,'S47'!$C:$BQ,52,0)</f>
        <v>#N/A</v>
      </c>
      <c r="AJ229" s="115" t="e">
        <f>VLOOKUP($A229,'S47'!$C:$BQ,59,0)</f>
        <v>#N/A</v>
      </c>
      <c r="AK229" s="115" t="e">
        <f>VLOOKUP($A229,'S47'!$C:$BQ,60,0)</f>
        <v>#N/A</v>
      </c>
      <c r="AL229" s="107" t="e">
        <f>VLOOKUP($A229,'S48'!$C:$BQ,32,0)</f>
        <v>#N/A</v>
      </c>
      <c r="AM229" s="107" t="e">
        <f>VLOOKUP($A229,'S48'!$C:$BQ,39,0)</f>
        <v>#N/A</v>
      </c>
      <c r="AN229" s="107" t="e">
        <f>VLOOKUP($A229,'S48'!$C:$BQ,40,0)</f>
        <v>#N/A</v>
      </c>
      <c r="AO229" s="107" t="e">
        <f>VLOOKUP($A229,'S48'!$C:$BQ,22,0)</f>
        <v>#N/A</v>
      </c>
      <c r="AP229" s="115" t="e">
        <f>VLOOKUP($A229,'S48'!$C:$BQ,29,0)</f>
        <v>#N/A</v>
      </c>
      <c r="AQ229" s="115" t="e">
        <f>VLOOKUP($A229,'S48'!$C:$BQ,30,0)</f>
        <v>#N/A</v>
      </c>
      <c r="AR229" s="115" t="e">
        <f>VLOOKUP($A229,'S48'!$C:$BQ,52,0)</f>
        <v>#N/A</v>
      </c>
      <c r="AS229" s="115" t="e">
        <f>VLOOKUP($A229,'S48'!$C:$BQ,59,0)</f>
        <v>#N/A</v>
      </c>
      <c r="AT229" s="115" t="e">
        <f>VLOOKUP($A229,'S48'!$C:$BQ,60,0)</f>
        <v>#N/A</v>
      </c>
      <c r="AU229" s="107" t="e">
        <f>VLOOKUP($A229,'S49'!$C:$BQ,32,0)</f>
        <v>#N/A</v>
      </c>
      <c r="AV229" s="107" t="e">
        <f>VLOOKUP($A229,'S49'!$C:$BQ,39,0)</f>
        <v>#N/A</v>
      </c>
      <c r="AW229" s="107" t="e">
        <f>VLOOKUP($A229,'S49'!$C:$BQ,40,0)</f>
        <v>#N/A</v>
      </c>
      <c r="AX229" s="107" t="e">
        <f>VLOOKUP($A229,'S49'!$C:$BQ,22,0)</f>
        <v>#N/A</v>
      </c>
      <c r="AY229" s="115" t="e">
        <f>VLOOKUP($A229,'S49'!$C:$BQ,29,0)</f>
        <v>#N/A</v>
      </c>
      <c r="AZ229" s="115" t="e">
        <f>VLOOKUP($A229,'S49'!$C:$BQ,30,0)</f>
        <v>#N/A</v>
      </c>
      <c r="BA229" s="115" t="e">
        <f>VLOOKUP($A229,'S49'!$C:$BQ,52,0)</f>
        <v>#N/A</v>
      </c>
      <c r="BB229" s="115" t="e">
        <f>VLOOKUP($A229,'S49'!$C:$BQ,59,0)</f>
        <v>#N/A</v>
      </c>
      <c r="BC229" s="115" t="e">
        <f>VLOOKUP($A229,'S49'!$C:$BQ,60,0)</f>
        <v>#N/A</v>
      </c>
      <c r="BD229" s="107" t="e">
        <f>VLOOKUP($A229,'S50'!$C:$BQ,32,0)</f>
        <v>#N/A</v>
      </c>
      <c r="BE229" s="107" t="e">
        <f>VLOOKUP($A229,'S50'!$C:$BQ,39,0)</f>
        <v>#N/A</v>
      </c>
      <c r="BF229" s="107" t="e">
        <f>VLOOKUP($A229,'S50'!$C:$BQ,40,0)</f>
        <v>#N/A</v>
      </c>
      <c r="BG229" s="107" t="e">
        <f>VLOOKUP($A229,'S50'!$C:$BQ,22,0)</f>
        <v>#N/A</v>
      </c>
      <c r="BH229" s="115" t="e">
        <f>VLOOKUP($A229,'S50'!$C:$BQ,29,0)</f>
        <v>#N/A</v>
      </c>
      <c r="BI229" s="115" t="e">
        <f>VLOOKUP($A229,'S50'!$C:$BQ,30,0)</f>
        <v>#N/A</v>
      </c>
      <c r="BJ229" s="115" t="e">
        <f>VLOOKUP($A229,'S50'!$C:$BQ,52,0)</f>
        <v>#N/A</v>
      </c>
      <c r="BK229" s="115" t="e">
        <f>VLOOKUP($A229,'S50'!$C:$BQ,59,0)</f>
        <v>#N/A</v>
      </c>
      <c r="BL229" s="115" t="e">
        <f>VLOOKUP($A229,'S50'!$C:$BQ,60,0)</f>
        <v>#N/A</v>
      </c>
    </row>
    <row r="230" spans="1:64" x14ac:dyDescent="0.2">
      <c r="A230" s="106" t="s">
        <v>302</v>
      </c>
      <c r="B230" s="107">
        <f>VLOOKUP($A230,'S0 remplacer avec S44'!$C:$BQ,32,0)</f>
        <v>187.65</v>
      </c>
      <c r="C230" s="107">
        <f>VLOOKUP($A230,'S0 remplacer avec S44'!$C:$BQ,39,0)</f>
        <v>22</v>
      </c>
      <c r="D230" s="107">
        <f>VLOOKUP($A230,'S0 remplacer avec S44'!$C:$BQ,40,0)</f>
        <v>64</v>
      </c>
      <c r="E230" s="107">
        <f>VLOOKUP($A230,'S0 remplacer avec S44'!$C:$BQ,22,0)</f>
        <v>1976.5462</v>
      </c>
      <c r="F230" s="115">
        <f>VLOOKUP($A230,'S0 remplacer avec S44'!$C:$BQ,29,0)</f>
        <v>0</v>
      </c>
      <c r="G230" s="115">
        <f>VLOOKUP($A230,'S0 remplacer avec S44'!$C:$BQ,30,0)</f>
        <v>311</v>
      </c>
      <c r="H230" s="115">
        <f>VLOOKUP($A230,'S0 remplacer avec S44'!$C:$BQ,52,0)</f>
        <v>156.6</v>
      </c>
      <c r="I230" s="115">
        <f>VLOOKUP($A230,'S0 remplacer avec S44'!$C:$BQ,59,0)</f>
        <v>0</v>
      </c>
      <c r="J230" s="115">
        <f>VLOOKUP($A230,'S0 remplacer avec S44'!$C:$BQ,60,0)</f>
        <v>0</v>
      </c>
      <c r="K230" s="107" t="e">
        <f>VLOOKUP($A230,'S45'!$C:$BQ,32,0)</f>
        <v>#N/A</v>
      </c>
      <c r="L230" s="107" t="e">
        <f>VLOOKUP($A230,'S45'!$C:$BQ,39,0)</f>
        <v>#N/A</v>
      </c>
      <c r="M230" s="107" t="e">
        <f>VLOOKUP($A230,'S45'!$C:$BQ,40,0)</f>
        <v>#N/A</v>
      </c>
      <c r="N230" s="107" t="e">
        <f>VLOOKUP($A230,'S45'!$C:$BQ,22,0)</f>
        <v>#N/A</v>
      </c>
      <c r="O230" s="115" t="e">
        <f>VLOOKUP($A230,'S45'!$C:$BQ,29,0)</f>
        <v>#N/A</v>
      </c>
      <c r="P230" s="115" t="e">
        <f>VLOOKUP($A230,'S45'!$C:$BQ,30,0)</f>
        <v>#N/A</v>
      </c>
      <c r="Q230" s="115" t="e">
        <f>VLOOKUP($A230,'S45'!$C:$BQ,52,0)</f>
        <v>#N/A</v>
      </c>
      <c r="R230" s="115" t="e">
        <f>VLOOKUP($A230,'S45'!$C:$BQ,59,0)</f>
        <v>#N/A</v>
      </c>
      <c r="S230" s="115" t="e">
        <f>VLOOKUP($A230,'S45'!$C:$BQ,60,0)</f>
        <v>#N/A</v>
      </c>
      <c r="T230" s="107" t="e">
        <f>VLOOKUP($A230,'S46'!$C:$BQ,32,0)</f>
        <v>#N/A</v>
      </c>
      <c r="U230" s="107" t="e">
        <f>VLOOKUP($A230,'S46'!$C:$BQ,39,0)</f>
        <v>#N/A</v>
      </c>
      <c r="V230" s="107" t="e">
        <f>VLOOKUP($A230,'S46'!$C:$BQ,40,0)</f>
        <v>#N/A</v>
      </c>
      <c r="W230" s="107" t="e">
        <f>VLOOKUP($A230,'S46'!$C:$BQ,22,0)</f>
        <v>#N/A</v>
      </c>
      <c r="X230" s="115" t="e">
        <f>VLOOKUP($A230,'S46'!$C:$BQ,29,0)</f>
        <v>#N/A</v>
      </c>
      <c r="Y230" s="115" t="e">
        <f>VLOOKUP($A230,'S46'!$C:$BQ,30,0)</f>
        <v>#N/A</v>
      </c>
      <c r="Z230" s="115" t="e">
        <f>VLOOKUP($A230,'S46'!$C:$BQ,52,0)</f>
        <v>#N/A</v>
      </c>
      <c r="AA230" s="115" t="e">
        <f>VLOOKUP($A230,'S46'!$C:$BQ,59,0)</f>
        <v>#N/A</v>
      </c>
      <c r="AB230" s="115" t="e">
        <f>VLOOKUP($A230,'S46'!$C:$BQ,60,0)</f>
        <v>#N/A</v>
      </c>
      <c r="AC230" s="107" t="e">
        <f>VLOOKUP($A230,'S47'!$C:$BQ,32,0)</f>
        <v>#N/A</v>
      </c>
      <c r="AD230" s="107" t="e">
        <f>VLOOKUP($A230,'S47'!$C:$BQ,39,0)</f>
        <v>#N/A</v>
      </c>
      <c r="AE230" s="107" t="e">
        <f>VLOOKUP($A230,'S47'!$C:$BQ,40,0)</f>
        <v>#N/A</v>
      </c>
      <c r="AF230" s="107" t="e">
        <f>VLOOKUP($A230,'S47'!$C:$BQ,22,0)</f>
        <v>#N/A</v>
      </c>
      <c r="AG230" s="115" t="e">
        <f>VLOOKUP($A230,'S47'!$C:$BQ,29,0)</f>
        <v>#N/A</v>
      </c>
      <c r="AH230" s="115" t="e">
        <f>VLOOKUP($A230,'S47'!$C:$BQ,30,0)</f>
        <v>#N/A</v>
      </c>
      <c r="AI230" s="115" t="e">
        <f>VLOOKUP($A230,'S47'!$C:$BQ,52,0)</f>
        <v>#N/A</v>
      </c>
      <c r="AJ230" s="115" t="e">
        <f>VLOOKUP($A230,'S47'!$C:$BQ,59,0)</f>
        <v>#N/A</v>
      </c>
      <c r="AK230" s="115" t="e">
        <f>VLOOKUP($A230,'S47'!$C:$BQ,60,0)</f>
        <v>#N/A</v>
      </c>
      <c r="AL230" s="107" t="e">
        <f>VLOOKUP($A230,'S48'!$C:$BQ,32,0)</f>
        <v>#N/A</v>
      </c>
      <c r="AM230" s="107" t="e">
        <f>VLOOKUP($A230,'S48'!$C:$BQ,39,0)</f>
        <v>#N/A</v>
      </c>
      <c r="AN230" s="107" t="e">
        <f>VLOOKUP($A230,'S48'!$C:$BQ,40,0)</f>
        <v>#N/A</v>
      </c>
      <c r="AO230" s="107" t="e">
        <f>VLOOKUP($A230,'S48'!$C:$BQ,22,0)</f>
        <v>#N/A</v>
      </c>
      <c r="AP230" s="115" t="e">
        <f>VLOOKUP($A230,'S48'!$C:$BQ,29,0)</f>
        <v>#N/A</v>
      </c>
      <c r="AQ230" s="115" t="e">
        <f>VLOOKUP($A230,'S48'!$C:$BQ,30,0)</f>
        <v>#N/A</v>
      </c>
      <c r="AR230" s="115" t="e">
        <f>VLOOKUP($A230,'S48'!$C:$BQ,52,0)</f>
        <v>#N/A</v>
      </c>
      <c r="AS230" s="115" t="e">
        <f>VLOOKUP($A230,'S48'!$C:$BQ,59,0)</f>
        <v>#N/A</v>
      </c>
      <c r="AT230" s="115" t="e">
        <f>VLOOKUP($A230,'S48'!$C:$BQ,60,0)</f>
        <v>#N/A</v>
      </c>
      <c r="AU230" s="107" t="e">
        <f>VLOOKUP($A230,'S49'!$C:$BQ,32,0)</f>
        <v>#N/A</v>
      </c>
      <c r="AV230" s="107" t="e">
        <f>VLOOKUP($A230,'S49'!$C:$BQ,39,0)</f>
        <v>#N/A</v>
      </c>
      <c r="AW230" s="107" t="e">
        <f>VLOOKUP($A230,'S49'!$C:$BQ,40,0)</f>
        <v>#N/A</v>
      </c>
      <c r="AX230" s="107" t="e">
        <f>VLOOKUP($A230,'S49'!$C:$BQ,22,0)</f>
        <v>#N/A</v>
      </c>
      <c r="AY230" s="115" t="e">
        <f>VLOOKUP($A230,'S49'!$C:$BQ,29,0)</f>
        <v>#N/A</v>
      </c>
      <c r="AZ230" s="115" t="e">
        <f>VLOOKUP($A230,'S49'!$C:$BQ,30,0)</f>
        <v>#N/A</v>
      </c>
      <c r="BA230" s="115" t="e">
        <f>VLOOKUP($A230,'S49'!$C:$BQ,52,0)</f>
        <v>#N/A</v>
      </c>
      <c r="BB230" s="115" t="e">
        <f>VLOOKUP($A230,'S49'!$C:$BQ,59,0)</f>
        <v>#N/A</v>
      </c>
      <c r="BC230" s="115" t="e">
        <f>VLOOKUP($A230,'S49'!$C:$BQ,60,0)</f>
        <v>#N/A</v>
      </c>
      <c r="BD230" s="107" t="e">
        <f>VLOOKUP($A230,'S50'!$C:$BQ,32,0)</f>
        <v>#N/A</v>
      </c>
      <c r="BE230" s="107" t="e">
        <f>VLOOKUP($A230,'S50'!$C:$BQ,39,0)</f>
        <v>#N/A</v>
      </c>
      <c r="BF230" s="107" t="e">
        <f>VLOOKUP($A230,'S50'!$C:$BQ,40,0)</f>
        <v>#N/A</v>
      </c>
      <c r="BG230" s="107" t="e">
        <f>VLOOKUP($A230,'S50'!$C:$BQ,22,0)</f>
        <v>#N/A</v>
      </c>
      <c r="BH230" s="115" t="e">
        <f>VLOOKUP($A230,'S50'!$C:$BQ,29,0)</f>
        <v>#N/A</v>
      </c>
      <c r="BI230" s="115" t="e">
        <f>VLOOKUP($A230,'S50'!$C:$BQ,30,0)</f>
        <v>#N/A</v>
      </c>
      <c r="BJ230" s="115" t="e">
        <f>VLOOKUP($A230,'S50'!$C:$BQ,52,0)</f>
        <v>#N/A</v>
      </c>
      <c r="BK230" s="115" t="e">
        <f>VLOOKUP($A230,'S50'!$C:$BQ,59,0)</f>
        <v>#N/A</v>
      </c>
      <c r="BL230" s="115" t="e">
        <f>VLOOKUP($A230,'S50'!$C:$BQ,60,0)</f>
        <v>#N/A</v>
      </c>
    </row>
    <row r="231" spans="1:64" x14ac:dyDescent="0.2">
      <c r="A231" s="106" t="s">
        <v>303</v>
      </c>
      <c r="B231" s="107">
        <f>VLOOKUP($A231,'S0 remplacer avec S44'!$C:$BQ,32,0)</f>
        <v>118.3</v>
      </c>
      <c r="C231" s="107">
        <f>VLOOKUP($A231,'S0 remplacer avec S44'!$C:$BQ,39,0)</f>
        <v>26</v>
      </c>
      <c r="D231" s="107">
        <f>VLOOKUP($A231,'S0 remplacer avec S44'!$C:$BQ,40,0)</f>
        <v>54</v>
      </c>
      <c r="E231" s="107">
        <f>VLOOKUP($A231,'S0 remplacer avec S44'!$C:$BQ,22,0)</f>
        <v>1650.2878949999999</v>
      </c>
      <c r="F231" s="115">
        <f>VLOOKUP($A231,'S0 remplacer avec S44'!$C:$BQ,29,0)</f>
        <v>0</v>
      </c>
      <c r="G231" s="115">
        <f>VLOOKUP($A231,'S0 remplacer avec S44'!$C:$BQ,30,0)</f>
        <v>0</v>
      </c>
      <c r="H231" s="115">
        <f>VLOOKUP($A231,'S0 remplacer avec S44'!$C:$BQ,52,0)</f>
        <v>71.599999999999994</v>
      </c>
      <c r="I231" s="115">
        <f>VLOOKUP($A231,'S0 remplacer avec S44'!$C:$BQ,59,0)</f>
        <v>2</v>
      </c>
      <c r="J231" s="115">
        <f>VLOOKUP($A231,'S0 remplacer avec S44'!$C:$BQ,60,0)</f>
        <v>16</v>
      </c>
      <c r="K231" s="107" t="e">
        <f>VLOOKUP($A231,'S45'!$C:$BQ,32,0)</f>
        <v>#N/A</v>
      </c>
      <c r="L231" s="107" t="e">
        <f>VLOOKUP($A231,'S45'!$C:$BQ,39,0)</f>
        <v>#N/A</v>
      </c>
      <c r="M231" s="107" t="e">
        <f>VLOOKUP($A231,'S45'!$C:$BQ,40,0)</f>
        <v>#N/A</v>
      </c>
      <c r="N231" s="107" t="e">
        <f>VLOOKUP($A231,'S45'!$C:$BQ,22,0)</f>
        <v>#N/A</v>
      </c>
      <c r="O231" s="115" t="e">
        <f>VLOOKUP($A231,'S45'!$C:$BQ,29,0)</f>
        <v>#N/A</v>
      </c>
      <c r="P231" s="115" t="e">
        <f>VLOOKUP($A231,'S45'!$C:$BQ,30,0)</f>
        <v>#N/A</v>
      </c>
      <c r="Q231" s="115" t="e">
        <f>VLOOKUP($A231,'S45'!$C:$BQ,52,0)</f>
        <v>#N/A</v>
      </c>
      <c r="R231" s="115" t="e">
        <f>VLOOKUP($A231,'S45'!$C:$BQ,59,0)</f>
        <v>#N/A</v>
      </c>
      <c r="S231" s="115" t="e">
        <f>VLOOKUP($A231,'S45'!$C:$BQ,60,0)</f>
        <v>#N/A</v>
      </c>
      <c r="T231" s="107" t="e">
        <f>VLOOKUP($A231,'S46'!$C:$BQ,32,0)</f>
        <v>#N/A</v>
      </c>
      <c r="U231" s="107" t="e">
        <f>VLOOKUP($A231,'S46'!$C:$BQ,39,0)</f>
        <v>#N/A</v>
      </c>
      <c r="V231" s="107" t="e">
        <f>VLOOKUP($A231,'S46'!$C:$BQ,40,0)</f>
        <v>#N/A</v>
      </c>
      <c r="W231" s="107" t="e">
        <f>VLOOKUP($A231,'S46'!$C:$BQ,22,0)</f>
        <v>#N/A</v>
      </c>
      <c r="X231" s="115" t="e">
        <f>VLOOKUP($A231,'S46'!$C:$BQ,29,0)</f>
        <v>#N/A</v>
      </c>
      <c r="Y231" s="115" t="e">
        <f>VLOOKUP($A231,'S46'!$C:$BQ,30,0)</f>
        <v>#N/A</v>
      </c>
      <c r="Z231" s="115" t="e">
        <f>VLOOKUP($A231,'S46'!$C:$BQ,52,0)</f>
        <v>#N/A</v>
      </c>
      <c r="AA231" s="115" t="e">
        <f>VLOOKUP($A231,'S46'!$C:$BQ,59,0)</f>
        <v>#N/A</v>
      </c>
      <c r="AB231" s="115" t="e">
        <f>VLOOKUP($A231,'S46'!$C:$BQ,60,0)</f>
        <v>#N/A</v>
      </c>
      <c r="AC231" s="107" t="e">
        <f>VLOOKUP($A231,'S47'!$C:$BQ,32,0)</f>
        <v>#N/A</v>
      </c>
      <c r="AD231" s="107" t="e">
        <f>VLOOKUP($A231,'S47'!$C:$BQ,39,0)</f>
        <v>#N/A</v>
      </c>
      <c r="AE231" s="107" t="e">
        <f>VLOOKUP($A231,'S47'!$C:$BQ,40,0)</f>
        <v>#N/A</v>
      </c>
      <c r="AF231" s="107" t="e">
        <f>VLOOKUP($A231,'S47'!$C:$BQ,22,0)</f>
        <v>#N/A</v>
      </c>
      <c r="AG231" s="115" t="e">
        <f>VLOOKUP($A231,'S47'!$C:$BQ,29,0)</f>
        <v>#N/A</v>
      </c>
      <c r="AH231" s="115" t="e">
        <f>VLOOKUP($A231,'S47'!$C:$BQ,30,0)</f>
        <v>#N/A</v>
      </c>
      <c r="AI231" s="115" t="e">
        <f>VLOOKUP($A231,'S47'!$C:$BQ,52,0)</f>
        <v>#N/A</v>
      </c>
      <c r="AJ231" s="115" t="e">
        <f>VLOOKUP($A231,'S47'!$C:$BQ,59,0)</f>
        <v>#N/A</v>
      </c>
      <c r="AK231" s="115" t="e">
        <f>VLOOKUP($A231,'S47'!$C:$BQ,60,0)</f>
        <v>#N/A</v>
      </c>
      <c r="AL231" s="107" t="e">
        <f>VLOOKUP($A231,'S48'!$C:$BQ,32,0)</f>
        <v>#N/A</v>
      </c>
      <c r="AM231" s="107" t="e">
        <f>VLOOKUP($A231,'S48'!$C:$BQ,39,0)</f>
        <v>#N/A</v>
      </c>
      <c r="AN231" s="107" t="e">
        <f>VLOOKUP($A231,'S48'!$C:$BQ,40,0)</f>
        <v>#N/A</v>
      </c>
      <c r="AO231" s="107" t="e">
        <f>VLOOKUP($A231,'S48'!$C:$BQ,22,0)</f>
        <v>#N/A</v>
      </c>
      <c r="AP231" s="115" t="e">
        <f>VLOOKUP($A231,'S48'!$C:$BQ,29,0)</f>
        <v>#N/A</v>
      </c>
      <c r="AQ231" s="115" t="e">
        <f>VLOOKUP($A231,'S48'!$C:$BQ,30,0)</f>
        <v>#N/A</v>
      </c>
      <c r="AR231" s="115" t="e">
        <f>VLOOKUP($A231,'S48'!$C:$BQ,52,0)</f>
        <v>#N/A</v>
      </c>
      <c r="AS231" s="115" t="e">
        <f>VLOOKUP($A231,'S48'!$C:$BQ,59,0)</f>
        <v>#N/A</v>
      </c>
      <c r="AT231" s="115" t="e">
        <f>VLOOKUP($A231,'S48'!$C:$BQ,60,0)</f>
        <v>#N/A</v>
      </c>
      <c r="AU231" s="107" t="e">
        <f>VLOOKUP($A231,'S49'!$C:$BQ,32,0)</f>
        <v>#N/A</v>
      </c>
      <c r="AV231" s="107" t="e">
        <f>VLOOKUP($A231,'S49'!$C:$BQ,39,0)</f>
        <v>#N/A</v>
      </c>
      <c r="AW231" s="107" t="e">
        <f>VLOOKUP($A231,'S49'!$C:$BQ,40,0)</f>
        <v>#N/A</v>
      </c>
      <c r="AX231" s="107" t="e">
        <f>VLOOKUP($A231,'S49'!$C:$BQ,22,0)</f>
        <v>#N/A</v>
      </c>
      <c r="AY231" s="115" t="e">
        <f>VLOOKUP($A231,'S49'!$C:$BQ,29,0)</f>
        <v>#N/A</v>
      </c>
      <c r="AZ231" s="115" t="e">
        <f>VLOOKUP($A231,'S49'!$C:$BQ,30,0)</f>
        <v>#N/A</v>
      </c>
      <c r="BA231" s="115" t="e">
        <f>VLOOKUP($A231,'S49'!$C:$BQ,52,0)</f>
        <v>#N/A</v>
      </c>
      <c r="BB231" s="115" t="e">
        <f>VLOOKUP($A231,'S49'!$C:$BQ,59,0)</f>
        <v>#N/A</v>
      </c>
      <c r="BC231" s="115" t="e">
        <f>VLOOKUP($A231,'S49'!$C:$BQ,60,0)</f>
        <v>#N/A</v>
      </c>
      <c r="BD231" s="107" t="e">
        <f>VLOOKUP($A231,'S50'!$C:$BQ,32,0)</f>
        <v>#N/A</v>
      </c>
      <c r="BE231" s="107" t="e">
        <f>VLOOKUP($A231,'S50'!$C:$BQ,39,0)</f>
        <v>#N/A</v>
      </c>
      <c r="BF231" s="107" t="e">
        <f>VLOOKUP($A231,'S50'!$C:$BQ,40,0)</f>
        <v>#N/A</v>
      </c>
      <c r="BG231" s="107" t="e">
        <f>VLOOKUP($A231,'S50'!$C:$BQ,22,0)</f>
        <v>#N/A</v>
      </c>
      <c r="BH231" s="115" t="e">
        <f>VLOOKUP($A231,'S50'!$C:$BQ,29,0)</f>
        <v>#N/A</v>
      </c>
      <c r="BI231" s="115" t="e">
        <f>VLOOKUP($A231,'S50'!$C:$BQ,30,0)</f>
        <v>#N/A</v>
      </c>
      <c r="BJ231" s="115" t="e">
        <f>VLOOKUP($A231,'S50'!$C:$BQ,52,0)</f>
        <v>#N/A</v>
      </c>
      <c r="BK231" s="115" t="e">
        <f>VLOOKUP($A231,'S50'!$C:$BQ,59,0)</f>
        <v>#N/A</v>
      </c>
      <c r="BL231" s="115" t="e">
        <f>VLOOKUP($A231,'S50'!$C:$BQ,60,0)</f>
        <v>#N/A</v>
      </c>
    </row>
    <row r="232" spans="1:64" x14ac:dyDescent="0.2">
      <c r="A232" s="106" t="s">
        <v>304</v>
      </c>
      <c r="B232" s="107">
        <f>VLOOKUP($A232,'S0 remplacer avec S44'!$C:$BQ,32,0)</f>
        <v>207.5</v>
      </c>
      <c r="C232" s="107">
        <f>VLOOKUP($A232,'S0 remplacer avec S44'!$C:$BQ,39,0)</f>
        <v>0</v>
      </c>
      <c r="D232" s="107">
        <f>VLOOKUP($A232,'S0 remplacer avec S44'!$C:$BQ,40,0)</f>
        <v>15</v>
      </c>
      <c r="E232" s="107">
        <f>VLOOKUP($A232,'S0 remplacer avec S44'!$C:$BQ,22,0)</f>
        <v>1858.7038700000001</v>
      </c>
      <c r="F232" s="115">
        <f>VLOOKUP($A232,'S0 remplacer avec S44'!$C:$BQ,29,0)</f>
        <v>0</v>
      </c>
      <c r="G232" s="115">
        <f>VLOOKUP($A232,'S0 remplacer avec S44'!$C:$BQ,30,0)</f>
        <v>162</v>
      </c>
      <c r="H232" s="115">
        <f>VLOOKUP($A232,'S0 remplacer avec S44'!$C:$BQ,52,0)</f>
        <v>123.6</v>
      </c>
      <c r="I232" s="115">
        <f>VLOOKUP($A232,'S0 remplacer avec S44'!$C:$BQ,59,0)</f>
        <v>0</v>
      </c>
      <c r="J232" s="115">
        <f>VLOOKUP($A232,'S0 remplacer avec S44'!$C:$BQ,60,0)</f>
        <v>0</v>
      </c>
      <c r="K232" s="107" t="e">
        <f>VLOOKUP($A232,'S45'!$C:$BQ,32,0)</f>
        <v>#N/A</v>
      </c>
      <c r="L232" s="107" t="e">
        <f>VLOOKUP($A232,'S45'!$C:$BQ,39,0)</f>
        <v>#N/A</v>
      </c>
      <c r="M232" s="107" t="e">
        <f>VLOOKUP($A232,'S45'!$C:$BQ,40,0)</f>
        <v>#N/A</v>
      </c>
      <c r="N232" s="107" t="e">
        <f>VLOOKUP($A232,'S45'!$C:$BQ,22,0)</f>
        <v>#N/A</v>
      </c>
      <c r="O232" s="115" t="e">
        <f>VLOOKUP($A232,'S45'!$C:$BQ,29,0)</f>
        <v>#N/A</v>
      </c>
      <c r="P232" s="115" t="e">
        <f>VLOOKUP($A232,'S45'!$C:$BQ,30,0)</f>
        <v>#N/A</v>
      </c>
      <c r="Q232" s="115" t="e">
        <f>VLOOKUP($A232,'S45'!$C:$BQ,52,0)</f>
        <v>#N/A</v>
      </c>
      <c r="R232" s="115" t="e">
        <f>VLOOKUP($A232,'S45'!$C:$BQ,59,0)</f>
        <v>#N/A</v>
      </c>
      <c r="S232" s="115" t="e">
        <f>VLOOKUP($A232,'S45'!$C:$BQ,60,0)</f>
        <v>#N/A</v>
      </c>
      <c r="T232" s="107" t="e">
        <f>VLOOKUP($A232,'S46'!$C:$BQ,32,0)</f>
        <v>#N/A</v>
      </c>
      <c r="U232" s="107" t="e">
        <f>VLOOKUP($A232,'S46'!$C:$BQ,39,0)</f>
        <v>#N/A</v>
      </c>
      <c r="V232" s="107" t="e">
        <f>VLOOKUP($A232,'S46'!$C:$BQ,40,0)</f>
        <v>#N/A</v>
      </c>
      <c r="W232" s="107" t="e">
        <f>VLOOKUP($A232,'S46'!$C:$BQ,22,0)</f>
        <v>#N/A</v>
      </c>
      <c r="X232" s="115" t="e">
        <f>VLOOKUP($A232,'S46'!$C:$BQ,29,0)</f>
        <v>#N/A</v>
      </c>
      <c r="Y232" s="115" t="e">
        <f>VLOOKUP($A232,'S46'!$C:$BQ,30,0)</f>
        <v>#N/A</v>
      </c>
      <c r="Z232" s="115" t="e">
        <f>VLOOKUP($A232,'S46'!$C:$BQ,52,0)</f>
        <v>#N/A</v>
      </c>
      <c r="AA232" s="115" t="e">
        <f>VLOOKUP($A232,'S46'!$C:$BQ,59,0)</f>
        <v>#N/A</v>
      </c>
      <c r="AB232" s="115" t="e">
        <f>VLOOKUP($A232,'S46'!$C:$BQ,60,0)</f>
        <v>#N/A</v>
      </c>
      <c r="AC232" s="107" t="e">
        <f>VLOOKUP($A232,'S47'!$C:$BQ,32,0)</f>
        <v>#N/A</v>
      </c>
      <c r="AD232" s="107" t="e">
        <f>VLOOKUP($A232,'S47'!$C:$BQ,39,0)</f>
        <v>#N/A</v>
      </c>
      <c r="AE232" s="107" t="e">
        <f>VLOOKUP($A232,'S47'!$C:$BQ,40,0)</f>
        <v>#N/A</v>
      </c>
      <c r="AF232" s="107" t="e">
        <f>VLOOKUP($A232,'S47'!$C:$BQ,22,0)</f>
        <v>#N/A</v>
      </c>
      <c r="AG232" s="115" t="e">
        <f>VLOOKUP($A232,'S47'!$C:$BQ,29,0)</f>
        <v>#N/A</v>
      </c>
      <c r="AH232" s="115" t="e">
        <f>VLOOKUP($A232,'S47'!$C:$BQ,30,0)</f>
        <v>#N/A</v>
      </c>
      <c r="AI232" s="115" t="e">
        <f>VLOOKUP($A232,'S47'!$C:$BQ,52,0)</f>
        <v>#N/A</v>
      </c>
      <c r="AJ232" s="115" t="e">
        <f>VLOOKUP($A232,'S47'!$C:$BQ,59,0)</f>
        <v>#N/A</v>
      </c>
      <c r="AK232" s="115" t="e">
        <f>VLOOKUP($A232,'S47'!$C:$BQ,60,0)</f>
        <v>#N/A</v>
      </c>
      <c r="AL232" s="107" t="e">
        <f>VLOOKUP($A232,'S48'!$C:$BQ,32,0)</f>
        <v>#N/A</v>
      </c>
      <c r="AM232" s="107" t="e">
        <f>VLOOKUP($A232,'S48'!$C:$BQ,39,0)</f>
        <v>#N/A</v>
      </c>
      <c r="AN232" s="107" t="e">
        <f>VLOOKUP($A232,'S48'!$C:$BQ,40,0)</f>
        <v>#N/A</v>
      </c>
      <c r="AO232" s="107" t="e">
        <f>VLOOKUP($A232,'S48'!$C:$BQ,22,0)</f>
        <v>#N/A</v>
      </c>
      <c r="AP232" s="115" t="e">
        <f>VLOOKUP($A232,'S48'!$C:$BQ,29,0)</f>
        <v>#N/A</v>
      </c>
      <c r="AQ232" s="115" t="e">
        <f>VLOOKUP($A232,'S48'!$C:$BQ,30,0)</f>
        <v>#N/A</v>
      </c>
      <c r="AR232" s="115" t="e">
        <f>VLOOKUP($A232,'S48'!$C:$BQ,52,0)</f>
        <v>#N/A</v>
      </c>
      <c r="AS232" s="115" t="e">
        <f>VLOOKUP($A232,'S48'!$C:$BQ,59,0)</f>
        <v>#N/A</v>
      </c>
      <c r="AT232" s="115" t="e">
        <f>VLOOKUP($A232,'S48'!$C:$BQ,60,0)</f>
        <v>#N/A</v>
      </c>
      <c r="AU232" s="107" t="e">
        <f>VLOOKUP($A232,'S49'!$C:$BQ,32,0)</f>
        <v>#N/A</v>
      </c>
      <c r="AV232" s="107" t="e">
        <f>VLOOKUP($A232,'S49'!$C:$BQ,39,0)</f>
        <v>#N/A</v>
      </c>
      <c r="AW232" s="107" t="e">
        <f>VLOOKUP($A232,'S49'!$C:$BQ,40,0)</f>
        <v>#N/A</v>
      </c>
      <c r="AX232" s="107" t="e">
        <f>VLOOKUP($A232,'S49'!$C:$BQ,22,0)</f>
        <v>#N/A</v>
      </c>
      <c r="AY232" s="115" t="e">
        <f>VLOOKUP($A232,'S49'!$C:$BQ,29,0)</f>
        <v>#N/A</v>
      </c>
      <c r="AZ232" s="115" t="e">
        <f>VLOOKUP($A232,'S49'!$C:$BQ,30,0)</f>
        <v>#N/A</v>
      </c>
      <c r="BA232" s="115" t="e">
        <f>VLOOKUP($A232,'S49'!$C:$BQ,52,0)</f>
        <v>#N/A</v>
      </c>
      <c r="BB232" s="115" t="e">
        <f>VLOOKUP($A232,'S49'!$C:$BQ,59,0)</f>
        <v>#N/A</v>
      </c>
      <c r="BC232" s="115" t="e">
        <f>VLOOKUP($A232,'S49'!$C:$BQ,60,0)</f>
        <v>#N/A</v>
      </c>
      <c r="BD232" s="107" t="e">
        <f>VLOOKUP($A232,'S50'!$C:$BQ,32,0)</f>
        <v>#N/A</v>
      </c>
      <c r="BE232" s="107" t="e">
        <f>VLOOKUP($A232,'S50'!$C:$BQ,39,0)</f>
        <v>#N/A</v>
      </c>
      <c r="BF232" s="107" t="e">
        <f>VLOOKUP($A232,'S50'!$C:$BQ,40,0)</f>
        <v>#N/A</v>
      </c>
      <c r="BG232" s="107" t="e">
        <f>VLOOKUP($A232,'S50'!$C:$BQ,22,0)</f>
        <v>#N/A</v>
      </c>
      <c r="BH232" s="115" t="e">
        <f>VLOOKUP($A232,'S50'!$C:$BQ,29,0)</f>
        <v>#N/A</v>
      </c>
      <c r="BI232" s="115" t="e">
        <f>VLOOKUP($A232,'S50'!$C:$BQ,30,0)</f>
        <v>#N/A</v>
      </c>
      <c r="BJ232" s="115" t="e">
        <f>VLOOKUP($A232,'S50'!$C:$BQ,52,0)</f>
        <v>#N/A</v>
      </c>
      <c r="BK232" s="115" t="e">
        <f>VLOOKUP($A232,'S50'!$C:$BQ,59,0)</f>
        <v>#N/A</v>
      </c>
      <c r="BL232" s="115" t="e">
        <f>VLOOKUP($A232,'S50'!$C:$BQ,60,0)</f>
        <v>#N/A</v>
      </c>
    </row>
    <row r="233" spans="1:64" x14ac:dyDescent="0.2">
      <c r="A233" s="106" t="s">
        <v>305</v>
      </c>
      <c r="B233" s="107">
        <f>VLOOKUP($A233,'S0 remplacer avec S44'!$C:$BQ,32,0)</f>
        <v>137.6</v>
      </c>
      <c r="C233" s="107">
        <f>VLOOKUP($A233,'S0 remplacer avec S44'!$C:$BQ,39,0)</f>
        <v>67</v>
      </c>
      <c r="D233" s="107">
        <f>VLOOKUP($A233,'S0 remplacer avec S44'!$C:$BQ,40,0)</f>
        <v>108</v>
      </c>
      <c r="E233" s="107">
        <f>VLOOKUP($A233,'S0 remplacer avec S44'!$C:$BQ,22,0)</f>
        <v>1228.955015</v>
      </c>
      <c r="F233" s="115">
        <f>VLOOKUP($A233,'S0 remplacer avec S44'!$C:$BQ,29,0)</f>
        <v>631</v>
      </c>
      <c r="G233" s="115">
        <f>VLOOKUP($A233,'S0 remplacer avec S44'!$C:$BQ,30,0)</f>
        <v>1003</v>
      </c>
      <c r="H233" s="115">
        <f>VLOOKUP($A233,'S0 remplacer avec S44'!$C:$BQ,52,0)</f>
        <v>78</v>
      </c>
      <c r="I233" s="115">
        <f>VLOOKUP($A233,'S0 remplacer avec S44'!$C:$BQ,59,0)</f>
        <v>26</v>
      </c>
      <c r="J233" s="115">
        <f>VLOOKUP($A233,'S0 remplacer avec S44'!$C:$BQ,60,0)</f>
        <v>47</v>
      </c>
      <c r="K233" s="107" t="e">
        <f>VLOOKUP($A233,'S45'!$C:$BQ,32,0)</f>
        <v>#N/A</v>
      </c>
      <c r="L233" s="107" t="e">
        <f>VLOOKUP($A233,'S45'!$C:$BQ,39,0)</f>
        <v>#N/A</v>
      </c>
      <c r="M233" s="107" t="e">
        <f>VLOOKUP($A233,'S45'!$C:$BQ,40,0)</f>
        <v>#N/A</v>
      </c>
      <c r="N233" s="107" t="e">
        <f>VLOOKUP($A233,'S45'!$C:$BQ,22,0)</f>
        <v>#N/A</v>
      </c>
      <c r="O233" s="115" t="e">
        <f>VLOOKUP($A233,'S45'!$C:$BQ,29,0)</f>
        <v>#N/A</v>
      </c>
      <c r="P233" s="115" t="e">
        <f>VLOOKUP($A233,'S45'!$C:$BQ,30,0)</f>
        <v>#N/A</v>
      </c>
      <c r="Q233" s="115" t="e">
        <f>VLOOKUP($A233,'S45'!$C:$BQ,52,0)</f>
        <v>#N/A</v>
      </c>
      <c r="R233" s="115" t="e">
        <f>VLOOKUP($A233,'S45'!$C:$BQ,59,0)</f>
        <v>#N/A</v>
      </c>
      <c r="S233" s="115" t="e">
        <f>VLOOKUP($A233,'S45'!$C:$BQ,60,0)</f>
        <v>#N/A</v>
      </c>
      <c r="T233" s="107" t="e">
        <f>VLOOKUP($A233,'S46'!$C:$BQ,32,0)</f>
        <v>#N/A</v>
      </c>
      <c r="U233" s="107" t="e">
        <f>VLOOKUP($A233,'S46'!$C:$BQ,39,0)</f>
        <v>#N/A</v>
      </c>
      <c r="V233" s="107" t="e">
        <f>VLOOKUP($A233,'S46'!$C:$BQ,40,0)</f>
        <v>#N/A</v>
      </c>
      <c r="W233" s="107" t="e">
        <f>VLOOKUP($A233,'S46'!$C:$BQ,22,0)</f>
        <v>#N/A</v>
      </c>
      <c r="X233" s="115" t="e">
        <f>VLOOKUP($A233,'S46'!$C:$BQ,29,0)</f>
        <v>#N/A</v>
      </c>
      <c r="Y233" s="115" t="e">
        <f>VLOOKUP($A233,'S46'!$C:$BQ,30,0)</f>
        <v>#N/A</v>
      </c>
      <c r="Z233" s="115" t="e">
        <f>VLOOKUP($A233,'S46'!$C:$BQ,52,0)</f>
        <v>#N/A</v>
      </c>
      <c r="AA233" s="115" t="e">
        <f>VLOOKUP($A233,'S46'!$C:$BQ,59,0)</f>
        <v>#N/A</v>
      </c>
      <c r="AB233" s="115" t="e">
        <f>VLOOKUP($A233,'S46'!$C:$BQ,60,0)</f>
        <v>#N/A</v>
      </c>
      <c r="AC233" s="107" t="e">
        <f>VLOOKUP($A233,'S47'!$C:$BQ,32,0)</f>
        <v>#N/A</v>
      </c>
      <c r="AD233" s="107" t="e">
        <f>VLOOKUP($A233,'S47'!$C:$BQ,39,0)</f>
        <v>#N/A</v>
      </c>
      <c r="AE233" s="107" t="e">
        <f>VLOOKUP($A233,'S47'!$C:$BQ,40,0)</f>
        <v>#N/A</v>
      </c>
      <c r="AF233" s="107" t="e">
        <f>VLOOKUP($A233,'S47'!$C:$BQ,22,0)</f>
        <v>#N/A</v>
      </c>
      <c r="AG233" s="115" t="e">
        <f>VLOOKUP($A233,'S47'!$C:$BQ,29,0)</f>
        <v>#N/A</v>
      </c>
      <c r="AH233" s="115" t="e">
        <f>VLOOKUP($A233,'S47'!$C:$BQ,30,0)</f>
        <v>#N/A</v>
      </c>
      <c r="AI233" s="115" t="e">
        <f>VLOOKUP($A233,'S47'!$C:$BQ,52,0)</f>
        <v>#N/A</v>
      </c>
      <c r="AJ233" s="115" t="e">
        <f>VLOOKUP($A233,'S47'!$C:$BQ,59,0)</f>
        <v>#N/A</v>
      </c>
      <c r="AK233" s="115" t="e">
        <f>VLOOKUP($A233,'S47'!$C:$BQ,60,0)</f>
        <v>#N/A</v>
      </c>
      <c r="AL233" s="107" t="e">
        <f>VLOOKUP($A233,'S48'!$C:$BQ,32,0)</f>
        <v>#N/A</v>
      </c>
      <c r="AM233" s="107" t="e">
        <f>VLOOKUP($A233,'S48'!$C:$BQ,39,0)</f>
        <v>#N/A</v>
      </c>
      <c r="AN233" s="107" t="e">
        <f>VLOOKUP($A233,'S48'!$C:$BQ,40,0)</f>
        <v>#N/A</v>
      </c>
      <c r="AO233" s="107" t="e">
        <f>VLOOKUP($A233,'S48'!$C:$BQ,22,0)</f>
        <v>#N/A</v>
      </c>
      <c r="AP233" s="115" t="e">
        <f>VLOOKUP($A233,'S48'!$C:$BQ,29,0)</f>
        <v>#N/A</v>
      </c>
      <c r="AQ233" s="115" t="e">
        <f>VLOOKUP($A233,'S48'!$C:$BQ,30,0)</f>
        <v>#N/A</v>
      </c>
      <c r="AR233" s="115" t="e">
        <f>VLOOKUP($A233,'S48'!$C:$BQ,52,0)</f>
        <v>#N/A</v>
      </c>
      <c r="AS233" s="115" t="e">
        <f>VLOOKUP($A233,'S48'!$C:$BQ,59,0)</f>
        <v>#N/A</v>
      </c>
      <c r="AT233" s="115" t="e">
        <f>VLOOKUP($A233,'S48'!$C:$BQ,60,0)</f>
        <v>#N/A</v>
      </c>
      <c r="AU233" s="107" t="e">
        <f>VLOOKUP($A233,'S49'!$C:$BQ,32,0)</f>
        <v>#N/A</v>
      </c>
      <c r="AV233" s="107" t="e">
        <f>VLOOKUP($A233,'S49'!$C:$BQ,39,0)</f>
        <v>#N/A</v>
      </c>
      <c r="AW233" s="107" t="e">
        <f>VLOOKUP($A233,'S49'!$C:$BQ,40,0)</f>
        <v>#N/A</v>
      </c>
      <c r="AX233" s="107" t="e">
        <f>VLOOKUP($A233,'S49'!$C:$BQ,22,0)</f>
        <v>#N/A</v>
      </c>
      <c r="AY233" s="115" t="e">
        <f>VLOOKUP($A233,'S49'!$C:$BQ,29,0)</f>
        <v>#N/A</v>
      </c>
      <c r="AZ233" s="115" t="e">
        <f>VLOOKUP($A233,'S49'!$C:$BQ,30,0)</f>
        <v>#N/A</v>
      </c>
      <c r="BA233" s="115" t="e">
        <f>VLOOKUP($A233,'S49'!$C:$BQ,52,0)</f>
        <v>#N/A</v>
      </c>
      <c r="BB233" s="115" t="e">
        <f>VLOOKUP($A233,'S49'!$C:$BQ,59,0)</f>
        <v>#N/A</v>
      </c>
      <c r="BC233" s="115" t="e">
        <f>VLOOKUP($A233,'S49'!$C:$BQ,60,0)</f>
        <v>#N/A</v>
      </c>
      <c r="BD233" s="107" t="e">
        <f>VLOOKUP($A233,'S50'!$C:$BQ,32,0)</f>
        <v>#N/A</v>
      </c>
      <c r="BE233" s="107" t="e">
        <f>VLOOKUP($A233,'S50'!$C:$BQ,39,0)</f>
        <v>#N/A</v>
      </c>
      <c r="BF233" s="107" t="e">
        <f>VLOOKUP($A233,'S50'!$C:$BQ,40,0)</f>
        <v>#N/A</v>
      </c>
      <c r="BG233" s="107" t="e">
        <f>VLOOKUP($A233,'S50'!$C:$BQ,22,0)</f>
        <v>#N/A</v>
      </c>
      <c r="BH233" s="115" t="e">
        <f>VLOOKUP($A233,'S50'!$C:$BQ,29,0)</f>
        <v>#N/A</v>
      </c>
      <c r="BI233" s="115" t="e">
        <f>VLOOKUP($A233,'S50'!$C:$BQ,30,0)</f>
        <v>#N/A</v>
      </c>
      <c r="BJ233" s="115" t="e">
        <f>VLOOKUP($A233,'S50'!$C:$BQ,52,0)</f>
        <v>#N/A</v>
      </c>
      <c r="BK233" s="115" t="e">
        <f>VLOOKUP($A233,'S50'!$C:$BQ,59,0)</f>
        <v>#N/A</v>
      </c>
      <c r="BL233" s="115" t="e">
        <f>VLOOKUP($A233,'S50'!$C:$BQ,60,0)</f>
        <v>#N/A</v>
      </c>
    </row>
    <row r="234" spans="1:64" x14ac:dyDescent="0.2">
      <c r="A234" s="106" t="s">
        <v>306</v>
      </c>
      <c r="B234" s="107">
        <f>VLOOKUP($A234,'S0 remplacer avec S44'!$C:$BQ,32,0)</f>
        <v>179.5</v>
      </c>
      <c r="C234" s="107">
        <f>VLOOKUP($A234,'S0 remplacer avec S44'!$C:$BQ,39,0)</f>
        <v>1</v>
      </c>
      <c r="D234" s="107">
        <f>VLOOKUP($A234,'S0 remplacer avec S44'!$C:$BQ,40,0)</f>
        <v>37</v>
      </c>
      <c r="E234" s="107">
        <f>VLOOKUP($A234,'S0 remplacer avec S44'!$C:$BQ,22,0)</f>
        <v>1637.7289499999999</v>
      </c>
      <c r="F234" s="115">
        <f>VLOOKUP($A234,'S0 remplacer avec S44'!$C:$BQ,29,0)</f>
        <v>0</v>
      </c>
      <c r="G234" s="115">
        <f>VLOOKUP($A234,'S0 remplacer avec S44'!$C:$BQ,30,0)</f>
        <v>327</v>
      </c>
      <c r="H234" s="115">
        <f>VLOOKUP($A234,'S0 remplacer avec S44'!$C:$BQ,52,0)</f>
        <v>130.6</v>
      </c>
      <c r="I234" s="115">
        <f>VLOOKUP($A234,'S0 remplacer avec S44'!$C:$BQ,59,0)</f>
        <v>0</v>
      </c>
      <c r="J234" s="115">
        <f>VLOOKUP($A234,'S0 remplacer avec S44'!$C:$BQ,60,0)</f>
        <v>0</v>
      </c>
      <c r="K234" s="107" t="e">
        <f>VLOOKUP($A234,'S45'!$C:$BQ,32,0)</f>
        <v>#N/A</v>
      </c>
      <c r="L234" s="107" t="e">
        <f>VLOOKUP($A234,'S45'!$C:$BQ,39,0)</f>
        <v>#N/A</v>
      </c>
      <c r="M234" s="107" t="e">
        <f>VLOOKUP($A234,'S45'!$C:$BQ,40,0)</f>
        <v>#N/A</v>
      </c>
      <c r="N234" s="107" t="e">
        <f>VLOOKUP($A234,'S45'!$C:$BQ,22,0)</f>
        <v>#N/A</v>
      </c>
      <c r="O234" s="115" t="e">
        <f>VLOOKUP($A234,'S45'!$C:$BQ,29,0)</f>
        <v>#N/A</v>
      </c>
      <c r="P234" s="115" t="e">
        <f>VLOOKUP($A234,'S45'!$C:$BQ,30,0)</f>
        <v>#N/A</v>
      </c>
      <c r="Q234" s="115" t="e">
        <f>VLOOKUP($A234,'S45'!$C:$BQ,52,0)</f>
        <v>#N/A</v>
      </c>
      <c r="R234" s="115" t="e">
        <f>VLOOKUP($A234,'S45'!$C:$BQ,59,0)</f>
        <v>#N/A</v>
      </c>
      <c r="S234" s="115" t="e">
        <f>VLOOKUP($A234,'S45'!$C:$BQ,60,0)</f>
        <v>#N/A</v>
      </c>
      <c r="T234" s="107" t="e">
        <f>VLOOKUP($A234,'S46'!$C:$BQ,32,0)</f>
        <v>#N/A</v>
      </c>
      <c r="U234" s="107" t="e">
        <f>VLOOKUP($A234,'S46'!$C:$BQ,39,0)</f>
        <v>#N/A</v>
      </c>
      <c r="V234" s="107" t="e">
        <f>VLOOKUP($A234,'S46'!$C:$BQ,40,0)</f>
        <v>#N/A</v>
      </c>
      <c r="W234" s="107" t="e">
        <f>VLOOKUP($A234,'S46'!$C:$BQ,22,0)</f>
        <v>#N/A</v>
      </c>
      <c r="X234" s="115" t="e">
        <f>VLOOKUP($A234,'S46'!$C:$BQ,29,0)</f>
        <v>#N/A</v>
      </c>
      <c r="Y234" s="115" t="e">
        <f>VLOOKUP($A234,'S46'!$C:$BQ,30,0)</f>
        <v>#N/A</v>
      </c>
      <c r="Z234" s="115" t="e">
        <f>VLOOKUP($A234,'S46'!$C:$BQ,52,0)</f>
        <v>#N/A</v>
      </c>
      <c r="AA234" s="115" t="e">
        <f>VLOOKUP($A234,'S46'!$C:$BQ,59,0)</f>
        <v>#N/A</v>
      </c>
      <c r="AB234" s="115" t="e">
        <f>VLOOKUP($A234,'S46'!$C:$BQ,60,0)</f>
        <v>#N/A</v>
      </c>
      <c r="AC234" s="107" t="e">
        <f>VLOOKUP($A234,'S47'!$C:$BQ,32,0)</f>
        <v>#N/A</v>
      </c>
      <c r="AD234" s="107" t="e">
        <f>VLOOKUP($A234,'S47'!$C:$BQ,39,0)</f>
        <v>#N/A</v>
      </c>
      <c r="AE234" s="107" t="e">
        <f>VLOOKUP($A234,'S47'!$C:$BQ,40,0)</f>
        <v>#N/A</v>
      </c>
      <c r="AF234" s="107" t="e">
        <f>VLOOKUP($A234,'S47'!$C:$BQ,22,0)</f>
        <v>#N/A</v>
      </c>
      <c r="AG234" s="115" t="e">
        <f>VLOOKUP($A234,'S47'!$C:$BQ,29,0)</f>
        <v>#N/A</v>
      </c>
      <c r="AH234" s="115" t="e">
        <f>VLOOKUP($A234,'S47'!$C:$BQ,30,0)</f>
        <v>#N/A</v>
      </c>
      <c r="AI234" s="115" t="e">
        <f>VLOOKUP($A234,'S47'!$C:$BQ,52,0)</f>
        <v>#N/A</v>
      </c>
      <c r="AJ234" s="115" t="e">
        <f>VLOOKUP($A234,'S47'!$C:$BQ,59,0)</f>
        <v>#N/A</v>
      </c>
      <c r="AK234" s="115" t="e">
        <f>VLOOKUP($A234,'S47'!$C:$BQ,60,0)</f>
        <v>#N/A</v>
      </c>
      <c r="AL234" s="107" t="e">
        <f>VLOOKUP($A234,'S48'!$C:$BQ,32,0)</f>
        <v>#N/A</v>
      </c>
      <c r="AM234" s="107" t="e">
        <f>VLOOKUP($A234,'S48'!$C:$BQ,39,0)</f>
        <v>#N/A</v>
      </c>
      <c r="AN234" s="107" t="e">
        <f>VLOOKUP($A234,'S48'!$C:$BQ,40,0)</f>
        <v>#N/A</v>
      </c>
      <c r="AO234" s="107" t="e">
        <f>VLOOKUP($A234,'S48'!$C:$BQ,22,0)</f>
        <v>#N/A</v>
      </c>
      <c r="AP234" s="115" t="e">
        <f>VLOOKUP($A234,'S48'!$C:$BQ,29,0)</f>
        <v>#N/A</v>
      </c>
      <c r="AQ234" s="115" t="e">
        <f>VLOOKUP($A234,'S48'!$C:$BQ,30,0)</f>
        <v>#N/A</v>
      </c>
      <c r="AR234" s="115" t="e">
        <f>VLOOKUP($A234,'S48'!$C:$BQ,52,0)</f>
        <v>#N/A</v>
      </c>
      <c r="AS234" s="115" t="e">
        <f>VLOOKUP($A234,'S48'!$C:$BQ,59,0)</f>
        <v>#N/A</v>
      </c>
      <c r="AT234" s="115" t="e">
        <f>VLOOKUP($A234,'S48'!$C:$BQ,60,0)</f>
        <v>#N/A</v>
      </c>
      <c r="AU234" s="107" t="e">
        <f>VLOOKUP($A234,'S49'!$C:$BQ,32,0)</f>
        <v>#N/A</v>
      </c>
      <c r="AV234" s="107" t="e">
        <f>VLOOKUP($A234,'S49'!$C:$BQ,39,0)</f>
        <v>#N/A</v>
      </c>
      <c r="AW234" s="107" t="e">
        <f>VLOOKUP($A234,'S49'!$C:$BQ,40,0)</f>
        <v>#N/A</v>
      </c>
      <c r="AX234" s="107" t="e">
        <f>VLOOKUP($A234,'S49'!$C:$BQ,22,0)</f>
        <v>#N/A</v>
      </c>
      <c r="AY234" s="115" t="e">
        <f>VLOOKUP($A234,'S49'!$C:$BQ,29,0)</f>
        <v>#N/A</v>
      </c>
      <c r="AZ234" s="115" t="e">
        <f>VLOOKUP($A234,'S49'!$C:$BQ,30,0)</f>
        <v>#N/A</v>
      </c>
      <c r="BA234" s="115" t="e">
        <f>VLOOKUP($A234,'S49'!$C:$BQ,52,0)</f>
        <v>#N/A</v>
      </c>
      <c r="BB234" s="115" t="e">
        <f>VLOOKUP($A234,'S49'!$C:$BQ,59,0)</f>
        <v>#N/A</v>
      </c>
      <c r="BC234" s="115" t="e">
        <f>VLOOKUP($A234,'S49'!$C:$BQ,60,0)</f>
        <v>#N/A</v>
      </c>
      <c r="BD234" s="107" t="e">
        <f>VLOOKUP($A234,'S50'!$C:$BQ,32,0)</f>
        <v>#N/A</v>
      </c>
      <c r="BE234" s="107" t="e">
        <f>VLOOKUP($A234,'S50'!$C:$BQ,39,0)</f>
        <v>#N/A</v>
      </c>
      <c r="BF234" s="107" t="e">
        <f>VLOOKUP($A234,'S50'!$C:$BQ,40,0)</f>
        <v>#N/A</v>
      </c>
      <c r="BG234" s="107" t="e">
        <f>VLOOKUP($A234,'S50'!$C:$BQ,22,0)</f>
        <v>#N/A</v>
      </c>
      <c r="BH234" s="115" t="e">
        <f>VLOOKUP($A234,'S50'!$C:$BQ,29,0)</f>
        <v>#N/A</v>
      </c>
      <c r="BI234" s="115" t="e">
        <f>VLOOKUP($A234,'S50'!$C:$BQ,30,0)</f>
        <v>#N/A</v>
      </c>
      <c r="BJ234" s="115" t="e">
        <f>VLOOKUP($A234,'S50'!$C:$BQ,52,0)</f>
        <v>#N/A</v>
      </c>
      <c r="BK234" s="115" t="e">
        <f>VLOOKUP($A234,'S50'!$C:$BQ,59,0)</f>
        <v>#N/A</v>
      </c>
      <c r="BL234" s="115" t="e">
        <f>VLOOKUP($A234,'S50'!$C:$BQ,60,0)</f>
        <v>#N/A</v>
      </c>
    </row>
    <row r="235" spans="1:64" x14ac:dyDescent="0.2">
      <c r="A235" s="106" t="s">
        <v>307</v>
      </c>
      <c r="B235" s="107">
        <f>VLOOKUP($A235,'S0 remplacer avec S44'!$C:$BQ,32,0)</f>
        <v>513.79999999999995</v>
      </c>
      <c r="C235" s="107">
        <f>VLOOKUP($A235,'S0 remplacer avec S44'!$C:$BQ,39,0)</f>
        <v>66</v>
      </c>
      <c r="D235" s="107">
        <f>VLOOKUP($A235,'S0 remplacer avec S44'!$C:$BQ,40,0)</f>
        <v>182</v>
      </c>
      <c r="E235" s="107">
        <f>VLOOKUP($A235,'S0 remplacer avec S44'!$C:$BQ,22,0)</f>
        <v>5115.031035</v>
      </c>
      <c r="F235" s="115">
        <f>VLOOKUP($A235,'S0 remplacer avec S44'!$C:$BQ,29,0)</f>
        <v>158</v>
      </c>
      <c r="G235" s="115">
        <f>VLOOKUP($A235,'S0 remplacer avec S44'!$C:$BQ,30,0)</f>
        <v>1212</v>
      </c>
      <c r="H235" s="115">
        <f>VLOOKUP($A235,'S0 remplacer avec S44'!$C:$BQ,52,0)</f>
        <v>352</v>
      </c>
      <c r="I235" s="115">
        <f>VLOOKUP($A235,'S0 remplacer avec S44'!$C:$BQ,59,0)</f>
        <v>0</v>
      </c>
      <c r="J235" s="115">
        <f>VLOOKUP($A235,'S0 remplacer avec S44'!$C:$BQ,60,0)</f>
        <v>2</v>
      </c>
      <c r="K235" s="107" t="e">
        <f>VLOOKUP($A235,'S45'!$C:$BQ,32,0)</f>
        <v>#N/A</v>
      </c>
      <c r="L235" s="107" t="e">
        <f>VLOOKUP($A235,'S45'!$C:$BQ,39,0)</f>
        <v>#N/A</v>
      </c>
      <c r="M235" s="107" t="e">
        <f>VLOOKUP($A235,'S45'!$C:$BQ,40,0)</f>
        <v>#N/A</v>
      </c>
      <c r="N235" s="107" t="e">
        <f>VLOOKUP($A235,'S45'!$C:$BQ,22,0)</f>
        <v>#N/A</v>
      </c>
      <c r="O235" s="115" t="e">
        <f>VLOOKUP($A235,'S45'!$C:$BQ,29,0)</f>
        <v>#N/A</v>
      </c>
      <c r="P235" s="115" t="e">
        <f>VLOOKUP($A235,'S45'!$C:$BQ,30,0)</f>
        <v>#N/A</v>
      </c>
      <c r="Q235" s="115" t="e">
        <f>VLOOKUP($A235,'S45'!$C:$BQ,52,0)</f>
        <v>#N/A</v>
      </c>
      <c r="R235" s="115" t="e">
        <f>VLOOKUP($A235,'S45'!$C:$BQ,59,0)</f>
        <v>#N/A</v>
      </c>
      <c r="S235" s="115" t="e">
        <f>VLOOKUP($A235,'S45'!$C:$BQ,60,0)</f>
        <v>#N/A</v>
      </c>
      <c r="T235" s="107" t="e">
        <f>VLOOKUP($A235,'S46'!$C:$BQ,32,0)</f>
        <v>#N/A</v>
      </c>
      <c r="U235" s="107" t="e">
        <f>VLOOKUP($A235,'S46'!$C:$BQ,39,0)</f>
        <v>#N/A</v>
      </c>
      <c r="V235" s="107" t="e">
        <f>VLOOKUP($A235,'S46'!$C:$BQ,40,0)</f>
        <v>#N/A</v>
      </c>
      <c r="W235" s="107" t="e">
        <f>VLOOKUP($A235,'S46'!$C:$BQ,22,0)</f>
        <v>#N/A</v>
      </c>
      <c r="X235" s="115" t="e">
        <f>VLOOKUP($A235,'S46'!$C:$BQ,29,0)</f>
        <v>#N/A</v>
      </c>
      <c r="Y235" s="115" t="e">
        <f>VLOOKUP($A235,'S46'!$C:$BQ,30,0)</f>
        <v>#N/A</v>
      </c>
      <c r="Z235" s="115" t="e">
        <f>VLOOKUP($A235,'S46'!$C:$BQ,52,0)</f>
        <v>#N/A</v>
      </c>
      <c r="AA235" s="115" t="e">
        <f>VLOOKUP($A235,'S46'!$C:$BQ,59,0)</f>
        <v>#N/A</v>
      </c>
      <c r="AB235" s="115" t="e">
        <f>VLOOKUP($A235,'S46'!$C:$BQ,60,0)</f>
        <v>#N/A</v>
      </c>
      <c r="AC235" s="107" t="e">
        <f>VLOOKUP($A235,'S47'!$C:$BQ,32,0)</f>
        <v>#N/A</v>
      </c>
      <c r="AD235" s="107" t="e">
        <f>VLOOKUP($A235,'S47'!$C:$BQ,39,0)</f>
        <v>#N/A</v>
      </c>
      <c r="AE235" s="107" t="e">
        <f>VLOOKUP($A235,'S47'!$C:$BQ,40,0)</f>
        <v>#N/A</v>
      </c>
      <c r="AF235" s="107" t="e">
        <f>VLOOKUP($A235,'S47'!$C:$BQ,22,0)</f>
        <v>#N/A</v>
      </c>
      <c r="AG235" s="115" t="e">
        <f>VLOOKUP($A235,'S47'!$C:$BQ,29,0)</f>
        <v>#N/A</v>
      </c>
      <c r="AH235" s="115" t="e">
        <f>VLOOKUP($A235,'S47'!$C:$BQ,30,0)</f>
        <v>#N/A</v>
      </c>
      <c r="AI235" s="115" t="e">
        <f>VLOOKUP($A235,'S47'!$C:$BQ,52,0)</f>
        <v>#N/A</v>
      </c>
      <c r="AJ235" s="115" t="e">
        <f>VLOOKUP($A235,'S47'!$C:$BQ,59,0)</f>
        <v>#N/A</v>
      </c>
      <c r="AK235" s="115" t="e">
        <f>VLOOKUP($A235,'S47'!$C:$BQ,60,0)</f>
        <v>#N/A</v>
      </c>
      <c r="AL235" s="107" t="e">
        <f>VLOOKUP($A235,'S48'!$C:$BQ,32,0)</f>
        <v>#N/A</v>
      </c>
      <c r="AM235" s="107" t="e">
        <f>VLOOKUP($A235,'S48'!$C:$BQ,39,0)</f>
        <v>#N/A</v>
      </c>
      <c r="AN235" s="107" t="e">
        <f>VLOOKUP($A235,'S48'!$C:$BQ,40,0)</f>
        <v>#N/A</v>
      </c>
      <c r="AO235" s="107" t="e">
        <f>VLOOKUP($A235,'S48'!$C:$BQ,22,0)</f>
        <v>#N/A</v>
      </c>
      <c r="AP235" s="115" t="e">
        <f>VLOOKUP($A235,'S48'!$C:$BQ,29,0)</f>
        <v>#N/A</v>
      </c>
      <c r="AQ235" s="115" t="e">
        <f>VLOOKUP($A235,'S48'!$C:$BQ,30,0)</f>
        <v>#N/A</v>
      </c>
      <c r="AR235" s="115" t="e">
        <f>VLOOKUP($A235,'S48'!$C:$BQ,52,0)</f>
        <v>#N/A</v>
      </c>
      <c r="AS235" s="115" t="e">
        <f>VLOOKUP($A235,'S48'!$C:$BQ,59,0)</f>
        <v>#N/A</v>
      </c>
      <c r="AT235" s="115" t="e">
        <f>VLOOKUP($A235,'S48'!$C:$BQ,60,0)</f>
        <v>#N/A</v>
      </c>
      <c r="AU235" s="107" t="e">
        <f>VLOOKUP($A235,'S49'!$C:$BQ,32,0)</f>
        <v>#N/A</v>
      </c>
      <c r="AV235" s="107" t="e">
        <f>VLOOKUP($A235,'S49'!$C:$BQ,39,0)</f>
        <v>#N/A</v>
      </c>
      <c r="AW235" s="107" t="e">
        <f>VLOOKUP($A235,'S49'!$C:$BQ,40,0)</f>
        <v>#N/A</v>
      </c>
      <c r="AX235" s="107" t="e">
        <f>VLOOKUP($A235,'S49'!$C:$BQ,22,0)</f>
        <v>#N/A</v>
      </c>
      <c r="AY235" s="115" t="e">
        <f>VLOOKUP($A235,'S49'!$C:$BQ,29,0)</f>
        <v>#N/A</v>
      </c>
      <c r="AZ235" s="115" t="e">
        <f>VLOOKUP($A235,'S49'!$C:$BQ,30,0)</f>
        <v>#N/A</v>
      </c>
      <c r="BA235" s="115" t="e">
        <f>VLOOKUP($A235,'S49'!$C:$BQ,52,0)</f>
        <v>#N/A</v>
      </c>
      <c r="BB235" s="115" t="e">
        <f>VLOOKUP($A235,'S49'!$C:$BQ,59,0)</f>
        <v>#N/A</v>
      </c>
      <c r="BC235" s="115" t="e">
        <f>VLOOKUP($A235,'S49'!$C:$BQ,60,0)</f>
        <v>#N/A</v>
      </c>
      <c r="BD235" s="107" t="e">
        <f>VLOOKUP($A235,'S50'!$C:$BQ,32,0)</f>
        <v>#N/A</v>
      </c>
      <c r="BE235" s="107" t="e">
        <f>VLOOKUP($A235,'S50'!$C:$BQ,39,0)</f>
        <v>#N/A</v>
      </c>
      <c r="BF235" s="107" t="e">
        <f>VLOOKUP($A235,'S50'!$C:$BQ,40,0)</f>
        <v>#N/A</v>
      </c>
      <c r="BG235" s="107" t="e">
        <f>VLOOKUP($A235,'S50'!$C:$BQ,22,0)</f>
        <v>#N/A</v>
      </c>
      <c r="BH235" s="115" t="e">
        <f>VLOOKUP($A235,'S50'!$C:$BQ,29,0)</f>
        <v>#N/A</v>
      </c>
      <c r="BI235" s="115" t="e">
        <f>VLOOKUP($A235,'S50'!$C:$BQ,30,0)</f>
        <v>#N/A</v>
      </c>
      <c r="BJ235" s="115" t="e">
        <f>VLOOKUP($A235,'S50'!$C:$BQ,52,0)</f>
        <v>#N/A</v>
      </c>
      <c r="BK235" s="115" t="e">
        <f>VLOOKUP($A235,'S50'!$C:$BQ,59,0)</f>
        <v>#N/A</v>
      </c>
      <c r="BL235" s="115" t="e">
        <f>VLOOKUP($A235,'S50'!$C:$BQ,60,0)</f>
        <v>#N/A</v>
      </c>
    </row>
    <row r="236" spans="1:64" x14ac:dyDescent="0.2">
      <c r="A236" s="106" t="s">
        <v>308</v>
      </c>
      <c r="B236" s="107">
        <f>VLOOKUP($A236,'S0 remplacer avec S44'!$C:$BQ,32,0)</f>
        <v>86.7</v>
      </c>
      <c r="C236" s="107">
        <f>VLOOKUP($A236,'S0 remplacer avec S44'!$C:$BQ,39,0)</f>
        <v>71</v>
      </c>
      <c r="D236" s="107">
        <f>VLOOKUP($A236,'S0 remplacer avec S44'!$C:$BQ,40,0)</f>
        <v>102</v>
      </c>
      <c r="E236" s="107">
        <f>VLOOKUP($A236,'S0 remplacer avec S44'!$C:$BQ,22,0)</f>
        <v>1624.7276850000001</v>
      </c>
      <c r="F236" s="115">
        <f>VLOOKUP($A236,'S0 remplacer avec S44'!$C:$BQ,29,0)</f>
        <v>0</v>
      </c>
      <c r="G236" s="115">
        <f>VLOOKUP($A236,'S0 remplacer avec S44'!$C:$BQ,30,0)</f>
        <v>91</v>
      </c>
      <c r="H236" s="115">
        <f>VLOOKUP($A236,'S0 remplacer avec S44'!$C:$BQ,52,0)</f>
        <v>87</v>
      </c>
      <c r="I236" s="115">
        <f>VLOOKUP($A236,'S0 remplacer avec S44'!$C:$BQ,59,0)</f>
        <v>0</v>
      </c>
      <c r="J236" s="115">
        <f>VLOOKUP($A236,'S0 remplacer avec S44'!$C:$BQ,60,0)</f>
        <v>9</v>
      </c>
      <c r="K236" s="107" t="e">
        <f>VLOOKUP($A236,'S45'!$C:$BQ,32,0)</f>
        <v>#N/A</v>
      </c>
      <c r="L236" s="107" t="e">
        <f>VLOOKUP($A236,'S45'!$C:$BQ,39,0)</f>
        <v>#N/A</v>
      </c>
      <c r="M236" s="107" t="e">
        <f>VLOOKUP($A236,'S45'!$C:$BQ,40,0)</f>
        <v>#N/A</v>
      </c>
      <c r="N236" s="107" t="e">
        <f>VLOOKUP($A236,'S45'!$C:$BQ,22,0)</f>
        <v>#N/A</v>
      </c>
      <c r="O236" s="115" t="e">
        <f>VLOOKUP($A236,'S45'!$C:$BQ,29,0)</f>
        <v>#N/A</v>
      </c>
      <c r="P236" s="115" t="e">
        <f>VLOOKUP($A236,'S45'!$C:$BQ,30,0)</f>
        <v>#N/A</v>
      </c>
      <c r="Q236" s="115" t="e">
        <f>VLOOKUP($A236,'S45'!$C:$BQ,52,0)</f>
        <v>#N/A</v>
      </c>
      <c r="R236" s="115" t="e">
        <f>VLOOKUP($A236,'S45'!$C:$BQ,59,0)</f>
        <v>#N/A</v>
      </c>
      <c r="S236" s="115" t="e">
        <f>VLOOKUP($A236,'S45'!$C:$BQ,60,0)</f>
        <v>#N/A</v>
      </c>
      <c r="T236" s="107" t="e">
        <f>VLOOKUP($A236,'S46'!$C:$BQ,32,0)</f>
        <v>#N/A</v>
      </c>
      <c r="U236" s="107" t="e">
        <f>VLOOKUP($A236,'S46'!$C:$BQ,39,0)</f>
        <v>#N/A</v>
      </c>
      <c r="V236" s="107" t="e">
        <f>VLOOKUP($A236,'S46'!$C:$BQ,40,0)</f>
        <v>#N/A</v>
      </c>
      <c r="W236" s="107" t="e">
        <f>VLOOKUP($A236,'S46'!$C:$BQ,22,0)</f>
        <v>#N/A</v>
      </c>
      <c r="X236" s="115" t="e">
        <f>VLOOKUP($A236,'S46'!$C:$BQ,29,0)</f>
        <v>#N/A</v>
      </c>
      <c r="Y236" s="115" t="e">
        <f>VLOOKUP($A236,'S46'!$C:$BQ,30,0)</f>
        <v>#N/A</v>
      </c>
      <c r="Z236" s="115" t="e">
        <f>VLOOKUP($A236,'S46'!$C:$BQ,52,0)</f>
        <v>#N/A</v>
      </c>
      <c r="AA236" s="115" t="e">
        <f>VLOOKUP($A236,'S46'!$C:$BQ,59,0)</f>
        <v>#N/A</v>
      </c>
      <c r="AB236" s="115" t="e">
        <f>VLOOKUP($A236,'S46'!$C:$BQ,60,0)</f>
        <v>#N/A</v>
      </c>
      <c r="AC236" s="107" t="e">
        <f>VLOOKUP($A236,'S47'!$C:$BQ,32,0)</f>
        <v>#N/A</v>
      </c>
      <c r="AD236" s="107" t="e">
        <f>VLOOKUP($A236,'S47'!$C:$BQ,39,0)</f>
        <v>#N/A</v>
      </c>
      <c r="AE236" s="107" t="e">
        <f>VLOOKUP($A236,'S47'!$C:$BQ,40,0)</f>
        <v>#N/A</v>
      </c>
      <c r="AF236" s="107" t="e">
        <f>VLOOKUP($A236,'S47'!$C:$BQ,22,0)</f>
        <v>#N/A</v>
      </c>
      <c r="AG236" s="115" t="e">
        <f>VLOOKUP($A236,'S47'!$C:$BQ,29,0)</f>
        <v>#N/A</v>
      </c>
      <c r="AH236" s="115" t="e">
        <f>VLOOKUP($A236,'S47'!$C:$BQ,30,0)</f>
        <v>#N/A</v>
      </c>
      <c r="AI236" s="115" t="e">
        <f>VLOOKUP($A236,'S47'!$C:$BQ,52,0)</f>
        <v>#N/A</v>
      </c>
      <c r="AJ236" s="115" t="e">
        <f>VLOOKUP($A236,'S47'!$C:$BQ,59,0)</f>
        <v>#N/A</v>
      </c>
      <c r="AK236" s="115" t="e">
        <f>VLOOKUP($A236,'S47'!$C:$BQ,60,0)</f>
        <v>#N/A</v>
      </c>
      <c r="AL236" s="107" t="e">
        <f>VLOOKUP($A236,'S48'!$C:$BQ,32,0)</f>
        <v>#N/A</v>
      </c>
      <c r="AM236" s="107" t="e">
        <f>VLOOKUP($A236,'S48'!$C:$BQ,39,0)</f>
        <v>#N/A</v>
      </c>
      <c r="AN236" s="107" t="e">
        <f>VLOOKUP($A236,'S48'!$C:$BQ,40,0)</f>
        <v>#N/A</v>
      </c>
      <c r="AO236" s="107" t="e">
        <f>VLOOKUP($A236,'S48'!$C:$BQ,22,0)</f>
        <v>#N/A</v>
      </c>
      <c r="AP236" s="115" t="e">
        <f>VLOOKUP($A236,'S48'!$C:$BQ,29,0)</f>
        <v>#N/A</v>
      </c>
      <c r="AQ236" s="115" t="e">
        <f>VLOOKUP($A236,'S48'!$C:$BQ,30,0)</f>
        <v>#N/A</v>
      </c>
      <c r="AR236" s="115" t="e">
        <f>VLOOKUP($A236,'S48'!$C:$BQ,52,0)</f>
        <v>#N/A</v>
      </c>
      <c r="AS236" s="115" t="e">
        <f>VLOOKUP($A236,'S48'!$C:$BQ,59,0)</f>
        <v>#N/A</v>
      </c>
      <c r="AT236" s="115" t="e">
        <f>VLOOKUP($A236,'S48'!$C:$BQ,60,0)</f>
        <v>#N/A</v>
      </c>
      <c r="AU236" s="107" t="e">
        <f>VLOOKUP($A236,'S49'!$C:$BQ,32,0)</f>
        <v>#N/A</v>
      </c>
      <c r="AV236" s="107" t="e">
        <f>VLOOKUP($A236,'S49'!$C:$BQ,39,0)</f>
        <v>#N/A</v>
      </c>
      <c r="AW236" s="107" t="e">
        <f>VLOOKUP($A236,'S49'!$C:$BQ,40,0)</f>
        <v>#N/A</v>
      </c>
      <c r="AX236" s="107" t="e">
        <f>VLOOKUP($A236,'S49'!$C:$BQ,22,0)</f>
        <v>#N/A</v>
      </c>
      <c r="AY236" s="115" t="e">
        <f>VLOOKUP($A236,'S49'!$C:$BQ,29,0)</f>
        <v>#N/A</v>
      </c>
      <c r="AZ236" s="115" t="e">
        <f>VLOOKUP($A236,'S49'!$C:$BQ,30,0)</f>
        <v>#N/A</v>
      </c>
      <c r="BA236" s="115" t="e">
        <f>VLOOKUP($A236,'S49'!$C:$BQ,52,0)</f>
        <v>#N/A</v>
      </c>
      <c r="BB236" s="115" t="e">
        <f>VLOOKUP($A236,'S49'!$C:$BQ,59,0)</f>
        <v>#N/A</v>
      </c>
      <c r="BC236" s="115" t="e">
        <f>VLOOKUP($A236,'S49'!$C:$BQ,60,0)</f>
        <v>#N/A</v>
      </c>
      <c r="BD236" s="107" t="e">
        <f>VLOOKUP($A236,'S50'!$C:$BQ,32,0)</f>
        <v>#N/A</v>
      </c>
      <c r="BE236" s="107" t="e">
        <f>VLOOKUP($A236,'S50'!$C:$BQ,39,0)</f>
        <v>#N/A</v>
      </c>
      <c r="BF236" s="107" t="e">
        <f>VLOOKUP($A236,'S50'!$C:$BQ,40,0)</f>
        <v>#N/A</v>
      </c>
      <c r="BG236" s="107" t="e">
        <f>VLOOKUP($A236,'S50'!$C:$BQ,22,0)</f>
        <v>#N/A</v>
      </c>
      <c r="BH236" s="115" t="e">
        <f>VLOOKUP($A236,'S50'!$C:$BQ,29,0)</f>
        <v>#N/A</v>
      </c>
      <c r="BI236" s="115" t="e">
        <f>VLOOKUP($A236,'S50'!$C:$BQ,30,0)</f>
        <v>#N/A</v>
      </c>
      <c r="BJ236" s="115" t="e">
        <f>VLOOKUP($A236,'S50'!$C:$BQ,52,0)</f>
        <v>#N/A</v>
      </c>
      <c r="BK236" s="115" t="e">
        <f>VLOOKUP($A236,'S50'!$C:$BQ,59,0)</f>
        <v>#N/A</v>
      </c>
      <c r="BL236" s="115" t="e">
        <f>VLOOKUP($A236,'S50'!$C:$BQ,60,0)</f>
        <v>#N/A</v>
      </c>
    </row>
    <row r="237" spans="1:64" x14ac:dyDescent="0.2">
      <c r="A237" s="106" t="s">
        <v>309</v>
      </c>
      <c r="B237" s="107">
        <f>VLOOKUP($A237,'S0 remplacer avec S44'!$C:$BQ,32,0)</f>
        <v>96.2</v>
      </c>
      <c r="C237" s="107">
        <f>VLOOKUP($A237,'S0 remplacer avec S44'!$C:$BQ,39,0)</f>
        <v>68</v>
      </c>
      <c r="D237" s="107">
        <f>VLOOKUP($A237,'S0 remplacer avec S44'!$C:$BQ,40,0)</f>
        <v>101</v>
      </c>
      <c r="E237" s="107">
        <f>VLOOKUP($A237,'S0 remplacer avec S44'!$C:$BQ,22,0)</f>
        <v>1076.60023</v>
      </c>
      <c r="F237" s="115">
        <f>VLOOKUP($A237,'S0 remplacer avec S44'!$C:$BQ,29,0)</f>
        <v>414</v>
      </c>
      <c r="G237" s="115">
        <f>VLOOKUP($A237,'S0 remplacer avec S44'!$C:$BQ,30,0)</f>
        <v>712</v>
      </c>
      <c r="H237" s="115">
        <f>VLOOKUP($A237,'S0 remplacer avec S44'!$C:$BQ,52,0)</f>
        <v>72.400000000000006</v>
      </c>
      <c r="I237" s="115">
        <f>VLOOKUP($A237,'S0 remplacer avec S44'!$C:$BQ,59,0)</f>
        <v>11</v>
      </c>
      <c r="J237" s="115">
        <f>VLOOKUP($A237,'S0 remplacer avec S44'!$C:$BQ,60,0)</f>
        <v>28</v>
      </c>
      <c r="K237" s="107" t="e">
        <f>VLOOKUP($A237,'S45'!$C:$BQ,32,0)</f>
        <v>#N/A</v>
      </c>
      <c r="L237" s="107" t="e">
        <f>VLOOKUP($A237,'S45'!$C:$BQ,39,0)</f>
        <v>#N/A</v>
      </c>
      <c r="M237" s="107" t="e">
        <f>VLOOKUP($A237,'S45'!$C:$BQ,40,0)</f>
        <v>#N/A</v>
      </c>
      <c r="N237" s="107" t="e">
        <f>VLOOKUP($A237,'S45'!$C:$BQ,22,0)</f>
        <v>#N/A</v>
      </c>
      <c r="O237" s="115" t="e">
        <f>VLOOKUP($A237,'S45'!$C:$BQ,29,0)</f>
        <v>#N/A</v>
      </c>
      <c r="P237" s="115" t="e">
        <f>VLOOKUP($A237,'S45'!$C:$BQ,30,0)</f>
        <v>#N/A</v>
      </c>
      <c r="Q237" s="115" t="e">
        <f>VLOOKUP($A237,'S45'!$C:$BQ,52,0)</f>
        <v>#N/A</v>
      </c>
      <c r="R237" s="115" t="e">
        <f>VLOOKUP($A237,'S45'!$C:$BQ,59,0)</f>
        <v>#N/A</v>
      </c>
      <c r="S237" s="115" t="e">
        <f>VLOOKUP($A237,'S45'!$C:$BQ,60,0)</f>
        <v>#N/A</v>
      </c>
      <c r="T237" s="107" t="e">
        <f>VLOOKUP($A237,'S46'!$C:$BQ,32,0)</f>
        <v>#N/A</v>
      </c>
      <c r="U237" s="107" t="e">
        <f>VLOOKUP($A237,'S46'!$C:$BQ,39,0)</f>
        <v>#N/A</v>
      </c>
      <c r="V237" s="107" t="e">
        <f>VLOOKUP($A237,'S46'!$C:$BQ,40,0)</f>
        <v>#N/A</v>
      </c>
      <c r="W237" s="107" t="e">
        <f>VLOOKUP($A237,'S46'!$C:$BQ,22,0)</f>
        <v>#N/A</v>
      </c>
      <c r="X237" s="115" t="e">
        <f>VLOOKUP($A237,'S46'!$C:$BQ,29,0)</f>
        <v>#N/A</v>
      </c>
      <c r="Y237" s="115" t="e">
        <f>VLOOKUP($A237,'S46'!$C:$BQ,30,0)</f>
        <v>#N/A</v>
      </c>
      <c r="Z237" s="115" t="e">
        <f>VLOOKUP($A237,'S46'!$C:$BQ,52,0)</f>
        <v>#N/A</v>
      </c>
      <c r="AA237" s="115" t="e">
        <f>VLOOKUP($A237,'S46'!$C:$BQ,59,0)</f>
        <v>#N/A</v>
      </c>
      <c r="AB237" s="115" t="e">
        <f>VLOOKUP($A237,'S46'!$C:$BQ,60,0)</f>
        <v>#N/A</v>
      </c>
      <c r="AC237" s="107" t="e">
        <f>VLOOKUP($A237,'S47'!$C:$BQ,32,0)</f>
        <v>#N/A</v>
      </c>
      <c r="AD237" s="107" t="e">
        <f>VLOOKUP($A237,'S47'!$C:$BQ,39,0)</f>
        <v>#N/A</v>
      </c>
      <c r="AE237" s="107" t="e">
        <f>VLOOKUP($A237,'S47'!$C:$BQ,40,0)</f>
        <v>#N/A</v>
      </c>
      <c r="AF237" s="107" t="e">
        <f>VLOOKUP($A237,'S47'!$C:$BQ,22,0)</f>
        <v>#N/A</v>
      </c>
      <c r="AG237" s="115" t="e">
        <f>VLOOKUP($A237,'S47'!$C:$BQ,29,0)</f>
        <v>#N/A</v>
      </c>
      <c r="AH237" s="115" t="e">
        <f>VLOOKUP($A237,'S47'!$C:$BQ,30,0)</f>
        <v>#N/A</v>
      </c>
      <c r="AI237" s="115" t="e">
        <f>VLOOKUP($A237,'S47'!$C:$BQ,52,0)</f>
        <v>#N/A</v>
      </c>
      <c r="AJ237" s="115" t="e">
        <f>VLOOKUP($A237,'S47'!$C:$BQ,59,0)</f>
        <v>#N/A</v>
      </c>
      <c r="AK237" s="115" t="e">
        <f>VLOOKUP($A237,'S47'!$C:$BQ,60,0)</f>
        <v>#N/A</v>
      </c>
      <c r="AL237" s="107" t="e">
        <f>VLOOKUP($A237,'S48'!$C:$BQ,32,0)</f>
        <v>#N/A</v>
      </c>
      <c r="AM237" s="107" t="e">
        <f>VLOOKUP($A237,'S48'!$C:$BQ,39,0)</f>
        <v>#N/A</v>
      </c>
      <c r="AN237" s="107" t="e">
        <f>VLOOKUP($A237,'S48'!$C:$BQ,40,0)</f>
        <v>#N/A</v>
      </c>
      <c r="AO237" s="107" t="e">
        <f>VLOOKUP($A237,'S48'!$C:$BQ,22,0)</f>
        <v>#N/A</v>
      </c>
      <c r="AP237" s="115" t="e">
        <f>VLOOKUP($A237,'S48'!$C:$BQ,29,0)</f>
        <v>#N/A</v>
      </c>
      <c r="AQ237" s="115" t="e">
        <f>VLOOKUP($A237,'S48'!$C:$BQ,30,0)</f>
        <v>#N/A</v>
      </c>
      <c r="AR237" s="115" t="e">
        <f>VLOOKUP($A237,'S48'!$C:$BQ,52,0)</f>
        <v>#N/A</v>
      </c>
      <c r="AS237" s="115" t="e">
        <f>VLOOKUP($A237,'S48'!$C:$BQ,59,0)</f>
        <v>#N/A</v>
      </c>
      <c r="AT237" s="115" t="e">
        <f>VLOOKUP($A237,'S48'!$C:$BQ,60,0)</f>
        <v>#N/A</v>
      </c>
      <c r="AU237" s="107" t="e">
        <f>VLOOKUP($A237,'S49'!$C:$BQ,32,0)</f>
        <v>#N/A</v>
      </c>
      <c r="AV237" s="107" t="e">
        <f>VLOOKUP($A237,'S49'!$C:$BQ,39,0)</f>
        <v>#N/A</v>
      </c>
      <c r="AW237" s="107" t="e">
        <f>VLOOKUP($A237,'S49'!$C:$BQ,40,0)</f>
        <v>#N/A</v>
      </c>
      <c r="AX237" s="107" t="e">
        <f>VLOOKUP($A237,'S49'!$C:$BQ,22,0)</f>
        <v>#N/A</v>
      </c>
      <c r="AY237" s="115" t="e">
        <f>VLOOKUP($A237,'S49'!$C:$BQ,29,0)</f>
        <v>#N/A</v>
      </c>
      <c r="AZ237" s="115" t="e">
        <f>VLOOKUP($A237,'S49'!$C:$BQ,30,0)</f>
        <v>#N/A</v>
      </c>
      <c r="BA237" s="115" t="e">
        <f>VLOOKUP($A237,'S49'!$C:$BQ,52,0)</f>
        <v>#N/A</v>
      </c>
      <c r="BB237" s="115" t="e">
        <f>VLOOKUP($A237,'S49'!$C:$BQ,59,0)</f>
        <v>#N/A</v>
      </c>
      <c r="BC237" s="115" t="e">
        <f>VLOOKUP($A237,'S49'!$C:$BQ,60,0)</f>
        <v>#N/A</v>
      </c>
      <c r="BD237" s="107" t="e">
        <f>VLOOKUP($A237,'S50'!$C:$BQ,32,0)</f>
        <v>#N/A</v>
      </c>
      <c r="BE237" s="107" t="e">
        <f>VLOOKUP($A237,'S50'!$C:$BQ,39,0)</f>
        <v>#N/A</v>
      </c>
      <c r="BF237" s="107" t="e">
        <f>VLOOKUP($A237,'S50'!$C:$BQ,40,0)</f>
        <v>#N/A</v>
      </c>
      <c r="BG237" s="107" t="e">
        <f>VLOOKUP($A237,'S50'!$C:$BQ,22,0)</f>
        <v>#N/A</v>
      </c>
      <c r="BH237" s="115" t="e">
        <f>VLOOKUP($A237,'S50'!$C:$BQ,29,0)</f>
        <v>#N/A</v>
      </c>
      <c r="BI237" s="115" t="e">
        <f>VLOOKUP($A237,'S50'!$C:$BQ,30,0)</f>
        <v>#N/A</v>
      </c>
      <c r="BJ237" s="115" t="e">
        <f>VLOOKUP($A237,'S50'!$C:$BQ,52,0)</f>
        <v>#N/A</v>
      </c>
      <c r="BK237" s="115" t="e">
        <f>VLOOKUP($A237,'S50'!$C:$BQ,59,0)</f>
        <v>#N/A</v>
      </c>
      <c r="BL237" s="115" t="e">
        <f>VLOOKUP($A237,'S50'!$C:$BQ,60,0)</f>
        <v>#N/A</v>
      </c>
    </row>
    <row r="238" spans="1:64" x14ac:dyDescent="0.2">
      <c r="A238" s="106" t="s">
        <v>310</v>
      </c>
      <c r="B238" s="107">
        <f>VLOOKUP($A238,'S0 remplacer avec S44'!$C:$BQ,32,0)</f>
        <v>204.2</v>
      </c>
      <c r="C238" s="107">
        <f>VLOOKUP($A238,'S0 remplacer avec S44'!$C:$BQ,39,0)</f>
        <v>8</v>
      </c>
      <c r="D238" s="107">
        <f>VLOOKUP($A238,'S0 remplacer avec S44'!$C:$BQ,40,0)</f>
        <v>51</v>
      </c>
      <c r="E238" s="107">
        <f>VLOOKUP($A238,'S0 remplacer avec S44'!$C:$BQ,22,0)</f>
        <v>1682.533825</v>
      </c>
      <c r="F238" s="115">
        <f>VLOOKUP($A238,'S0 remplacer avec S44'!$C:$BQ,29,0)</f>
        <v>245</v>
      </c>
      <c r="G238" s="115">
        <f>VLOOKUP($A238,'S0 remplacer avec S44'!$C:$BQ,30,0)</f>
        <v>631</v>
      </c>
      <c r="H238" s="115">
        <f>VLOOKUP($A238,'S0 remplacer avec S44'!$C:$BQ,52,0)</f>
        <v>138</v>
      </c>
      <c r="I238" s="115">
        <f>VLOOKUP($A238,'S0 remplacer avec S44'!$C:$BQ,59,0)</f>
        <v>0</v>
      </c>
      <c r="J238" s="115">
        <f>VLOOKUP($A238,'S0 remplacer avec S44'!$C:$BQ,60,0)</f>
        <v>0</v>
      </c>
      <c r="K238" s="107" t="e">
        <f>VLOOKUP($A238,'S45'!$C:$BQ,32,0)</f>
        <v>#N/A</v>
      </c>
      <c r="L238" s="107" t="e">
        <f>VLOOKUP($A238,'S45'!$C:$BQ,39,0)</f>
        <v>#N/A</v>
      </c>
      <c r="M238" s="107" t="e">
        <f>VLOOKUP($A238,'S45'!$C:$BQ,40,0)</f>
        <v>#N/A</v>
      </c>
      <c r="N238" s="107" t="e">
        <f>VLOOKUP($A238,'S45'!$C:$BQ,22,0)</f>
        <v>#N/A</v>
      </c>
      <c r="O238" s="115" t="e">
        <f>VLOOKUP($A238,'S45'!$C:$BQ,29,0)</f>
        <v>#N/A</v>
      </c>
      <c r="P238" s="115" t="e">
        <f>VLOOKUP($A238,'S45'!$C:$BQ,30,0)</f>
        <v>#N/A</v>
      </c>
      <c r="Q238" s="115" t="e">
        <f>VLOOKUP($A238,'S45'!$C:$BQ,52,0)</f>
        <v>#N/A</v>
      </c>
      <c r="R238" s="115" t="e">
        <f>VLOOKUP($A238,'S45'!$C:$BQ,59,0)</f>
        <v>#N/A</v>
      </c>
      <c r="S238" s="115" t="e">
        <f>VLOOKUP($A238,'S45'!$C:$BQ,60,0)</f>
        <v>#N/A</v>
      </c>
      <c r="T238" s="107" t="e">
        <f>VLOOKUP($A238,'S46'!$C:$BQ,32,0)</f>
        <v>#N/A</v>
      </c>
      <c r="U238" s="107" t="e">
        <f>VLOOKUP($A238,'S46'!$C:$BQ,39,0)</f>
        <v>#N/A</v>
      </c>
      <c r="V238" s="107" t="e">
        <f>VLOOKUP($A238,'S46'!$C:$BQ,40,0)</f>
        <v>#N/A</v>
      </c>
      <c r="W238" s="107" t="e">
        <f>VLOOKUP($A238,'S46'!$C:$BQ,22,0)</f>
        <v>#N/A</v>
      </c>
      <c r="X238" s="115" t="e">
        <f>VLOOKUP($A238,'S46'!$C:$BQ,29,0)</f>
        <v>#N/A</v>
      </c>
      <c r="Y238" s="115" t="e">
        <f>VLOOKUP($A238,'S46'!$C:$BQ,30,0)</f>
        <v>#N/A</v>
      </c>
      <c r="Z238" s="115" t="e">
        <f>VLOOKUP($A238,'S46'!$C:$BQ,52,0)</f>
        <v>#N/A</v>
      </c>
      <c r="AA238" s="115" t="e">
        <f>VLOOKUP($A238,'S46'!$C:$BQ,59,0)</f>
        <v>#N/A</v>
      </c>
      <c r="AB238" s="115" t="e">
        <f>VLOOKUP($A238,'S46'!$C:$BQ,60,0)</f>
        <v>#N/A</v>
      </c>
      <c r="AC238" s="107" t="e">
        <f>VLOOKUP($A238,'S47'!$C:$BQ,32,0)</f>
        <v>#N/A</v>
      </c>
      <c r="AD238" s="107" t="e">
        <f>VLOOKUP($A238,'S47'!$C:$BQ,39,0)</f>
        <v>#N/A</v>
      </c>
      <c r="AE238" s="107" t="e">
        <f>VLOOKUP($A238,'S47'!$C:$BQ,40,0)</f>
        <v>#N/A</v>
      </c>
      <c r="AF238" s="107" t="e">
        <f>VLOOKUP($A238,'S47'!$C:$BQ,22,0)</f>
        <v>#N/A</v>
      </c>
      <c r="AG238" s="115" t="e">
        <f>VLOOKUP($A238,'S47'!$C:$BQ,29,0)</f>
        <v>#N/A</v>
      </c>
      <c r="AH238" s="115" t="e">
        <f>VLOOKUP($A238,'S47'!$C:$BQ,30,0)</f>
        <v>#N/A</v>
      </c>
      <c r="AI238" s="115" t="e">
        <f>VLOOKUP($A238,'S47'!$C:$BQ,52,0)</f>
        <v>#N/A</v>
      </c>
      <c r="AJ238" s="115" t="e">
        <f>VLOOKUP($A238,'S47'!$C:$BQ,59,0)</f>
        <v>#N/A</v>
      </c>
      <c r="AK238" s="115" t="e">
        <f>VLOOKUP($A238,'S47'!$C:$BQ,60,0)</f>
        <v>#N/A</v>
      </c>
      <c r="AL238" s="107" t="e">
        <f>VLOOKUP($A238,'S48'!$C:$BQ,32,0)</f>
        <v>#N/A</v>
      </c>
      <c r="AM238" s="107" t="e">
        <f>VLOOKUP($A238,'S48'!$C:$BQ,39,0)</f>
        <v>#N/A</v>
      </c>
      <c r="AN238" s="107" t="e">
        <f>VLOOKUP($A238,'S48'!$C:$BQ,40,0)</f>
        <v>#N/A</v>
      </c>
      <c r="AO238" s="107" t="e">
        <f>VLOOKUP($A238,'S48'!$C:$BQ,22,0)</f>
        <v>#N/A</v>
      </c>
      <c r="AP238" s="115" t="e">
        <f>VLOOKUP($A238,'S48'!$C:$BQ,29,0)</f>
        <v>#N/A</v>
      </c>
      <c r="AQ238" s="115" t="e">
        <f>VLOOKUP($A238,'S48'!$C:$BQ,30,0)</f>
        <v>#N/A</v>
      </c>
      <c r="AR238" s="115" t="e">
        <f>VLOOKUP($A238,'S48'!$C:$BQ,52,0)</f>
        <v>#N/A</v>
      </c>
      <c r="AS238" s="115" t="e">
        <f>VLOOKUP($A238,'S48'!$C:$BQ,59,0)</f>
        <v>#N/A</v>
      </c>
      <c r="AT238" s="115" t="e">
        <f>VLOOKUP($A238,'S48'!$C:$BQ,60,0)</f>
        <v>#N/A</v>
      </c>
      <c r="AU238" s="107" t="e">
        <f>VLOOKUP($A238,'S49'!$C:$BQ,32,0)</f>
        <v>#N/A</v>
      </c>
      <c r="AV238" s="107" t="e">
        <f>VLOOKUP($A238,'S49'!$C:$BQ,39,0)</f>
        <v>#N/A</v>
      </c>
      <c r="AW238" s="107" t="e">
        <f>VLOOKUP($A238,'S49'!$C:$BQ,40,0)</f>
        <v>#N/A</v>
      </c>
      <c r="AX238" s="107" t="e">
        <f>VLOOKUP($A238,'S49'!$C:$BQ,22,0)</f>
        <v>#N/A</v>
      </c>
      <c r="AY238" s="115" t="e">
        <f>VLOOKUP($A238,'S49'!$C:$BQ,29,0)</f>
        <v>#N/A</v>
      </c>
      <c r="AZ238" s="115" t="e">
        <f>VLOOKUP($A238,'S49'!$C:$BQ,30,0)</f>
        <v>#N/A</v>
      </c>
      <c r="BA238" s="115" t="e">
        <f>VLOOKUP($A238,'S49'!$C:$BQ,52,0)</f>
        <v>#N/A</v>
      </c>
      <c r="BB238" s="115" t="e">
        <f>VLOOKUP($A238,'S49'!$C:$BQ,59,0)</f>
        <v>#N/A</v>
      </c>
      <c r="BC238" s="115" t="e">
        <f>VLOOKUP($A238,'S49'!$C:$BQ,60,0)</f>
        <v>#N/A</v>
      </c>
      <c r="BD238" s="107" t="e">
        <f>VLOOKUP($A238,'S50'!$C:$BQ,32,0)</f>
        <v>#N/A</v>
      </c>
      <c r="BE238" s="107" t="e">
        <f>VLOOKUP($A238,'S50'!$C:$BQ,39,0)</f>
        <v>#N/A</v>
      </c>
      <c r="BF238" s="107" t="e">
        <f>VLOOKUP($A238,'S50'!$C:$BQ,40,0)</f>
        <v>#N/A</v>
      </c>
      <c r="BG238" s="107" t="e">
        <f>VLOOKUP($A238,'S50'!$C:$BQ,22,0)</f>
        <v>#N/A</v>
      </c>
      <c r="BH238" s="115" t="e">
        <f>VLOOKUP($A238,'S50'!$C:$BQ,29,0)</f>
        <v>#N/A</v>
      </c>
      <c r="BI238" s="115" t="e">
        <f>VLOOKUP($A238,'S50'!$C:$BQ,30,0)</f>
        <v>#N/A</v>
      </c>
      <c r="BJ238" s="115" t="e">
        <f>VLOOKUP($A238,'S50'!$C:$BQ,52,0)</f>
        <v>#N/A</v>
      </c>
      <c r="BK238" s="115" t="e">
        <f>VLOOKUP($A238,'S50'!$C:$BQ,59,0)</f>
        <v>#N/A</v>
      </c>
      <c r="BL238" s="115" t="e">
        <f>VLOOKUP($A238,'S50'!$C:$BQ,60,0)</f>
        <v>#N/A</v>
      </c>
    </row>
    <row r="239" spans="1:64" x14ac:dyDescent="0.2">
      <c r="A239" s="106" t="s">
        <v>311</v>
      </c>
      <c r="B239" s="107">
        <f>VLOOKUP($A239,'S0 remplacer avec S44'!$C:$BQ,32,0)</f>
        <v>148.19999999999999</v>
      </c>
      <c r="C239" s="107">
        <f>VLOOKUP($A239,'S0 remplacer avec S44'!$C:$BQ,39,0)</f>
        <v>0</v>
      </c>
      <c r="D239" s="107">
        <f>VLOOKUP($A239,'S0 remplacer avec S44'!$C:$BQ,40,0)</f>
        <v>28</v>
      </c>
      <c r="E239" s="107">
        <f>VLOOKUP($A239,'S0 remplacer avec S44'!$C:$BQ,22,0)</f>
        <v>1259.077685</v>
      </c>
      <c r="F239" s="115">
        <f>VLOOKUP($A239,'S0 remplacer avec S44'!$C:$BQ,29,0)</f>
        <v>69</v>
      </c>
      <c r="G239" s="115">
        <f>VLOOKUP($A239,'S0 remplacer avec S44'!$C:$BQ,30,0)</f>
        <v>335</v>
      </c>
      <c r="H239" s="115">
        <f>VLOOKUP($A239,'S0 remplacer avec S44'!$C:$BQ,52,0)</f>
        <v>108.2</v>
      </c>
      <c r="I239" s="115">
        <f>VLOOKUP($A239,'S0 remplacer avec S44'!$C:$BQ,59,0)</f>
        <v>0</v>
      </c>
      <c r="J239" s="115">
        <f>VLOOKUP($A239,'S0 remplacer avec S44'!$C:$BQ,60,0)</f>
        <v>0</v>
      </c>
      <c r="K239" s="107" t="e">
        <f>VLOOKUP($A239,'S45'!$C:$BQ,32,0)</f>
        <v>#N/A</v>
      </c>
      <c r="L239" s="107" t="e">
        <f>VLOOKUP($A239,'S45'!$C:$BQ,39,0)</f>
        <v>#N/A</v>
      </c>
      <c r="M239" s="107" t="e">
        <f>VLOOKUP($A239,'S45'!$C:$BQ,40,0)</f>
        <v>#N/A</v>
      </c>
      <c r="N239" s="107" t="e">
        <f>VLOOKUP($A239,'S45'!$C:$BQ,22,0)</f>
        <v>#N/A</v>
      </c>
      <c r="O239" s="115" t="e">
        <f>VLOOKUP($A239,'S45'!$C:$BQ,29,0)</f>
        <v>#N/A</v>
      </c>
      <c r="P239" s="115" t="e">
        <f>VLOOKUP($A239,'S45'!$C:$BQ,30,0)</f>
        <v>#N/A</v>
      </c>
      <c r="Q239" s="115" t="e">
        <f>VLOOKUP($A239,'S45'!$C:$BQ,52,0)</f>
        <v>#N/A</v>
      </c>
      <c r="R239" s="115" t="e">
        <f>VLOOKUP($A239,'S45'!$C:$BQ,59,0)</f>
        <v>#N/A</v>
      </c>
      <c r="S239" s="115" t="e">
        <f>VLOOKUP($A239,'S45'!$C:$BQ,60,0)</f>
        <v>#N/A</v>
      </c>
      <c r="T239" s="107" t="e">
        <f>VLOOKUP($A239,'S46'!$C:$BQ,32,0)</f>
        <v>#N/A</v>
      </c>
      <c r="U239" s="107" t="e">
        <f>VLOOKUP($A239,'S46'!$C:$BQ,39,0)</f>
        <v>#N/A</v>
      </c>
      <c r="V239" s="107" t="e">
        <f>VLOOKUP($A239,'S46'!$C:$BQ,40,0)</f>
        <v>#N/A</v>
      </c>
      <c r="W239" s="107" t="e">
        <f>VLOOKUP($A239,'S46'!$C:$BQ,22,0)</f>
        <v>#N/A</v>
      </c>
      <c r="X239" s="115" t="e">
        <f>VLOOKUP($A239,'S46'!$C:$BQ,29,0)</f>
        <v>#N/A</v>
      </c>
      <c r="Y239" s="115" t="e">
        <f>VLOOKUP($A239,'S46'!$C:$BQ,30,0)</f>
        <v>#N/A</v>
      </c>
      <c r="Z239" s="115" t="e">
        <f>VLOOKUP($A239,'S46'!$C:$BQ,52,0)</f>
        <v>#N/A</v>
      </c>
      <c r="AA239" s="115" t="e">
        <f>VLOOKUP($A239,'S46'!$C:$BQ,59,0)</f>
        <v>#N/A</v>
      </c>
      <c r="AB239" s="115" t="e">
        <f>VLOOKUP($A239,'S46'!$C:$BQ,60,0)</f>
        <v>#N/A</v>
      </c>
      <c r="AC239" s="107" t="e">
        <f>VLOOKUP($A239,'S47'!$C:$BQ,32,0)</f>
        <v>#N/A</v>
      </c>
      <c r="AD239" s="107" t="e">
        <f>VLOOKUP($A239,'S47'!$C:$BQ,39,0)</f>
        <v>#N/A</v>
      </c>
      <c r="AE239" s="107" t="e">
        <f>VLOOKUP($A239,'S47'!$C:$BQ,40,0)</f>
        <v>#N/A</v>
      </c>
      <c r="AF239" s="107" t="e">
        <f>VLOOKUP($A239,'S47'!$C:$BQ,22,0)</f>
        <v>#N/A</v>
      </c>
      <c r="AG239" s="115" t="e">
        <f>VLOOKUP($A239,'S47'!$C:$BQ,29,0)</f>
        <v>#N/A</v>
      </c>
      <c r="AH239" s="115" t="e">
        <f>VLOOKUP($A239,'S47'!$C:$BQ,30,0)</f>
        <v>#N/A</v>
      </c>
      <c r="AI239" s="115" t="e">
        <f>VLOOKUP($A239,'S47'!$C:$BQ,52,0)</f>
        <v>#N/A</v>
      </c>
      <c r="AJ239" s="115" t="e">
        <f>VLOOKUP($A239,'S47'!$C:$BQ,59,0)</f>
        <v>#N/A</v>
      </c>
      <c r="AK239" s="115" t="e">
        <f>VLOOKUP($A239,'S47'!$C:$BQ,60,0)</f>
        <v>#N/A</v>
      </c>
      <c r="AL239" s="107" t="e">
        <f>VLOOKUP($A239,'S48'!$C:$BQ,32,0)</f>
        <v>#N/A</v>
      </c>
      <c r="AM239" s="107" t="e">
        <f>VLOOKUP($A239,'S48'!$C:$BQ,39,0)</f>
        <v>#N/A</v>
      </c>
      <c r="AN239" s="107" t="e">
        <f>VLOOKUP($A239,'S48'!$C:$BQ,40,0)</f>
        <v>#N/A</v>
      </c>
      <c r="AO239" s="107" t="e">
        <f>VLOOKUP($A239,'S48'!$C:$BQ,22,0)</f>
        <v>#N/A</v>
      </c>
      <c r="AP239" s="115" t="e">
        <f>VLOOKUP($A239,'S48'!$C:$BQ,29,0)</f>
        <v>#N/A</v>
      </c>
      <c r="AQ239" s="115" t="e">
        <f>VLOOKUP($A239,'S48'!$C:$BQ,30,0)</f>
        <v>#N/A</v>
      </c>
      <c r="AR239" s="115" t="e">
        <f>VLOOKUP($A239,'S48'!$C:$BQ,52,0)</f>
        <v>#N/A</v>
      </c>
      <c r="AS239" s="115" t="e">
        <f>VLOOKUP($A239,'S48'!$C:$BQ,59,0)</f>
        <v>#N/A</v>
      </c>
      <c r="AT239" s="115" t="e">
        <f>VLOOKUP($A239,'S48'!$C:$BQ,60,0)</f>
        <v>#N/A</v>
      </c>
      <c r="AU239" s="107" t="e">
        <f>VLOOKUP($A239,'S49'!$C:$BQ,32,0)</f>
        <v>#N/A</v>
      </c>
      <c r="AV239" s="107" t="e">
        <f>VLOOKUP($A239,'S49'!$C:$BQ,39,0)</f>
        <v>#N/A</v>
      </c>
      <c r="AW239" s="107" t="e">
        <f>VLOOKUP($A239,'S49'!$C:$BQ,40,0)</f>
        <v>#N/A</v>
      </c>
      <c r="AX239" s="107" t="e">
        <f>VLOOKUP($A239,'S49'!$C:$BQ,22,0)</f>
        <v>#N/A</v>
      </c>
      <c r="AY239" s="115" t="e">
        <f>VLOOKUP($A239,'S49'!$C:$BQ,29,0)</f>
        <v>#N/A</v>
      </c>
      <c r="AZ239" s="115" t="e">
        <f>VLOOKUP($A239,'S49'!$C:$BQ,30,0)</f>
        <v>#N/A</v>
      </c>
      <c r="BA239" s="115" t="e">
        <f>VLOOKUP($A239,'S49'!$C:$BQ,52,0)</f>
        <v>#N/A</v>
      </c>
      <c r="BB239" s="115" t="e">
        <f>VLOOKUP($A239,'S49'!$C:$BQ,59,0)</f>
        <v>#N/A</v>
      </c>
      <c r="BC239" s="115" t="e">
        <f>VLOOKUP($A239,'S49'!$C:$BQ,60,0)</f>
        <v>#N/A</v>
      </c>
      <c r="BD239" s="107" t="e">
        <f>VLOOKUP($A239,'S50'!$C:$BQ,32,0)</f>
        <v>#N/A</v>
      </c>
      <c r="BE239" s="107" t="e">
        <f>VLOOKUP($A239,'S50'!$C:$BQ,39,0)</f>
        <v>#N/A</v>
      </c>
      <c r="BF239" s="107" t="e">
        <f>VLOOKUP($A239,'S50'!$C:$BQ,40,0)</f>
        <v>#N/A</v>
      </c>
      <c r="BG239" s="107" t="e">
        <f>VLOOKUP($A239,'S50'!$C:$BQ,22,0)</f>
        <v>#N/A</v>
      </c>
      <c r="BH239" s="115" t="e">
        <f>VLOOKUP($A239,'S50'!$C:$BQ,29,0)</f>
        <v>#N/A</v>
      </c>
      <c r="BI239" s="115" t="e">
        <f>VLOOKUP($A239,'S50'!$C:$BQ,30,0)</f>
        <v>#N/A</v>
      </c>
      <c r="BJ239" s="115" t="e">
        <f>VLOOKUP($A239,'S50'!$C:$BQ,52,0)</f>
        <v>#N/A</v>
      </c>
      <c r="BK239" s="115" t="e">
        <f>VLOOKUP($A239,'S50'!$C:$BQ,59,0)</f>
        <v>#N/A</v>
      </c>
      <c r="BL239" s="115" t="e">
        <f>VLOOKUP($A239,'S50'!$C:$BQ,60,0)</f>
        <v>#N/A</v>
      </c>
    </row>
    <row r="240" spans="1:64" x14ac:dyDescent="0.2">
      <c r="A240" s="106" t="s">
        <v>312</v>
      </c>
      <c r="B240" s="107">
        <f>VLOOKUP($A240,'S0 remplacer avec S44'!$C:$BQ,32,0)</f>
        <v>116.05</v>
      </c>
      <c r="C240" s="107">
        <f>VLOOKUP($A240,'S0 remplacer avec S44'!$C:$BQ,39,0)</f>
        <v>60</v>
      </c>
      <c r="D240" s="107">
        <f>VLOOKUP($A240,'S0 remplacer avec S44'!$C:$BQ,40,0)</f>
        <v>95</v>
      </c>
      <c r="E240" s="107">
        <f>VLOOKUP($A240,'S0 remplacer avec S44'!$C:$BQ,22,0)</f>
        <v>1949.4196899999999</v>
      </c>
      <c r="F240" s="115">
        <f>VLOOKUP($A240,'S0 remplacer avec S44'!$C:$BQ,29,0)</f>
        <v>0</v>
      </c>
      <c r="G240" s="115">
        <f>VLOOKUP($A240,'S0 remplacer avec S44'!$C:$BQ,30,0)</f>
        <v>0</v>
      </c>
      <c r="H240" s="115">
        <f>VLOOKUP($A240,'S0 remplacer avec S44'!$C:$BQ,52,0)</f>
        <v>94.2</v>
      </c>
      <c r="I240" s="115">
        <f>VLOOKUP($A240,'S0 remplacer avec S44'!$C:$BQ,59,0)</f>
        <v>0</v>
      </c>
      <c r="J240" s="115">
        <f>VLOOKUP($A240,'S0 remplacer avec S44'!$C:$BQ,60,0)</f>
        <v>13</v>
      </c>
      <c r="K240" s="107" t="e">
        <f>VLOOKUP($A240,'S45'!$C:$BQ,32,0)</f>
        <v>#N/A</v>
      </c>
      <c r="L240" s="107" t="e">
        <f>VLOOKUP($A240,'S45'!$C:$BQ,39,0)</f>
        <v>#N/A</v>
      </c>
      <c r="M240" s="107" t="e">
        <f>VLOOKUP($A240,'S45'!$C:$BQ,40,0)</f>
        <v>#N/A</v>
      </c>
      <c r="N240" s="107" t="e">
        <f>VLOOKUP($A240,'S45'!$C:$BQ,22,0)</f>
        <v>#N/A</v>
      </c>
      <c r="O240" s="115" t="e">
        <f>VLOOKUP($A240,'S45'!$C:$BQ,29,0)</f>
        <v>#N/A</v>
      </c>
      <c r="P240" s="115" t="e">
        <f>VLOOKUP($A240,'S45'!$C:$BQ,30,0)</f>
        <v>#N/A</v>
      </c>
      <c r="Q240" s="115" t="e">
        <f>VLOOKUP($A240,'S45'!$C:$BQ,52,0)</f>
        <v>#N/A</v>
      </c>
      <c r="R240" s="115" t="e">
        <f>VLOOKUP($A240,'S45'!$C:$BQ,59,0)</f>
        <v>#N/A</v>
      </c>
      <c r="S240" s="115" t="e">
        <f>VLOOKUP($A240,'S45'!$C:$BQ,60,0)</f>
        <v>#N/A</v>
      </c>
      <c r="T240" s="107" t="e">
        <f>VLOOKUP($A240,'S46'!$C:$BQ,32,0)</f>
        <v>#N/A</v>
      </c>
      <c r="U240" s="107" t="e">
        <f>VLOOKUP($A240,'S46'!$C:$BQ,39,0)</f>
        <v>#N/A</v>
      </c>
      <c r="V240" s="107" t="e">
        <f>VLOOKUP($A240,'S46'!$C:$BQ,40,0)</f>
        <v>#N/A</v>
      </c>
      <c r="W240" s="107" t="e">
        <f>VLOOKUP($A240,'S46'!$C:$BQ,22,0)</f>
        <v>#N/A</v>
      </c>
      <c r="X240" s="115" t="e">
        <f>VLOOKUP($A240,'S46'!$C:$BQ,29,0)</f>
        <v>#N/A</v>
      </c>
      <c r="Y240" s="115" t="e">
        <f>VLOOKUP($A240,'S46'!$C:$BQ,30,0)</f>
        <v>#N/A</v>
      </c>
      <c r="Z240" s="115" t="e">
        <f>VLOOKUP($A240,'S46'!$C:$BQ,52,0)</f>
        <v>#N/A</v>
      </c>
      <c r="AA240" s="115" t="e">
        <f>VLOOKUP($A240,'S46'!$C:$BQ,59,0)</f>
        <v>#N/A</v>
      </c>
      <c r="AB240" s="115" t="e">
        <f>VLOOKUP($A240,'S46'!$C:$BQ,60,0)</f>
        <v>#N/A</v>
      </c>
      <c r="AC240" s="107" t="e">
        <f>VLOOKUP($A240,'S47'!$C:$BQ,32,0)</f>
        <v>#N/A</v>
      </c>
      <c r="AD240" s="107" t="e">
        <f>VLOOKUP($A240,'S47'!$C:$BQ,39,0)</f>
        <v>#N/A</v>
      </c>
      <c r="AE240" s="107" t="e">
        <f>VLOOKUP($A240,'S47'!$C:$BQ,40,0)</f>
        <v>#N/A</v>
      </c>
      <c r="AF240" s="107" t="e">
        <f>VLOOKUP($A240,'S47'!$C:$BQ,22,0)</f>
        <v>#N/A</v>
      </c>
      <c r="AG240" s="115" t="e">
        <f>VLOOKUP($A240,'S47'!$C:$BQ,29,0)</f>
        <v>#N/A</v>
      </c>
      <c r="AH240" s="115" t="e">
        <f>VLOOKUP($A240,'S47'!$C:$BQ,30,0)</f>
        <v>#N/A</v>
      </c>
      <c r="AI240" s="115" t="e">
        <f>VLOOKUP($A240,'S47'!$C:$BQ,52,0)</f>
        <v>#N/A</v>
      </c>
      <c r="AJ240" s="115" t="e">
        <f>VLOOKUP($A240,'S47'!$C:$BQ,59,0)</f>
        <v>#N/A</v>
      </c>
      <c r="AK240" s="115" t="e">
        <f>VLOOKUP($A240,'S47'!$C:$BQ,60,0)</f>
        <v>#N/A</v>
      </c>
      <c r="AL240" s="107" t="e">
        <f>VLOOKUP($A240,'S48'!$C:$BQ,32,0)</f>
        <v>#N/A</v>
      </c>
      <c r="AM240" s="107" t="e">
        <f>VLOOKUP($A240,'S48'!$C:$BQ,39,0)</f>
        <v>#N/A</v>
      </c>
      <c r="AN240" s="107" t="e">
        <f>VLOOKUP($A240,'S48'!$C:$BQ,40,0)</f>
        <v>#N/A</v>
      </c>
      <c r="AO240" s="107" t="e">
        <f>VLOOKUP($A240,'S48'!$C:$BQ,22,0)</f>
        <v>#N/A</v>
      </c>
      <c r="AP240" s="115" t="e">
        <f>VLOOKUP($A240,'S48'!$C:$BQ,29,0)</f>
        <v>#N/A</v>
      </c>
      <c r="AQ240" s="115" t="e">
        <f>VLOOKUP($A240,'S48'!$C:$BQ,30,0)</f>
        <v>#N/A</v>
      </c>
      <c r="AR240" s="115" t="e">
        <f>VLOOKUP($A240,'S48'!$C:$BQ,52,0)</f>
        <v>#N/A</v>
      </c>
      <c r="AS240" s="115" t="e">
        <f>VLOOKUP($A240,'S48'!$C:$BQ,59,0)</f>
        <v>#N/A</v>
      </c>
      <c r="AT240" s="115" t="e">
        <f>VLOOKUP($A240,'S48'!$C:$BQ,60,0)</f>
        <v>#N/A</v>
      </c>
      <c r="AU240" s="107" t="e">
        <f>VLOOKUP($A240,'S49'!$C:$BQ,32,0)</f>
        <v>#N/A</v>
      </c>
      <c r="AV240" s="107" t="e">
        <f>VLOOKUP($A240,'S49'!$C:$BQ,39,0)</f>
        <v>#N/A</v>
      </c>
      <c r="AW240" s="107" t="e">
        <f>VLOOKUP($A240,'S49'!$C:$BQ,40,0)</f>
        <v>#N/A</v>
      </c>
      <c r="AX240" s="107" t="e">
        <f>VLOOKUP($A240,'S49'!$C:$BQ,22,0)</f>
        <v>#N/A</v>
      </c>
      <c r="AY240" s="115" t="e">
        <f>VLOOKUP($A240,'S49'!$C:$BQ,29,0)</f>
        <v>#N/A</v>
      </c>
      <c r="AZ240" s="115" t="e">
        <f>VLOOKUP($A240,'S49'!$C:$BQ,30,0)</f>
        <v>#N/A</v>
      </c>
      <c r="BA240" s="115" t="e">
        <f>VLOOKUP($A240,'S49'!$C:$BQ,52,0)</f>
        <v>#N/A</v>
      </c>
      <c r="BB240" s="115" t="e">
        <f>VLOOKUP($A240,'S49'!$C:$BQ,59,0)</f>
        <v>#N/A</v>
      </c>
      <c r="BC240" s="115" t="e">
        <f>VLOOKUP($A240,'S49'!$C:$BQ,60,0)</f>
        <v>#N/A</v>
      </c>
      <c r="BD240" s="107" t="e">
        <f>VLOOKUP($A240,'S50'!$C:$BQ,32,0)</f>
        <v>#N/A</v>
      </c>
      <c r="BE240" s="107" t="e">
        <f>VLOOKUP($A240,'S50'!$C:$BQ,39,0)</f>
        <v>#N/A</v>
      </c>
      <c r="BF240" s="107" t="e">
        <f>VLOOKUP($A240,'S50'!$C:$BQ,40,0)</f>
        <v>#N/A</v>
      </c>
      <c r="BG240" s="107" t="e">
        <f>VLOOKUP($A240,'S50'!$C:$BQ,22,0)</f>
        <v>#N/A</v>
      </c>
      <c r="BH240" s="115" t="e">
        <f>VLOOKUP($A240,'S50'!$C:$BQ,29,0)</f>
        <v>#N/A</v>
      </c>
      <c r="BI240" s="115" t="e">
        <f>VLOOKUP($A240,'S50'!$C:$BQ,30,0)</f>
        <v>#N/A</v>
      </c>
      <c r="BJ240" s="115" t="e">
        <f>VLOOKUP($A240,'S50'!$C:$BQ,52,0)</f>
        <v>#N/A</v>
      </c>
      <c r="BK240" s="115" t="e">
        <f>VLOOKUP($A240,'S50'!$C:$BQ,59,0)</f>
        <v>#N/A</v>
      </c>
      <c r="BL240" s="115" t="e">
        <f>VLOOKUP($A240,'S50'!$C:$BQ,60,0)</f>
        <v>#N/A</v>
      </c>
    </row>
    <row r="241" spans="1:64" x14ac:dyDescent="0.2">
      <c r="A241" s="106" t="s">
        <v>313</v>
      </c>
      <c r="B241" s="107">
        <f>VLOOKUP($A241,'S0 remplacer avec S44'!$C:$BQ,32,0)</f>
        <v>170.05</v>
      </c>
      <c r="C241" s="107">
        <f>VLOOKUP($A241,'S0 remplacer avec S44'!$C:$BQ,39,0)</f>
        <v>56</v>
      </c>
      <c r="D241" s="107">
        <f>VLOOKUP($A241,'S0 remplacer avec S44'!$C:$BQ,40,0)</f>
        <v>101</v>
      </c>
      <c r="E241" s="107">
        <f>VLOOKUP($A241,'S0 remplacer avec S44'!$C:$BQ,22,0)</f>
        <v>2012.6831199999999</v>
      </c>
      <c r="F241" s="115">
        <f>VLOOKUP($A241,'S0 remplacer avec S44'!$C:$BQ,29,0)</f>
        <v>38</v>
      </c>
      <c r="G241" s="115">
        <f>VLOOKUP($A241,'S0 remplacer avec S44'!$C:$BQ,30,0)</f>
        <v>448</v>
      </c>
      <c r="H241" s="115">
        <f>VLOOKUP($A241,'S0 remplacer avec S44'!$C:$BQ,52,0)</f>
        <v>116.8</v>
      </c>
      <c r="I241" s="115">
        <f>VLOOKUP($A241,'S0 remplacer avec S44'!$C:$BQ,59,0)</f>
        <v>0</v>
      </c>
      <c r="J241" s="115">
        <f>VLOOKUP($A241,'S0 remplacer avec S44'!$C:$BQ,60,0)</f>
        <v>21</v>
      </c>
      <c r="K241" s="107" t="e">
        <f>VLOOKUP($A241,'S45'!$C:$BQ,32,0)</f>
        <v>#N/A</v>
      </c>
      <c r="L241" s="107" t="e">
        <f>VLOOKUP($A241,'S45'!$C:$BQ,39,0)</f>
        <v>#N/A</v>
      </c>
      <c r="M241" s="107" t="e">
        <f>VLOOKUP($A241,'S45'!$C:$BQ,40,0)</f>
        <v>#N/A</v>
      </c>
      <c r="N241" s="107" t="e">
        <f>VLOOKUP($A241,'S45'!$C:$BQ,22,0)</f>
        <v>#N/A</v>
      </c>
      <c r="O241" s="115" t="e">
        <f>VLOOKUP($A241,'S45'!$C:$BQ,29,0)</f>
        <v>#N/A</v>
      </c>
      <c r="P241" s="115" t="e">
        <f>VLOOKUP($A241,'S45'!$C:$BQ,30,0)</f>
        <v>#N/A</v>
      </c>
      <c r="Q241" s="115" t="e">
        <f>VLOOKUP($A241,'S45'!$C:$BQ,52,0)</f>
        <v>#N/A</v>
      </c>
      <c r="R241" s="115" t="e">
        <f>VLOOKUP($A241,'S45'!$C:$BQ,59,0)</f>
        <v>#N/A</v>
      </c>
      <c r="S241" s="115" t="e">
        <f>VLOOKUP($A241,'S45'!$C:$BQ,60,0)</f>
        <v>#N/A</v>
      </c>
      <c r="T241" s="107" t="e">
        <f>VLOOKUP($A241,'S46'!$C:$BQ,32,0)</f>
        <v>#N/A</v>
      </c>
      <c r="U241" s="107" t="e">
        <f>VLOOKUP($A241,'S46'!$C:$BQ,39,0)</f>
        <v>#N/A</v>
      </c>
      <c r="V241" s="107" t="e">
        <f>VLOOKUP($A241,'S46'!$C:$BQ,40,0)</f>
        <v>#N/A</v>
      </c>
      <c r="W241" s="107" t="e">
        <f>VLOOKUP($A241,'S46'!$C:$BQ,22,0)</f>
        <v>#N/A</v>
      </c>
      <c r="X241" s="115" t="e">
        <f>VLOOKUP($A241,'S46'!$C:$BQ,29,0)</f>
        <v>#N/A</v>
      </c>
      <c r="Y241" s="115" t="e">
        <f>VLOOKUP($A241,'S46'!$C:$BQ,30,0)</f>
        <v>#N/A</v>
      </c>
      <c r="Z241" s="115" t="e">
        <f>VLOOKUP($A241,'S46'!$C:$BQ,52,0)</f>
        <v>#N/A</v>
      </c>
      <c r="AA241" s="115" t="e">
        <f>VLOOKUP($A241,'S46'!$C:$BQ,59,0)</f>
        <v>#N/A</v>
      </c>
      <c r="AB241" s="115" t="e">
        <f>VLOOKUP($A241,'S46'!$C:$BQ,60,0)</f>
        <v>#N/A</v>
      </c>
      <c r="AC241" s="107" t="e">
        <f>VLOOKUP($A241,'S47'!$C:$BQ,32,0)</f>
        <v>#N/A</v>
      </c>
      <c r="AD241" s="107" t="e">
        <f>VLOOKUP($A241,'S47'!$C:$BQ,39,0)</f>
        <v>#N/A</v>
      </c>
      <c r="AE241" s="107" t="e">
        <f>VLOOKUP($A241,'S47'!$C:$BQ,40,0)</f>
        <v>#N/A</v>
      </c>
      <c r="AF241" s="107" t="e">
        <f>VLOOKUP($A241,'S47'!$C:$BQ,22,0)</f>
        <v>#N/A</v>
      </c>
      <c r="AG241" s="115" t="e">
        <f>VLOOKUP($A241,'S47'!$C:$BQ,29,0)</f>
        <v>#N/A</v>
      </c>
      <c r="AH241" s="115" t="e">
        <f>VLOOKUP($A241,'S47'!$C:$BQ,30,0)</f>
        <v>#N/A</v>
      </c>
      <c r="AI241" s="115" t="e">
        <f>VLOOKUP($A241,'S47'!$C:$BQ,52,0)</f>
        <v>#N/A</v>
      </c>
      <c r="AJ241" s="115" t="e">
        <f>VLOOKUP($A241,'S47'!$C:$BQ,59,0)</f>
        <v>#N/A</v>
      </c>
      <c r="AK241" s="115" t="e">
        <f>VLOOKUP($A241,'S47'!$C:$BQ,60,0)</f>
        <v>#N/A</v>
      </c>
      <c r="AL241" s="107" t="e">
        <f>VLOOKUP($A241,'S48'!$C:$BQ,32,0)</f>
        <v>#N/A</v>
      </c>
      <c r="AM241" s="107" t="e">
        <f>VLOOKUP($A241,'S48'!$C:$BQ,39,0)</f>
        <v>#N/A</v>
      </c>
      <c r="AN241" s="107" t="e">
        <f>VLOOKUP($A241,'S48'!$C:$BQ,40,0)</f>
        <v>#N/A</v>
      </c>
      <c r="AO241" s="107" t="e">
        <f>VLOOKUP($A241,'S48'!$C:$BQ,22,0)</f>
        <v>#N/A</v>
      </c>
      <c r="AP241" s="115" t="e">
        <f>VLOOKUP($A241,'S48'!$C:$BQ,29,0)</f>
        <v>#N/A</v>
      </c>
      <c r="AQ241" s="115" t="e">
        <f>VLOOKUP($A241,'S48'!$C:$BQ,30,0)</f>
        <v>#N/A</v>
      </c>
      <c r="AR241" s="115" t="e">
        <f>VLOOKUP($A241,'S48'!$C:$BQ,52,0)</f>
        <v>#N/A</v>
      </c>
      <c r="AS241" s="115" t="e">
        <f>VLOOKUP($A241,'S48'!$C:$BQ,59,0)</f>
        <v>#N/A</v>
      </c>
      <c r="AT241" s="115" t="e">
        <f>VLOOKUP($A241,'S48'!$C:$BQ,60,0)</f>
        <v>#N/A</v>
      </c>
      <c r="AU241" s="107" t="e">
        <f>VLOOKUP($A241,'S49'!$C:$BQ,32,0)</f>
        <v>#N/A</v>
      </c>
      <c r="AV241" s="107" t="e">
        <f>VLOOKUP($A241,'S49'!$C:$BQ,39,0)</f>
        <v>#N/A</v>
      </c>
      <c r="AW241" s="107" t="e">
        <f>VLOOKUP($A241,'S49'!$C:$BQ,40,0)</f>
        <v>#N/A</v>
      </c>
      <c r="AX241" s="107" t="e">
        <f>VLOOKUP($A241,'S49'!$C:$BQ,22,0)</f>
        <v>#N/A</v>
      </c>
      <c r="AY241" s="115" t="e">
        <f>VLOOKUP($A241,'S49'!$C:$BQ,29,0)</f>
        <v>#N/A</v>
      </c>
      <c r="AZ241" s="115" t="e">
        <f>VLOOKUP($A241,'S49'!$C:$BQ,30,0)</f>
        <v>#N/A</v>
      </c>
      <c r="BA241" s="115" t="e">
        <f>VLOOKUP($A241,'S49'!$C:$BQ,52,0)</f>
        <v>#N/A</v>
      </c>
      <c r="BB241" s="115" t="e">
        <f>VLOOKUP($A241,'S49'!$C:$BQ,59,0)</f>
        <v>#N/A</v>
      </c>
      <c r="BC241" s="115" t="e">
        <f>VLOOKUP($A241,'S49'!$C:$BQ,60,0)</f>
        <v>#N/A</v>
      </c>
      <c r="BD241" s="107" t="e">
        <f>VLOOKUP($A241,'S50'!$C:$BQ,32,0)</f>
        <v>#N/A</v>
      </c>
      <c r="BE241" s="107" t="e">
        <f>VLOOKUP($A241,'S50'!$C:$BQ,39,0)</f>
        <v>#N/A</v>
      </c>
      <c r="BF241" s="107" t="e">
        <f>VLOOKUP($A241,'S50'!$C:$BQ,40,0)</f>
        <v>#N/A</v>
      </c>
      <c r="BG241" s="107" t="e">
        <f>VLOOKUP($A241,'S50'!$C:$BQ,22,0)</f>
        <v>#N/A</v>
      </c>
      <c r="BH241" s="115" t="e">
        <f>VLOOKUP($A241,'S50'!$C:$BQ,29,0)</f>
        <v>#N/A</v>
      </c>
      <c r="BI241" s="115" t="e">
        <f>VLOOKUP($A241,'S50'!$C:$BQ,30,0)</f>
        <v>#N/A</v>
      </c>
      <c r="BJ241" s="115" t="e">
        <f>VLOOKUP($A241,'S50'!$C:$BQ,52,0)</f>
        <v>#N/A</v>
      </c>
      <c r="BK241" s="115" t="e">
        <f>VLOOKUP($A241,'S50'!$C:$BQ,59,0)</f>
        <v>#N/A</v>
      </c>
      <c r="BL241" s="115" t="e">
        <f>VLOOKUP($A241,'S50'!$C:$BQ,60,0)</f>
        <v>#N/A</v>
      </c>
    </row>
    <row r="242" spans="1:64" x14ac:dyDescent="0.2">
      <c r="A242" s="106" t="s">
        <v>314</v>
      </c>
      <c r="B242" s="107">
        <f>VLOOKUP($A242,'S0 remplacer avec S44'!$C:$BQ,32,0)</f>
        <v>86.1</v>
      </c>
      <c r="C242" s="107">
        <f>VLOOKUP($A242,'S0 remplacer avec S44'!$C:$BQ,39,0)</f>
        <v>108</v>
      </c>
      <c r="D242" s="107">
        <f>VLOOKUP($A242,'S0 remplacer avec S44'!$C:$BQ,40,0)</f>
        <v>147</v>
      </c>
      <c r="E242" s="107">
        <f>VLOOKUP($A242,'S0 remplacer avec S44'!$C:$BQ,22,0)</f>
        <v>1091.16724</v>
      </c>
      <c r="F242" s="115">
        <f>VLOOKUP($A242,'S0 remplacer avec S44'!$C:$BQ,29,0)</f>
        <v>674</v>
      </c>
      <c r="G242" s="115">
        <f>VLOOKUP($A242,'S0 remplacer avec S44'!$C:$BQ,30,0)</f>
        <v>1027</v>
      </c>
      <c r="H242" s="115">
        <f>VLOOKUP($A242,'S0 remplacer avec S44'!$C:$BQ,52,0)</f>
        <v>92.4</v>
      </c>
      <c r="I242" s="115">
        <f>VLOOKUP($A242,'S0 remplacer avec S44'!$C:$BQ,59,0)</f>
        <v>7</v>
      </c>
      <c r="J242" s="115">
        <f>VLOOKUP($A242,'S0 remplacer avec S44'!$C:$BQ,60,0)</f>
        <v>26</v>
      </c>
      <c r="K242" s="107" t="e">
        <f>VLOOKUP($A242,'S45'!$C:$BQ,32,0)</f>
        <v>#N/A</v>
      </c>
      <c r="L242" s="107" t="e">
        <f>VLOOKUP($A242,'S45'!$C:$BQ,39,0)</f>
        <v>#N/A</v>
      </c>
      <c r="M242" s="107" t="e">
        <f>VLOOKUP($A242,'S45'!$C:$BQ,40,0)</f>
        <v>#N/A</v>
      </c>
      <c r="N242" s="107" t="e">
        <f>VLOOKUP($A242,'S45'!$C:$BQ,22,0)</f>
        <v>#N/A</v>
      </c>
      <c r="O242" s="115" t="e">
        <f>VLOOKUP($A242,'S45'!$C:$BQ,29,0)</f>
        <v>#N/A</v>
      </c>
      <c r="P242" s="115" t="e">
        <f>VLOOKUP($A242,'S45'!$C:$BQ,30,0)</f>
        <v>#N/A</v>
      </c>
      <c r="Q242" s="115" t="e">
        <f>VLOOKUP($A242,'S45'!$C:$BQ,52,0)</f>
        <v>#N/A</v>
      </c>
      <c r="R242" s="115" t="e">
        <f>VLOOKUP($A242,'S45'!$C:$BQ,59,0)</f>
        <v>#N/A</v>
      </c>
      <c r="S242" s="115" t="e">
        <f>VLOOKUP($A242,'S45'!$C:$BQ,60,0)</f>
        <v>#N/A</v>
      </c>
      <c r="T242" s="107" t="e">
        <f>VLOOKUP($A242,'S46'!$C:$BQ,32,0)</f>
        <v>#N/A</v>
      </c>
      <c r="U242" s="107" t="e">
        <f>VLOOKUP($A242,'S46'!$C:$BQ,39,0)</f>
        <v>#N/A</v>
      </c>
      <c r="V242" s="107" t="e">
        <f>VLOOKUP($A242,'S46'!$C:$BQ,40,0)</f>
        <v>#N/A</v>
      </c>
      <c r="W242" s="107" t="e">
        <f>VLOOKUP($A242,'S46'!$C:$BQ,22,0)</f>
        <v>#N/A</v>
      </c>
      <c r="X242" s="115" t="e">
        <f>VLOOKUP($A242,'S46'!$C:$BQ,29,0)</f>
        <v>#N/A</v>
      </c>
      <c r="Y242" s="115" t="e">
        <f>VLOOKUP($A242,'S46'!$C:$BQ,30,0)</f>
        <v>#N/A</v>
      </c>
      <c r="Z242" s="115" t="e">
        <f>VLOOKUP($A242,'S46'!$C:$BQ,52,0)</f>
        <v>#N/A</v>
      </c>
      <c r="AA242" s="115" t="e">
        <f>VLOOKUP($A242,'S46'!$C:$BQ,59,0)</f>
        <v>#N/A</v>
      </c>
      <c r="AB242" s="115" t="e">
        <f>VLOOKUP($A242,'S46'!$C:$BQ,60,0)</f>
        <v>#N/A</v>
      </c>
      <c r="AC242" s="107" t="e">
        <f>VLOOKUP($A242,'S47'!$C:$BQ,32,0)</f>
        <v>#N/A</v>
      </c>
      <c r="AD242" s="107" t="e">
        <f>VLOOKUP($A242,'S47'!$C:$BQ,39,0)</f>
        <v>#N/A</v>
      </c>
      <c r="AE242" s="107" t="e">
        <f>VLOOKUP($A242,'S47'!$C:$BQ,40,0)</f>
        <v>#N/A</v>
      </c>
      <c r="AF242" s="107" t="e">
        <f>VLOOKUP($A242,'S47'!$C:$BQ,22,0)</f>
        <v>#N/A</v>
      </c>
      <c r="AG242" s="115" t="e">
        <f>VLOOKUP($A242,'S47'!$C:$BQ,29,0)</f>
        <v>#N/A</v>
      </c>
      <c r="AH242" s="115" t="e">
        <f>VLOOKUP($A242,'S47'!$C:$BQ,30,0)</f>
        <v>#N/A</v>
      </c>
      <c r="AI242" s="115" t="e">
        <f>VLOOKUP($A242,'S47'!$C:$BQ,52,0)</f>
        <v>#N/A</v>
      </c>
      <c r="AJ242" s="115" t="e">
        <f>VLOOKUP($A242,'S47'!$C:$BQ,59,0)</f>
        <v>#N/A</v>
      </c>
      <c r="AK242" s="115" t="e">
        <f>VLOOKUP($A242,'S47'!$C:$BQ,60,0)</f>
        <v>#N/A</v>
      </c>
      <c r="AL242" s="107" t="e">
        <f>VLOOKUP($A242,'S48'!$C:$BQ,32,0)</f>
        <v>#N/A</v>
      </c>
      <c r="AM242" s="107" t="e">
        <f>VLOOKUP($A242,'S48'!$C:$BQ,39,0)</f>
        <v>#N/A</v>
      </c>
      <c r="AN242" s="107" t="e">
        <f>VLOOKUP($A242,'S48'!$C:$BQ,40,0)</f>
        <v>#N/A</v>
      </c>
      <c r="AO242" s="107" t="e">
        <f>VLOOKUP($A242,'S48'!$C:$BQ,22,0)</f>
        <v>#N/A</v>
      </c>
      <c r="AP242" s="115" t="e">
        <f>VLOOKUP($A242,'S48'!$C:$BQ,29,0)</f>
        <v>#N/A</v>
      </c>
      <c r="AQ242" s="115" t="e">
        <f>VLOOKUP($A242,'S48'!$C:$BQ,30,0)</f>
        <v>#N/A</v>
      </c>
      <c r="AR242" s="115" t="e">
        <f>VLOOKUP($A242,'S48'!$C:$BQ,52,0)</f>
        <v>#N/A</v>
      </c>
      <c r="AS242" s="115" t="e">
        <f>VLOOKUP($A242,'S48'!$C:$BQ,59,0)</f>
        <v>#N/A</v>
      </c>
      <c r="AT242" s="115" t="e">
        <f>VLOOKUP($A242,'S48'!$C:$BQ,60,0)</f>
        <v>#N/A</v>
      </c>
      <c r="AU242" s="107" t="e">
        <f>VLOOKUP($A242,'S49'!$C:$BQ,32,0)</f>
        <v>#N/A</v>
      </c>
      <c r="AV242" s="107" t="e">
        <f>VLOOKUP($A242,'S49'!$C:$BQ,39,0)</f>
        <v>#N/A</v>
      </c>
      <c r="AW242" s="107" t="e">
        <f>VLOOKUP($A242,'S49'!$C:$BQ,40,0)</f>
        <v>#N/A</v>
      </c>
      <c r="AX242" s="107" t="e">
        <f>VLOOKUP($A242,'S49'!$C:$BQ,22,0)</f>
        <v>#N/A</v>
      </c>
      <c r="AY242" s="115" t="e">
        <f>VLOOKUP($A242,'S49'!$C:$BQ,29,0)</f>
        <v>#N/A</v>
      </c>
      <c r="AZ242" s="115" t="e">
        <f>VLOOKUP($A242,'S49'!$C:$BQ,30,0)</f>
        <v>#N/A</v>
      </c>
      <c r="BA242" s="115" t="e">
        <f>VLOOKUP($A242,'S49'!$C:$BQ,52,0)</f>
        <v>#N/A</v>
      </c>
      <c r="BB242" s="115" t="e">
        <f>VLOOKUP($A242,'S49'!$C:$BQ,59,0)</f>
        <v>#N/A</v>
      </c>
      <c r="BC242" s="115" t="e">
        <f>VLOOKUP($A242,'S49'!$C:$BQ,60,0)</f>
        <v>#N/A</v>
      </c>
      <c r="BD242" s="107" t="e">
        <f>VLOOKUP($A242,'S50'!$C:$BQ,32,0)</f>
        <v>#N/A</v>
      </c>
      <c r="BE242" s="107" t="e">
        <f>VLOOKUP($A242,'S50'!$C:$BQ,39,0)</f>
        <v>#N/A</v>
      </c>
      <c r="BF242" s="107" t="e">
        <f>VLOOKUP($A242,'S50'!$C:$BQ,40,0)</f>
        <v>#N/A</v>
      </c>
      <c r="BG242" s="107" t="e">
        <f>VLOOKUP($A242,'S50'!$C:$BQ,22,0)</f>
        <v>#N/A</v>
      </c>
      <c r="BH242" s="115" t="e">
        <f>VLOOKUP($A242,'S50'!$C:$BQ,29,0)</f>
        <v>#N/A</v>
      </c>
      <c r="BI242" s="115" t="e">
        <f>VLOOKUP($A242,'S50'!$C:$BQ,30,0)</f>
        <v>#N/A</v>
      </c>
      <c r="BJ242" s="115" t="e">
        <f>VLOOKUP($A242,'S50'!$C:$BQ,52,0)</f>
        <v>#N/A</v>
      </c>
      <c r="BK242" s="115" t="e">
        <f>VLOOKUP($A242,'S50'!$C:$BQ,59,0)</f>
        <v>#N/A</v>
      </c>
      <c r="BL242" s="115" t="e">
        <f>VLOOKUP($A242,'S50'!$C:$BQ,60,0)</f>
        <v>#N/A</v>
      </c>
    </row>
    <row r="243" spans="1:64" x14ac:dyDescent="0.2">
      <c r="A243" s="106" t="s">
        <v>315</v>
      </c>
      <c r="B243" s="107">
        <f>VLOOKUP($A243,'S0 remplacer avec S44'!$C:$BQ,32,0)</f>
        <v>316.25</v>
      </c>
      <c r="C243" s="107">
        <f>VLOOKUP($A243,'S0 remplacer avec S44'!$C:$BQ,39,0)</f>
        <v>63</v>
      </c>
      <c r="D243" s="107">
        <f>VLOOKUP($A243,'S0 remplacer avec S44'!$C:$BQ,40,0)</f>
        <v>139</v>
      </c>
      <c r="E243" s="107">
        <f>VLOOKUP($A243,'S0 remplacer avec S44'!$C:$BQ,22,0)</f>
        <v>3493.0782549999999</v>
      </c>
      <c r="F243" s="115">
        <f>VLOOKUP($A243,'S0 remplacer avec S44'!$C:$BQ,29,0)</f>
        <v>0</v>
      </c>
      <c r="G243" s="115">
        <f>VLOOKUP($A243,'S0 remplacer avec S44'!$C:$BQ,30,0)</f>
        <v>641</v>
      </c>
      <c r="H243" s="115">
        <f>VLOOKUP($A243,'S0 remplacer avec S44'!$C:$BQ,52,0)</f>
        <v>214.2</v>
      </c>
      <c r="I243" s="115">
        <f>VLOOKUP($A243,'S0 remplacer avec S44'!$C:$BQ,59,0)</f>
        <v>0</v>
      </c>
      <c r="J243" s="115">
        <f>VLOOKUP($A243,'S0 remplacer avec S44'!$C:$BQ,60,0)</f>
        <v>17</v>
      </c>
      <c r="K243" s="107" t="e">
        <f>VLOOKUP($A243,'S45'!$C:$BQ,32,0)</f>
        <v>#N/A</v>
      </c>
      <c r="L243" s="107" t="e">
        <f>VLOOKUP($A243,'S45'!$C:$BQ,39,0)</f>
        <v>#N/A</v>
      </c>
      <c r="M243" s="107" t="e">
        <f>VLOOKUP($A243,'S45'!$C:$BQ,40,0)</f>
        <v>#N/A</v>
      </c>
      <c r="N243" s="107" t="e">
        <f>VLOOKUP($A243,'S45'!$C:$BQ,22,0)</f>
        <v>#N/A</v>
      </c>
      <c r="O243" s="115" t="e">
        <f>VLOOKUP($A243,'S45'!$C:$BQ,29,0)</f>
        <v>#N/A</v>
      </c>
      <c r="P243" s="115" t="e">
        <f>VLOOKUP($A243,'S45'!$C:$BQ,30,0)</f>
        <v>#N/A</v>
      </c>
      <c r="Q243" s="115" t="e">
        <f>VLOOKUP($A243,'S45'!$C:$BQ,52,0)</f>
        <v>#N/A</v>
      </c>
      <c r="R243" s="115" t="e">
        <f>VLOOKUP($A243,'S45'!$C:$BQ,59,0)</f>
        <v>#N/A</v>
      </c>
      <c r="S243" s="115" t="e">
        <f>VLOOKUP($A243,'S45'!$C:$BQ,60,0)</f>
        <v>#N/A</v>
      </c>
      <c r="T243" s="107" t="e">
        <f>VLOOKUP($A243,'S46'!$C:$BQ,32,0)</f>
        <v>#N/A</v>
      </c>
      <c r="U243" s="107" t="e">
        <f>VLOOKUP($A243,'S46'!$C:$BQ,39,0)</f>
        <v>#N/A</v>
      </c>
      <c r="V243" s="107" t="e">
        <f>VLOOKUP($A243,'S46'!$C:$BQ,40,0)</f>
        <v>#N/A</v>
      </c>
      <c r="W243" s="107" t="e">
        <f>VLOOKUP($A243,'S46'!$C:$BQ,22,0)</f>
        <v>#N/A</v>
      </c>
      <c r="X243" s="115" t="e">
        <f>VLOOKUP($A243,'S46'!$C:$BQ,29,0)</f>
        <v>#N/A</v>
      </c>
      <c r="Y243" s="115" t="e">
        <f>VLOOKUP($A243,'S46'!$C:$BQ,30,0)</f>
        <v>#N/A</v>
      </c>
      <c r="Z243" s="115" t="e">
        <f>VLOOKUP($A243,'S46'!$C:$BQ,52,0)</f>
        <v>#N/A</v>
      </c>
      <c r="AA243" s="115" t="e">
        <f>VLOOKUP($A243,'S46'!$C:$BQ,59,0)</f>
        <v>#N/A</v>
      </c>
      <c r="AB243" s="115" t="e">
        <f>VLOOKUP($A243,'S46'!$C:$BQ,60,0)</f>
        <v>#N/A</v>
      </c>
      <c r="AC243" s="107" t="e">
        <f>VLOOKUP($A243,'S47'!$C:$BQ,32,0)</f>
        <v>#N/A</v>
      </c>
      <c r="AD243" s="107" t="e">
        <f>VLOOKUP($A243,'S47'!$C:$BQ,39,0)</f>
        <v>#N/A</v>
      </c>
      <c r="AE243" s="107" t="e">
        <f>VLOOKUP($A243,'S47'!$C:$BQ,40,0)</f>
        <v>#N/A</v>
      </c>
      <c r="AF243" s="107" t="e">
        <f>VLOOKUP($A243,'S47'!$C:$BQ,22,0)</f>
        <v>#N/A</v>
      </c>
      <c r="AG243" s="115" t="e">
        <f>VLOOKUP($A243,'S47'!$C:$BQ,29,0)</f>
        <v>#N/A</v>
      </c>
      <c r="AH243" s="115" t="e">
        <f>VLOOKUP($A243,'S47'!$C:$BQ,30,0)</f>
        <v>#N/A</v>
      </c>
      <c r="AI243" s="115" t="e">
        <f>VLOOKUP($A243,'S47'!$C:$BQ,52,0)</f>
        <v>#N/A</v>
      </c>
      <c r="AJ243" s="115" t="e">
        <f>VLOOKUP($A243,'S47'!$C:$BQ,59,0)</f>
        <v>#N/A</v>
      </c>
      <c r="AK243" s="115" t="e">
        <f>VLOOKUP($A243,'S47'!$C:$BQ,60,0)</f>
        <v>#N/A</v>
      </c>
      <c r="AL243" s="107" t="e">
        <f>VLOOKUP($A243,'S48'!$C:$BQ,32,0)</f>
        <v>#N/A</v>
      </c>
      <c r="AM243" s="107" t="e">
        <f>VLOOKUP($A243,'S48'!$C:$BQ,39,0)</f>
        <v>#N/A</v>
      </c>
      <c r="AN243" s="107" t="e">
        <f>VLOOKUP($A243,'S48'!$C:$BQ,40,0)</f>
        <v>#N/A</v>
      </c>
      <c r="AO243" s="107" t="e">
        <f>VLOOKUP($A243,'S48'!$C:$BQ,22,0)</f>
        <v>#N/A</v>
      </c>
      <c r="AP243" s="115" t="e">
        <f>VLOOKUP($A243,'S48'!$C:$BQ,29,0)</f>
        <v>#N/A</v>
      </c>
      <c r="AQ243" s="115" t="e">
        <f>VLOOKUP($A243,'S48'!$C:$BQ,30,0)</f>
        <v>#N/A</v>
      </c>
      <c r="AR243" s="115" t="e">
        <f>VLOOKUP($A243,'S48'!$C:$BQ,52,0)</f>
        <v>#N/A</v>
      </c>
      <c r="AS243" s="115" t="e">
        <f>VLOOKUP($A243,'S48'!$C:$BQ,59,0)</f>
        <v>#N/A</v>
      </c>
      <c r="AT243" s="115" t="e">
        <f>VLOOKUP($A243,'S48'!$C:$BQ,60,0)</f>
        <v>#N/A</v>
      </c>
      <c r="AU243" s="107" t="e">
        <f>VLOOKUP($A243,'S49'!$C:$BQ,32,0)</f>
        <v>#N/A</v>
      </c>
      <c r="AV243" s="107" t="e">
        <f>VLOOKUP($A243,'S49'!$C:$BQ,39,0)</f>
        <v>#N/A</v>
      </c>
      <c r="AW243" s="107" t="e">
        <f>VLOOKUP($A243,'S49'!$C:$BQ,40,0)</f>
        <v>#N/A</v>
      </c>
      <c r="AX243" s="107" t="e">
        <f>VLOOKUP($A243,'S49'!$C:$BQ,22,0)</f>
        <v>#N/A</v>
      </c>
      <c r="AY243" s="115" t="e">
        <f>VLOOKUP($A243,'S49'!$C:$BQ,29,0)</f>
        <v>#N/A</v>
      </c>
      <c r="AZ243" s="115" t="e">
        <f>VLOOKUP($A243,'S49'!$C:$BQ,30,0)</f>
        <v>#N/A</v>
      </c>
      <c r="BA243" s="115" t="e">
        <f>VLOOKUP($A243,'S49'!$C:$BQ,52,0)</f>
        <v>#N/A</v>
      </c>
      <c r="BB243" s="115" t="e">
        <f>VLOOKUP($A243,'S49'!$C:$BQ,59,0)</f>
        <v>#N/A</v>
      </c>
      <c r="BC243" s="115" t="e">
        <f>VLOOKUP($A243,'S49'!$C:$BQ,60,0)</f>
        <v>#N/A</v>
      </c>
      <c r="BD243" s="107" t="e">
        <f>VLOOKUP($A243,'S50'!$C:$BQ,32,0)</f>
        <v>#N/A</v>
      </c>
      <c r="BE243" s="107" t="e">
        <f>VLOOKUP($A243,'S50'!$C:$BQ,39,0)</f>
        <v>#N/A</v>
      </c>
      <c r="BF243" s="107" t="e">
        <f>VLOOKUP($A243,'S50'!$C:$BQ,40,0)</f>
        <v>#N/A</v>
      </c>
      <c r="BG243" s="107" t="e">
        <f>VLOOKUP($A243,'S50'!$C:$BQ,22,0)</f>
        <v>#N/A</v>
      </c>
      <c r="BH243" s="115" t="e">
        <f>VLOOKUP($A243,'S50'!$C:$BQ,29,0)</f>
        <v>#N/A</v>
      </c>
      <c r="BI243" s="115" t="e">
        <f>VLOOKUP($A243,'S50'!$C:$BQ,30,0)</f>
        <v>#N/A</v>
      </c>
      <c r="BJ243" s="115" t="e">
        <f>VLOOKUP($A243,'S50'!$C:$BQ,52,0)</f>
        <v>#N/A</v>
      </c>
      <c r="BK243" s="115" t="e">
        <f>VLOOKUP($A243,'S50'!$C:$BQ,59,0)</f>
        <v>#N/A</v>
      </c>
      <c r="BL243" s="115" t="e">
        <f>VLOOKUP($A243,'S50'!$C:$BQ,60,0)</f>
        <v>#N/A</v>
      </c>
    </row>
    <row r="244" spans="1:64" x14ac:dyDescent="0.2">
      <c r="A244" s="106" t="s">
        <v>316</v>
      </c>
      <c r="B244" s="107">
        <f>VLOOKUP($A244,'S0 remplacer avec S44'!$C:$BQ,32,0)</f>
        <v>281.39999999999998</v>
      </c>
      <c r="C244" s="107">
        <f>VLOOKUP($A244,'S0 remplacer avec S44'!$C:$BQ,39,0)</f>
        <v>258</v>
      </c>
      <c r="D244" s="107">
        <f>VLOOKUP($A244,'S0 remplacer avec S44'!$C:$BQ,40,0)</f>
        <v>366</v>
      </c>
      <c r="E244" s="107">
        <f>VLOOKUP($A244,'S0 remplacer avec S44'!$C:$BQ,22,0)</f>
        <v>4652.3069349999996</v>
      </c>
      <c r="F244" s="115">
        <f>VLOOKUP($A244,'S0 remplacer avec S44'!$C:$BQ,29,0)</f>
        <v>251</v>
      </c>
      <c r="G244" s="115">
        <f>VLOOKUP($A244,'S0 remplacer avec S44'!$C:$BQ,30,0)</f>
        <v>1231</v>
      </c>
      <c r="H244" s="115">
        <f>VLOOKUP($A244,'S0 remplacer avec S44'!$C:$BQ,52,0)</f>
        <v>242.6</v>
      </c>
      <c r="I244" s="115">
        <f>VLOOKUP($A244,'S0 remplacer avec S44'!$C:$BQ,59,0)</f>
        <v>32</v>
      </c>
      <c r="J244" s="115">
        <f>VLOOKUP($A244,'S0 remplacer avec S44'!$C:$BQ,60,0)</f>
        <v>86</v>
      </c>
      <c r="K244" s="107" t="e">
        <f>VLOOKUP($A244,'S45'!$C:$BQ,32,0)</f>
        <v>#N/A</v>
      </c>
      <c r="L244" s="107" t="e">
        <f>VLOOKUP($A244,'S45'!$C:$BQ,39,0)</f>
        <v>#N/A</v>
      </c>
      <c r="M244" s="107" t="e">
        <f>VLOOKUP($A244,'S45'!$C:$BQ,40,0)</f>
        <v>#N/A</v>
      </c>
      <c r="N244" s="107" t="e">
        <f>VLOOKUP($A244,'S45'!$C:$BQ,22,0)</f>
        <v>#N/A</v>
      </c>
      <c r="O244" s="115" t="e">
        <f>VLOOKUP($A244,'S45'!$C:$BQ,29,0)</f>
        <v>#N/A</v>
      </c>
      <c r="P244" s="115" t="e">
        <f>VLOOKUP($A244,'S45'!$C:$BQ,30,0)</f>
        <v>#N/A</v>
      </c>
      <c r="Q244" s="115" t="e">
        <f>VLOOKUP($A244,'S45'!$C:$BQ,52,0)</f>
        <v>#N/A</v>
      </c>
      <c r="R244" s="115" t="e">
        <f>VLOOKUP($A244,'S45'!$C:$BQ,59,0)</f>
        <v>#N/A</v>
      </c>
      <c r="S244" s="115" t="e">
        <f>VLOOKUP($A244,'S45'!$C:$BQ,60,0)</f>
        <v>#N/A</v>
      </c>
      <c r="T244" s="107" t="e">
        <f>VLOOKUP($A244,'S46'!$C:$BQ,32,0)</f>
        <v>#N/A</v>
      </c>
      <c r="U244" s="107" t="e">
        <f>VLOOKUP($A244,'S46'!$C:$BQ,39,0)</f>
        <v>#N/A</v>
      </c>
      <c r="V244" s="107" t="e">
        <f>VLOOKUP($A244,'S46'!$C:$BQ,40,0)</f>
        <v>#N/A</v>
      </c>
      <c r="W244" s="107" t="e">
        <f>VLOOKUP($A244,'S46'!$C:$BQ,22,0)</f>
        <v>#N/A</v>
      </c>
      <c r="X244" s="115" t="e">
        <f>VLOOKUP($A244,'S46'!$C:$BQ,29,0)</f>
        <v>#N/A</v>
      </c>
      <c r="Y244" s="115" t="e">
        <f>VLOOKUP($A244,'S46'!$C:$BQ,30,0)</f>
        <v>#N/A</v>
      </c>
      <c r="Z244" s="115" t="e">
        <f>VLOOKUP($A244,'S46'!$C:$BQ,52,0)</f>
        <v>#N/A</v>
      </c>
      <c r="AA244" s="115" t="e">
        <f>VLOOKUP($A244,'S46'!$C:$BQ,59,0)</f>
        <v>#N/A</v>
      </c>
      <c r="AB244" s="115" t="e">
        <f>VLOOKUP($A244,'S46'!$C:$BQ,60,0)</f>
        <v>#N/A</v>
      </c>
      <c r="AC244" s="107" t="e">
        <f>VLOOKUP($A244,'S47'!$C:$BQ,32,0)</f>
        <v>#N/A</v>
      </c>
      <c r="AD244" s="107" t="e">
        <f>VLOOKUP($A244,'S47'!$C:$BQ,39,0)</f>
        <v>#N/A</v>
      </c>
      <c r="AE244" s="107" t="e">
        <f>VLOOKUP($A244,'S47'!$C:$BQ,40,0)</f>
        <v>#N/A</v>
      </c>
      <c r="AF244" s="107" t="e">
        <f>VLOOKUP($A244,'S47'!$C:$BQ,22,0)</f>
        <v>#N/A</v>
      </c>
      <c r="AG244" s="115" t="e">
        <f>VLOOKUP($A244,'S47'!$C:$BQ,29,0)</f>
        <v>#N/A</v>
      </c>
      <c r="AH244" s="115" t="e">
        <f>VLOOKUP($A244,'S47'!$C:$BQ,30,0)</f>
        <v>#N/A</v>
      </c>
      <c r="AI244" s="115" t="e">
        <f>VLOOKUP($A244,'S47'!$C:$BQ,52,0)</f>
        <v>#N/A</v>
      </c>
      <c r="AJ244" s="115" t="e">
        <f>VLOOKUP($A244,'S47'!$C:$BQ,59,0)</f>
        <v>#N/A</v>
      </c>
      <c r="AK244" s="115" t="e">
        <f>VLOOKUP($A244,'S47'!$C:$BQ,60,0)</f>
        <v>#N/A</v>
      </c>
      <c r="AL244" s="107" t="e">
        <f>VLOOKUP($A244,'S48'!$C:$BQ,32,0)</f>
        <v>#N/A</v>
      </c>
      <c r="AM244" s="107" t="e">
        <f>VLOOKUP($A244,'S48'!$C:$BQ,39,0)</f>
        <v>#N/A</v>
      </c>
      <c r="AN244" s="107" t="e">
        <f>VLOOKUP($A244,'S48'!$C:$BQ,40,0)</f>
        <v>#N/A</v>
      </c>
      <c r="AO244" s="107" t="e">
        <f>VLOOKUP($A244,'S48'!$C:$BQ,22,0)</f>
        <v>#N/A</v>
      </c>
      <c r="AP244" s="115" t="e">
        <f>VLOOKUP($A244,'S48'!$C:$BQ,29,0)</f>
        <v>#N/A</v>
      </c>
      <c r="AQ244" s="115" t="e">
        <f>VLOOKUP($A244,'S48'!$C:$BQ,30,0)</f>
        <v>#N/A</v>
      </c>
      <c r="AR244" s="115" t="e">
        <f>VLOOKUP($A244,'S48'!$C:$BQ,52,0)</f>
        <v>#N/A</v>
      </c>
      <c r="AS244" s="115" t="e">
        <f>VLOOKUP($A244,'S48'!$C:$BQ,59,0)</f>
        <v>#N/A</v>
      </c>
      <c r="AT244" s="115" t="e">
        <f>VLOOKUP($A244,'S48'!$C:$BQ,60,0)</f>
        <v>#N/A</v>
      </c>
      <c r="AU244" s="107" t="e">
        <f>VLOOKUP($A244,'S49'!$C:$BQ,32,0)</f>
        <v>#N/A</v>
      </c>
      <c r="AV244" s="107" t="e">
        <f>VLOOKUP($A244,'S49'!$C:$BQ,39,0)</f>
        <v>#N/A</v>
      </c>
      <c r="AW244" s="107" t="e">
        <f>VLOOKUP($A244,'S49'!$C:$BQ,40,0)</f>
        <v>#N/A</v>
      </c>
      <c r="AX244" s="107" t="e">
        <f>VLOOKUP($A244,'S49'!$C:$BQ,22,0)</f>
        <v>#N/A</v>
      </c>
      <c r="AY244" s="115" t="e">
        <f>VLOOKUP($A244,'S49'!$C:$BQ,29,0)</f>
        <v>#N/A</v>
      </c>
      <c r="AZ244" s="115" t="e">
        <f>VLOOKUP($A244,'S49'!$C:$BQ,30,0)</f>
        <v>#N/A</v>
      </c>
      <c r="BA244" s="115" t="e">
        <f>VLOOKUP($A244,'S49'!$C:$BQ,52,0)</f>
        <v>#N/A</v>
      </c>
      <c r="BB244" s="115" t="e">
        <f>VLOOKUP($A244,'S49'!$C:$BQ,59,0)</f>
        <v>#N/A</v>
      </c>
      <c r="BC244" s="115" t="e">
        <f>VLOOKUP($A244,'S49'!$C:$BQ,60,0)</f>
        <v>#N/A</v>
      </c>
      <c r="BD244" s="107" t="e">
        <f>VLOOKUP($A244,'S50'!$C:$BQ,32,0)</f>
        <v>#N/A</v>
      </c>
      <c r="BE244" s="107" t="e">
        <f>VLOOKUP($A244,'S50'!$C:$BQ,39,0)</f>
        <v>#N/A</v>
      </c>
      <c r="BF244" s="107" t="e">
        <f>VLOOKUP($A244,'S50'!$C:$BQ,40,0)</f>
        <v>#N/A</v>
      </c>
      <c r="BG244" s="107" t="e">
        <f>VLOOKUP($A244,'S50'!$C:$BQ,22,0)</f>
        <v>#N/A</v>
      </c>
      <c r="BH244" s="115" t="e">
        <f>VLOOKUP($A244,'S50'!$C:$BQ,29,0)</f>
        <v>#N/A</v>
      </c>
      <c r="BI244" s="115" t="e">
        <f>VLOOKUP($A244,'S50'!$C:$BQ,30,0)</f>
        <v>#N/A</v>
      </c>
      <c r="BJ244" s="115" t="e">
        <f>VLOOKUP($A244,'S50'!$C:$BQ,52,0)</f>
        <v>#N/A</v>
      </c>
      <c r="BK244" s="115" t="e">
        <f>VLOOKUP($A244,'S50'!$C:$BQ,59,0)</f>
        <v>#N/A</v>
      </c>
      <c r="BL244" s="115" t="e">
        <f>VLOOKUP($A244,'S50'!$C:$BQ,60,0)</f>
        <v>#N/A</v>
      </c>
    </row>
    <row r="245" spans="1:64" x14ac:dyDescent="0.2">
      <c r="A245" s="106" t="s">
        <v>317</v>
      </c>
      <c r="B245" s="107">
        <f>VLOOKUP($A245,'S0 remplacer avec S44'!$C:$BQ,32,0)</f>
        <v>306.3</v>
      </c>
      <c r="C245" s="107">
        <f>VLOOKUP($A245,'S0 remplacer avec S44'!$C:$BQ,39,0)</f>
        <v>177</v>
      </c>
      <c r="D245" s="107">
        <f>VLOOKUP($A245,'S0 remplacer avec S44'!$C:$BQ,40,0)</f>
        <v>274</v>
      </c>
      <c r="E245" s="107">
        <f>VLOOKUP($A245,'S0 remplacer avec S44'!$C:$BQ,22,0)</f>
        <v>3361.5707600000001</v>
      </c>
      <c r="F245" s="115">
        <f>VLOOKUP($A245,'S0 remplacer avec S44'!$C:$BQ,29,0)</f>
        <v>1030</v>
      </c>
      <c r="G245" s="115">
        <f>VLOOKUP($A245,'S0 remplacer avec S44'!$C:$BQ,30,0)</f>
        <v>1909</v>
      </c>
      <c r="H245" s="115">
        <f>VLOOKUP($A245,'S0 remplacer avec S44'!$C:$BQ,52,0)</f>
        <v>182.2</v>
      </c>
      <c r="I245" s="115">
        <f>VLOOKUP($A245,'S0 remplacer avec S44'!$C:$BQ,59,0)</f>
        <v>64</v>
      </c>
      <c r="J245" s="115">
        <f>VLOOKUP($A245,'S0 remplacer avec S44'!$C:$BQ,60,0)</f>
        <v>113</v>
      </c>
      <c r="K245" s="107" t="e">
        <f>VLOOKUP($A245,'S45'!$C:$BQ,32,0)</f>
        <v>#N/A</v>
      </c>
      <c r="L245" s="107" t="e">
        <f>VLOOKUP($A245,'S45'!$C:$BQ,39,0)</f>
        <v>#N/A</v>
      </c>
      <c r="M245" s="107" t="e">
        <f>VLOOKUP($A245,'S45'!$C:$BQ,40,0)</f>
        <v>#N/A</v>
      </c>
      <c r="N245" s="107" t="e">
        <f>VLOOKUP($A245,'S45'!$C:$BQ,22,0)</f>
        <v>#N/A</v>
      </c>
      <c r="O245" s="115" t="e">
        <f>VLOOKUP($A245,'S45'!$C:$BQ,29,0)</f>
        <v>#N/A</v>
      </c>
      <c r="P245" s="115" t="e">
        <f>VLOOKUP($A245,'S45'!$C:$BQ,30,0)</f>
        <v>#N/A</v>
      </c>
      <c r="Q245" s="115" t="e">
        <f>VLOOKUP($A245,'S45'!$C:$BQ,52,0)</f>
        <v>#N/A</v>
      </c>
      <c r="R245" s="115" t="e">
        <f>VLOOKUP($A245,'S45'!$C:$BQ,59,0)</f>
        <v>#N/A</v>
      </c>
      <c r="S245" s="115" t="e">
        <f>VLOOKUP($A245,'S45'!$C:$BQ,60,0)</f>
        <v>#N/A</v>
      </c>
      <c r="T245" s="107" t="e">
        <f>VLOOKUP($A245,'S46'!$C:$BQ,32,0)</f>
        <v>#N/A</v>
      </c>
      <c r="U245" s="107" t="e">
        <f>VLOOKUP($A245,'S46'!$C:$BQ,39,0)</f>
        <v>#N/A</v>
      </c>
      <c r="V245" s="107" t="e">
        <f>VLOOKUP($A245,'S46'!$C:$BQ,40,0)</f>
        <v>#N/A</v>
      </c>
      <c r="W245" s="107" t="e">
        <f>VLOOKUP($A245,'S46'!$C:$BQ,22,0)</f>
        <v>#N/A</v>
      </c>
      <c r="X245" s="115" t="e">
        <f>VLOOKUP($A245,'S46'!$C:$BQ,29,0)</f>
        <v>#N/A</v>
      </c>
      <c r="Y245" s="115" t="e">
        <f>VLOOKUP($A245,'S46'!$C:$BQ,30,0)</f>
        <v>#N/A</v>
      </c>
      <c r="Z245" s="115" t="e">
        <f>VLOOKUP($A245,'S46'!$C:$BQ,52,0)</f>
        <v>#N/A</v>
      </c>
      <c r="AA245" s="115" t="e">
        <f>VLOOKUP($A245,'S46'!$C:$BQ,59,0)</f>
        <v>#N/A</v>
      </c>
      <c r="AB245" s="115" t="e">
        <f>VLOOKUP($A245,'S46'!$C:$BQ,60,0)</f>
        <v>#N/A</v>
      </c>
      <c r="AC245" s="107" t="e">
        <f>VLOOKUP($A245,'S47'!$C:$BQ,32,0)</f>
        <v>#N/A</v>
      </c>
      <c r="AD245" s="107" t="e">
        <f>VLOOKUP($A245,'S47'!$C:$BQ,39,0)</f>
        <v>#N/A</v>
      </c>
      <c r="AE245" s="107" t="e">
        <f>VLOOKUP($A245,'S47'!$C:$BQ,40,0)</f>
        <v>#N/A</v>
      </c>
      <c r="AF245" s="107" t="e">
        <f>VLOOKUP($A245,'S47'!$C:$BQ,22,0)</f>
        <v>#N/A</v>
      </c>
      <c r="AG245" s="115" t="e">
        <f>VLOOKUP($A245,'S47'!$C:$BQ,29,0)</f>
        <v>#N/A</v>
      </c>
      <c r="AH245" s="115" t="e">
        <f>VLOOKUP($A245,'S47'!$C:$BQ,30,0)</f>
        <v>#N/A</v>
      </c>
      <c r="AI245" s="115" t="e">
        <f>VLOOKUP($A245,'S47'!$C:$BQ,52,0)</f>
        <v>#N/A</v>
      </c>
      <c r="AJ245" s="115" t="e">
        <f>VLOOKUP($A245,'S47'!$C:$BQ,59,0)</f>
        <v>#N/A</v>
      </c>
      <c r="AK245" s="115" t="e">
        <f>VLOOKUP($A245,'S47'!$C:$BQ,60,0)</f>
        <v>#N/A</v>
      </c>
      <c r="AL245" s="107" t="e">
        <f>VLOOKUP($A245,'S48'!$C:$BQ,32,0)</f>
        <v>#N/A</v>
      </c>
      <c r="AM245" s="107" t="e">
        <f>VLOOKUP($A245,'S48'!$C:$BQ,39,0)</f>
        <v>#N/A</v>
      </c>
      <c r="AN245" s="107" t="e">
        <f>VLOOKUP($A245,'S48'!$C:$BQ,40,0)</f>
        <v>#N/A</v>
      </c>
      <c r="AO245" s="107" t="e">
        <f>VLOOKUP($A245,'S48'!$C:$BQ,22,0)</f>
        <v>#N/A</v>
      </c>
      <c r="AP245" s="115" t="e">
        <f>VLOOKUP($A245,'S48'!$C:$BQ,29,0)</f>
        <v>#N/A</v>
      </c>
      <c r="AQ245" s="115" t="e">
        <f>VLOOKUP($A245,'S48'!$C:$BQ,30,0)</f>
        <v>#N/A</v>
      </c>
      <c r="AR245" s="115" t="e">
        <f>VLOOKUP($A245,'S48'!$C:$BQ,52,0)</f>
        <v>#N/A</v>
      </c>
      <c r="AS245" s="115" t="e">
        <f>VLOOKUP($A245,'S48'!$C:$BQ,59,0)</f>
        <v>#N/A</v>
      </c>
      <c r="AT245" s="115" t="e">
        <f>VLOOKUP($A245,'S48'!$C:$BQ,60,0)</f>
        <v>#N/A</v>
      </c>
      <c r="AU245" s="107" t="e">
        <f>VLOOKUP($A245,'S49'!$C:$BQ,32,0)</f>
        <v>#N/A</v>
      </c>
      <c r="AV245" s="107" t="e">
        <f>VLOOKUP($A245,'S49'!$C:$BQ,39,0)</f>
        <v>#N/A</v>
      </c>
      <c r="AW245" s="107" t="e">
        <f>VLOOKUP($A245,'S49'!$C:$BQ,40,0)</f>
        <v>#N/A</v>
      </c>
      <c r="AX245" s="107" t="e">
        <f>VLOOKUP($A245,'S49'!$C:$BQ,22,0)</f>
        <v>#N/A</v>
      </c>
      <c r="AY245" s="115" t="e">
        <f>VLOOKUP($A245,'S49'!$C:$BQ,29,0)</f>
        <v>#N/A</v>
      </c>
      <c r="AZ245" s="115" t="e">
        <f>VLOOKUP($A245,'S49'!$C:$BQ,30,0)</f>
        <v>#N/A</v>
      </c>
      <c r="BA245" s="115" t="e">
        <f>VLOOKUP($A245,'S49'!$C:$BQ,52,0)</f>
        <v>#N/A</v>
      </c>
      <c r="BB245" s="115" t="e">
        <f>VLOOKUP($A245,'S49'!$C:$BQ,59,0)</f>
        <v>#N/A</v>
      </c>
      <c r="BC245" s="115" t="e">
        <f>VLOOKUP($A245,'S49'!$C:$BQ,60,0)</f>
        <v>#N/A</v>
      </c>
      <c r="BD245" s="107" t="e">
        <f>VLOOKUP($A245,'S50'!$C:$BQ,32,0)</f>
        <v>#N/A</v>
      </c>
      <c r="BE245" s="107" t="e">
        <f>VLOOKUP($A245,'S50'!$C:$BQ,39,0)</f>
        <v>#N/A</v>
      </c>
      <c r="BF245" s="107" t="e">
        <f>VLOOKUP($A245,'S50'!$C:$BQ,40,0)</f>
        <v>#N/A</v>
      </c>
      <c r="BG245" s="107" t="e">
        <f>VLOOKUP($A245,'S50'!$C:$BQ,22,0)</f>
        <v>#N/A</v>
      </c>
      <c r="BH245" s="115" t="e">
        <f>VLOOKUP($A245,'S50'!$C:$BQ,29,0)</f>
        <v>#N/A</v>
      </c>
      <c r="BI245" s="115" t="e">
        <f>VLOOKUP($A245,'S50'!$C:$BQ,30,0)</f>
        <v>#N/A</v>
      </c>
      <c r="BJ245" s="115" t="e">
        <f>VLOOKUP($A245,'S50'!$C:$BQ,52,0)</f>
        <v>#N/A</v>
      </c>
      <c r="BK245" s="115" t="e">
        <f>VLOOKUP($A245,'S50'!$C:$BQ,59,0)</f>
        <v>#N/A</v>
      </c>
      <c r="BL245" s="115" t="e">
        <f>VLOOKUP($A245,'S50'!$C:$BQ,60,0)</f>
        <v>#N/A</v>
      </c>
    </row>
    <row r="246" spans="1:64" x14ac:dyDescent="0.2">
      <c r="A246" s="106" t="s">
        <v>318</v>
      </c>
      <c r="B246" s="107">
        <f>VLOOKUP($A246,'S0 remplacer avec S44'!$C:$BQ,32,0)</f>
        <v>145.19999999999999</v>
      </c>
      <c r="C246" s="107">
        <f>VLOOKUP($A246,'S0 remplacer avec S44'!$C:$BQ,39,0)</f>
        <v>118</v>
      </c>
      <c r="D246" s="107">
        <f>VLOOKUP($A246,'S0 remplacer avec S44'!$C:$BQ,40,0)</f>
        <v>171</v>
      </c>
      <c r="E246" s="107">
        <f>VLOOKUP($A246,'S0 remplacer avec S44'!$C:$BQ,22,0)</f>
        <v>2235.5135150000001</v>
      </c>
      <c r="F246" s="115">
        <f>VLOOKUP($A246,'S0 remplacer avec S44'!$C:$BQ,29,0)</f>
        <v>157</v>
      </c>
      <c r="G246" s="115">
        <f>VLOOKUP($A246,'S0 remplacer avec S44'!$C:$BQ,30,0)</f>
        <v>635</v>
      </c>
      <c r="H246" s="115">
        <f>VLOOKUP($A246,'S0 remplacer avec S44'!$C:$BQ,52,0)</f>
        <v>125.4</v>
      </c>
      <c r="I246" s="115">
        <f>VLOOKUP($A246,'S0 remplacer avec S44'!$C:$BQ,59,0)</f>
        <v>9</v>
      </c>
      <c r="J246" s="115">
        <f>VLOOKUP($A246,'S0 remplacer avec S44'!$C:$BQ,60,0)</f>
        <v>35</v>
      </c>
      <c r="K246" s="107" t="e">
        <f>VLOOKUP($A246,'S45'!$C:$BQ,32,0)</f>
        <v>#N/A</v>
      </c>
      <c r="L246" s="107" t="e">
        <f>VLOOKUP($A246,'S45'!$C:$BQ,39,0)</f>
        <v>#N/A</v>
      </c>
      <c r="M246" s="107" t="e">
        <f>VLOOKUP($A246,'S45'!$C:$BQ,40,0)</f>
        <v>#N/A</v>
      </c>
      <c r="N246" s="107" t="e">
        <f>VLOOKUP($A246,'S45'!$C:$BQ,22,0)</f>
        <v>#N/A</v>
      </c>
      <c r="O246" s="115" t="e">
        <f>VLOOKUP($A246,'S45'!$C:$BQ,29,0)</f>
        <v>#N/A</v>
      </c>
      <c r="P246" s="115" t="e">
        <f>VLOOKUP($A246,'S45'!$C:$BQ,30,0)</f>
        <v>#N/A</v>
      </c>
      <c r="Q246" s="115" t="e">
        <f>VLOOKUP($A246,'S45'!$C:$BQ,52,0)</f>
        <v>#N/A</v>
      </c>
      <c r="R246" s="115" t="e">
        <f>VLOOKUP($A246,'S45'!$C:$BQ,59,0)</f>
        <v>#N/A</v>
      </c>
      <c r="S246" s="115" t="e">
        <f>VLOOKUP($A246,'S45'!$C:$BQ,60,0)</f>
        <v>#N/A</v>
      </c>
      <c r="T246" s="107" t="e">
        <f>VLOOKUP($A246,'S46'!$C:$BQ,32,0)</f>
        <v>#N/A</v>
      </c>
      <c r="U246" s="107" t="e">
        <f>VLOOKUP($A246,'S46'!$C:$BQ,39,0)</f>
        <v>#N/A</v>
      </c>
      <c r="V246" s="107" t="e">
        <f>VLOOKUP($A246,'S46'!$C:$BQ,40,0)</f>
        <v>#N/A</v>
      </c>
      <c r="W246" s="107" t="e">
        <f>VLOOKUP($A246,'S46'!$C:$BQ,22,0)</f>
        <v>#N/A</v>
      </c>
      <c r="X246" s="115" t="e">
        <f>VLOOKUP($A246,'S46'!$C:$BQ,29,0)</f>
        <v>#N/A</v>
      </c>
      <c r="Y246" s="115" t="e">
        <f>VLOOKUP($A246,'S46'!$C:$BQ,30,0)</f>
        <v>#N/A</v>
      </c>
      <c r="Z246" s="115" t="e">
        <f>VLOOKUP($A246,'S46'!$C:$BQ,52,0)</f>
        <v>#N/A</v>
      </c>
      <c r="AA246" s="115" t="e">
        <f>VLOOKUP($A246,'S46'!$C:$BQ,59,0)</f>
        <v>#N/A</v>
      </c>
      <c r="AB246" s="115" t="e">
        <f>VLOOKUP($A246,'S46'!$C:$BQ,60,0)</f>
        <v>#N/A</v>
      </c>
      <c r="AC246" s="107" t="e">
        <f>VLOOKUP($A246,'S47'!$C:$BQ,32,0)</f>
        <v>#N/A</v>
      </c>
      <c r="AD246" s="107" t="e">
        <f>VLOOKUP($A246,'S47'!$C:$BQ,39,0)</f>
        <v>#N/A</v>
      </c>
      <c r="AE246" s="107" t="e">
        <f>VLOOKUP($A246,'S47'!$C:$BQ,40,0)</f>
        <v>#N/A</v>
      </c>
      <c r="AF246" s="107" t="e">
        <f>VLOOKUP($A246,'S47'!$C:$BQ,22,0)</f>
        <v>#N/A</v>
      </c>
      <c r="AG246" s="115" t="e">
        <f>VLOOKUP($A246,'S47'!$C:$BQ,29,0)</f>
        <v>#N/A</v>
      </c>
      <c r="AH246" s="115" t="e">
        <f>VLOOKUP($A246,'S47'!$C:$BQ,30,0)</f>
        <v>#N/A</v>
      </c>
      <c r="AI246" s="115" t="e">
        <f>VLOOKUP($A246,'S47'!$C:$BQ,52,0)</f>
        <v>#N/A</v>
      </c>
      <c r="AJ246" s="115" t="e">
        <f>VLOOKUP($A246,'S47'!$C:$BQ,59,0)</f>
        <v>#N/A</v>
      </c>
      <c r="AK246" s="115" t="e">
        <f>VLOOKUP($A246,'S47'!$C:$BQ,60,0)</f>
        <v>#N/A</v>
      </c>
      <c r="AL246" s="107" t="e">
        <f>VLOOKUP($A246,'S48'!$C:$BQ,32,0)</f>
        <v>#N/A</v>
      </c>
      <c r="AM246" s="107" t="e">
        <f>VLOOKUP($A246,'S48'!$C:$BQ,39,0)</f>
        <v>#N/A</v>
      </c>
      <c r="AN246" s="107" t="e">
        <f>VLOOKUP($A246,'S48'!$C:$BQ,40,0)</f>
        <v>#N/A</v>
      </c>
      <c r="AO246" s="107" t="e">
        <f>VLOOKUP($A246,'S48'!$C:$BQ,22,0)</f>
        <v>#N/A</v>
      </c>
      <c r="AP246" s="115" t="e">
        <f>VLOOKUP($A246,'S48'!$C:$BQ,29,0)</f>
        <v>#N/A</v>
      </c>
      <c r="AQ246" s="115" t="e">
        <f>VLOOKUP($A246,'S48'!$C:$BQ,30,0)</f>
        <v>#N/A</v>
      </c>
      <c r="AR246" s="115" t="e">
        <f>VLOOKUP($A246,'S48'!$C:$BQ,52,0)</f>
        <v>#N/A</v>
      </c>
      <c r="AS246" s="115" t="e">
        <f>VLOOKUP($A246,'S48'!$C:$BQ,59,0)</f>
        <v>#N/A</v>
      </c>
      <c r="AT246" s="115" t="e">
        <f>VLOOKUP($A246,'S48'!$C:$BQ,60,0)</f>
        <v>#N/A</v>
      </c>
      <c r="AU246" s="107" t="e">
        <f>VLOOKUP($A246,'S49'!$C:$BQ,32,0)</f>
        <v>#N/A</v>
      </c>
      <c r="AV246" s="107" t="e">
        <f>VLOOKUP($A246,'S49'!$C:$BQ,39,0)</f>
        <v>#N/A</v>
      </c>
      <c r="AW246" s="107" t="e">
        <f>VLOOKUP($A246,'S49'!$C:$BQ,40,0)</f>
        <v>#N/A</v>
      </c>
      <c r="AX246" s="107" t="e">
        <f>VLOOKUP($A246,'S49'!$C:$BQ,22,0)</f>
        <v>#N/A</v>
      </c>
      <c r="AY246" s="115" t="e">
        <f>VLOOKUP($A246,'S49'!$C:$BQ,29,0)</f>
        <v>#N/A</v>
      </c>
      <c r="AZ246" s="115" t="e">
        <f>VLOOKUP($A246,'S49'!$C:$BQ,30,0)</f>
        <v>#N/A</v>
      </c>
      <c r="BA246" s="115" t="e">
        <f>VLOOKUP($A246,'S49'!$C:$BQ,52,0)</f>
        <v>#N/A</v>
      </c>
      <c r="BB246" s="115" t="e">
        <f>VLOOKUP($A246,'S49'!$C:$BQ,59,0)</f>
        <v>#N/A</v>
      </c>
      <c r="BC246" s="115" t="e">
        <f>VLOOKUP($A246,'S49'!$C:$BQ,60,0)</f>
        <v>#N/A</v>
      </c>
      <c r="BD246" s="107" t="e">
        <f>VLOOKUP($A246,'S50'!$C:$BQ,32,0)</f>
        <v>#N/A</v>
      </c>
      <c r="BE246" s="107" t="e">
        <f>VLOOKUP($A246,'S50'!$C:$BQ,39,0)</f>
        <v>#N/A</v>
      </c>
      <c r="BF246" s="107" t="e">
        <f>VLOOKUP($A246,'S50'!$C:$BQ,40,0)</f>
        <v>#N/A</v>
      </c>
      <c r="BG246" s="107" t="e">
        <f>VLOOKUP($A246,'S50'!$C:$BQ,22,0)</f>
        <v>#N/A</v>
      </c>
      <c r="BH246" s="115" t="e">
        <f>VLOOKUP($A246,'S50'!$C:$BQ,29,0)</f>
        <v>#N/A</v>
      </c>
      <c r="BI246" s="115" t="e">
        <f>VLOOKUP($A246,'S50'!$C:$BQ,30,0)</f>
        <v>#N/A</v>
      </c>
      <c r="BJ246" s="115" t="e">
        <f>VLOOKUP($A246,'S50'!$C:$BQ,52,0)</f>
        <v>#N/A</v>
      </c>
      <c r="BK246" s="115" t="e">
        <f>VLOOKUP($A246,'S50'!$C:$BQ,59,0)</f>
        <v>#N/A</v>
      </c>
      <c r="BL246" s="115" t="e">
        <f>VLOOKUP($A246,'S50'!$C:$BQ,60,0)</f>
        <v>#N/A</v>
      </c>
    </row>
    <row r="247" spans="1:64" x14ac:dyDescent="0.2">
      <c r="A247" s="106" t="s">
        <v>320</v>
      </c>
      <c r="B247" s="107">
        <f>VLOOKUP($A247,'S0 remplacer avec S44'!$C:$BQ,32,0)</f>
        <v>220.55</v>
      </c>
      <c r="C247" s="107">
        <f>VLOOKUP($A247,'S0 remplacer avec S44'!$C:$BQ,39,0)</f>
        <v>0</v>
      </c>
      <c r="D247" s="107">
        <f>VLOOKUP($A247,'S0 remplacer avec S44'!$C:$BQ,40,0)</f>
        <v>0</v>
      </c>
      <c r="E247" s="107">
        <f>VLOOKUP($A247,'S0 remplacer avec S44'!$C:$BQ,22,0)</f>
        <v>1650.9485950000001</v>
      </c>
      <c r="F247" s="115">
        <f>VLOOKUP($A247,'S0 remplacer avec S44'!$C:$BQ,29,0)</f>
        <v>0</v>
      </c>
      <c r="G247" s="115">
        <f>VLOOKUP($A247,'S0 remplacer avec S44'!$C:$BQ,30,0)</f>
        <v>105</v>
      </c>
      <c r="H247" s="115">
        <f>VLOOKUP($A247,'S0 remplacer avec S44'!$C:$BQ,52,0)</f>
        <v>95.6</v>
      </c>
      <c r="I247" s="115">
        <f>VLOOKUP($A247,'S0 remplacer avec S44'!$C:$BQ,59,0)</f>
        <v>0</v>
      </c>
      <c r="J247" s="115">
        <f>VLOOKUP($A247,'S0 remplacer avec S44'!$C:$BQ,60,0)</f>
        <v>3</v>
      </c>
      <c r="K247" s="107" t="e">
        <f>VLOOKUP($A247,'S45'!$C:$BQ,32,0)</f>
        <v>#N/A</v>
      </c>
      <c r="L247" s="107" t="e">
        <f>VLOOKUP($A247,'S45'!$C:$BQ,39,0)</f>
        <v>#N/A</v>
      </c>
      <c r="M247" s="107" t="e">
        <f>VLOOKUP($A247,'S45'!$C:$BQ,40,0)</f>
        <v>#N/A</v>
      </c>
      <c r="N247" s="107" t="e">
        <f>VLOOKUP($A247,'S45'!$C:$BQ,22,0)</f>
        <v>#N/A</v>
      </c>
      <c r="O247" s="115" t="e">
        <f>VLOOKUP($A247,'S45'!$C:$BQ,29,0)</f>
        <v>#N/A</v>
      </c>
      <c r="P247" s="115" t="e">
        <f>VLOOKUP($A247,'S45'!$C:$BQ,30,0)</f>
        <v>#N/A</v>
      </c>
      <c r="Q247" s="115" t="e">
        <f>VLOOKUP($A247,'S45'!$C:$BQ,52,0)</f>
        <v>#N/A</v>
      </c>
      <c r="R247" s="115" t="e">
        <f>VLOOKUP($A247,'S45'!$C:$BQ,59,0)</f>
        <v>#N/A</v>
      </c>
      <c r="S247" s="115" t="e">
        <f>VLOOKUP($A247,'S45'!$C:$BQ,60,0)</f>
        <v>#N/A</v>
      </c>
      <c r="T247" s="107" t="e">
        <f>VLOOKUP($A247,'S46'!$C:$BQ,32,0)</f>
        <v>#N/A</v>
      </c>
      <c r="U247" s="107" t="e">
        <f>VLOOKUP($A247,'S46'!$C:$BQ,39,0)</f>
        <v>#N/A</v>
      </c>
      <c r="V247" s="107" t="e">
        <f>VLOOKUP($A247,'S46'!$C:$BQ,40,0)</f>
        <v>#N/A</v>
      </c>
      <c r="W247" s="107" t="e">
        <f>VLOOKUP($A247,'S46'!$C:$BQ,22,0)</f>
        <v>#N/A</v>
      </c>
      <c r="X247" s="115" t="e">
        <f>VLOOKUP($A247,'S46'!$C:$BQ,29,0)</f>
        <v>#N/A</v>
      </c>
      <c r="Y247" s="115" t="e">
        <f>VLOOKUP($A247,'S46'!$C:$BQ,30,0)</f>
        <v>#N/A</v>
      </c>
      <c r="Z247" s="115" t="e">
        <f>VLOOKUP($A247,'S46'!$C:$BQ,52,0)</f>
        <v>#N/A</v>
      </c>
      <c r="AA247" s="115" t="e">
        <f>VLOOKUP($A247,'S46'!$C:$BQ,59,0)</f>
        <v>#N/A</v>
      </c>
      <c r="AB247" s="115" t="e">
        <f>VLOOKUP($A247,'S46'!$C:$BQ,60,0)</f>
        <v>#N/A</v>
      </c>
      <c r="AC247" s="107" t="e">
        <f>VLOOKUP($A247,'S47'!$C:$BQ,32,0)</f>
        <v>#N/A</v>
      </c>
      <c r="AD247" s="107" t="e">
        <f>VLOOKUP($A247,'S47'!$C:$BQ,39,0)</f>
        <v>#N/A</v>
      </c>
      <c r="AE247" s="107" t="e">
        <f>VLOOKUP($A247,'S47'!$C:$BQ,40,0)</f>
        <v>#N/A</v>
      </c>
      <c r="AF247" s="107" t="e">
        <f>VLOOKUP($A247,'S47'!$C:$BQ,22,0)</f>
        <v>#N/A</v>
      </c>
      <c r="AG247" s="115" t="e">
        <f>VLOOKUP($A247,'S47'!$C:$BQ,29,0)</f>
        <v>#N/A</v>
      </c>
      <c r="AH247" s="115" t="e">
        <f>VLOOKUP($A247,'S47'!$C:$BQ,30,0)</f>
        <v>#N/A</v>
      </c>
      <c r="AI247" s="115" t="e">
        <f>VLOOKUP($A247,'S47'!$C:$BQ,52,0)</f>
        <v>#N/A</v>
      </c>
      <c r="AJ247" s="115" t="e">
        <f>VLOOKUP($A247,'S47'!$C:$BQ,59,0)</f>
        <v>#N/A</v>
      </c>
      <c r="AK247" s="115" t="e">
        <f>VLOOKUP($A247,'S47'!$C:$BQ,60,0)</f>
        <v>#N/A</v>
      </c>
      <c r="AL247" s="107" t="e">
        <f>VLOOKUP($A247,'S48'!$C:$BQ,32,0)</f>
        <v>#N/A</v>
      </c>
      <c r="AM247" s="107" t="e">
        <f>VLOOKUP($A247,'S48'!$C:$BQ,39,0)</f>
        <v>#N/A</v>
      </c>
      <c r="AN247" s="107" t="e">
        <f>VLOOKUP($A247,'S48'!$C:$BQ,40,0)</f>
        <v>#N/A</v>
      </c>
      <c r="AO247" s="107" t="e">
        <f>VLOOKUP($A247,'S48'!$C:$BQ,22,0)</f>
        <v>#N/A</v>
      </c>
      <c r="AP247" s="115" t="e">
        <f>VLOOKUP($A247,'S48'!$C:$BQ,29,0)</f>
        <v>#N/A</v>
      </c>
      <c r="AQ247" s="115" t="e">
        <f>VLOOKUP($A247,'S48'!$C:$BQ,30,0)</f>
        <v>#N/A</v>
      </c>
      <c r="AR247" s="115" t="e">
        <f>VLOOKUP($A247,'S48'!$C:$BQ,52,0)</f>
        <v>#N/A</v>
      </c>
      <c r="AS247" s="115" t="e">
        <f>VLOOKUP($A247,'S48'!$C:$BQ,59,0)</f>
        <v>#N/A</v>
      </c>
      <c r="AT247" s="115" t="e">
        <f>VLOOKUP($A247,'S48'!$C:$BQ,60,0)</f>
        <v>#N/A</v>
      </c>
      <c r="AU247" s="107" t="e">
        <f>VLOOKUP($A247,'S49'!$C:$BQ,32,0)</f>
        <v>#N/A</v>
      </c>
      <c r="AV247" s="107" t="e">
        <f>VLOOKUP($A247,'S49'!$C:$BQ,39,0)</f>
        <v>#N/A</v>
      </c>
      <c r="AW247" s="107" t="e">
        <f>VLOOKUP($A247,'S49'!$C:$BQ,40,0)</f>
        <v>#N/A</v>
      </c>
      <c r="AX247" s="107" t="e">
        <f>VLOOKUP($A247,'S49'!$C:$BQ,22,0)</f>
        <v>#N/A</v>
      </c>
      <c r="AY247" s="115" t="e">
        <f>VLOOKUP($A247,'S49'!$C:$BQ,29,0)</f>
        <v>#N/A</v>
      </c>
      <c r="AZ247" s="115" t="e">
        <f>VLOOKUP($A247,'S49'!$C:$BQ,30,0)</f>
        <v>#N/A</v>
      </c>
      <c r="BA247" s="115" t="e">
        <f>VLOOKUP($A247,'S49'!$C:$BQ,52,0)</f>
        <v>#N/A</v>
      </c>
      <c r="BB247" s="115" t="e">
        <f>VLOOKUP($A247,'S49'!$C:$BQ,59,0)</f>
        <v>#N/A</v>
      </c>
      <c r="BC247" s="115" t="e">
        <f>VLOOKUP($A247,'S49'!$C:$BQ,60,0)</f>
        <v>#N/A</v>
      </c>
      <c r="BD247" s="107" t="e">
        <f>VLOOKUP($A247,'S50'!$C:$BQ,32,0)</f>
        <v>#N/A</v>
      </c>
      <c r="BE247" s="107" t="e">
        <f>VLOOKUP($A247,'S50'!$C:$BQ,39,0)</f>
        <v>#N/A</v>
      </c>
      <c r="BF247" s="107" t="e">
        <f>VLOOKUP($A247,'S50'!$C:$BQ,40,0)</f>
        <v>#N/A</v>
      </c>
      <c r="BG247" s="107" t="e">
        <f>VLOOKUP($A247,'S50'!$C:$BQ,22,0)</f>
        <v>#N/A</v>
      </c>
      <c r="BH247" s="115" t="e">
        <f>VLOOKUP($A247,'S50'!$C:$BQ,29,0)</f>
        <v>#N/A</v>
      </c>
      <c r="BI247" s="115" t="e">
        <f>VLOOKUP($A247,'S50'!$C:$BQ,30,0)</f>
        <v>#N/A</v>
      </c>
      <c r="BJ247" s="115" t="e">
        <f>VLOOKUP($A247,'S50'!$C:$BQ,52,0)</f>
        <v>#N/A</v>
      </c>
      <c r="BK247" s="115" t="e">
        <f>VLOOKUP($A247,'S50'!$C:$BQ,59,0)</f>
        <v>#N/A</v>
      </c>
      <c r="BL247" s="115" t="e">
        <f>VLOOKUP($A247,'S50'!$C:$BQ,60,0)</f>
        <v>#N/A</v>
      </c>
    </row>
    <row r="248" spans="1:64" x14ac:dyDescent="0.2">
      <c r="A248" s="106" t="s">
        <v>321</v>
      </c>
      <c r="B248" s="107">
        <f>VLOOKUP($A248,'S0 remplacer avec S44'!$C:$BQ,32,0)</f>
        <v>58.3</v>
      </c>
      <c r="C248" s="107">
        <f>VLOOKUP($A248,'S0 remplacer avec S44'!$C:$BQ,39,0)</f>
        <v>84</v>
      </c>
      <c r="D248" s="107">
        <f>VLOOKUP($A248,'S0 remplacer avec S44'!$C:$BQ,40,0)</f>
        <v>112</v>
      </c>
      <c r="E248" s="107">
        <f>VLOOKUP($A248,'S0 remplacer avec S44'!$C:$BQ,22,0)</f>
        <v>1051.3893499999999</v>
      </c>
      <c r="F248" s="115">
        <f>VLOOKUP($A248,'S0 remplacer avec S44'!$C:$BQ,29,0)</f>
        <v>239</v>
      </c>
      <c r="G248" s="115">
        <f>VLOOKUP($A248,'S0 remplacer avec S44'!$C:$BQ,30,0)</f>
        <v>497</v>
      </c>
      <c r="H248" s="115">
        <f>VLOOKUP($A248,'S0 remplacer avec S44'!$C:$BQ,52,0)</f>
        <v>61.6</v>
      </c>
      <c r="I248" s="115">
        <f>VLOOKUP($A248,'S0 remplacer avec S44'!$C:$BQ,59,0)</f>
        <v>11</v>
      </c>
      <c r="J248" s="115">
        <f>VLOOKUP($A248,'S0 remplacer avec S44'!$C:$BQ,60,0)</f>
        <v>25</v>
      </c>
      <c r="K248" s="107" t="e">
        <f>VLOOKUP($A248,'S45'!$C:$BQ,32,0)</f>
        <v>#N/A</v>
      </c>
      <c r="L248" s="107" t="e">
        <f>VLOOKUP($A248,'S45'!$C:$BQ,39,0)</f>
        <v>#N/A</v>
      </c>
      <c r="M248" s="107" t="e">
        <f>VLOOKUP($A248,'S45'!$C:$BQ,40,0)</f>
        <v>#N/A</v>
      </c>
      <c r="N248" s="107" t="e">
        <f>VLOOKUP($A248,'S45'!$C:$BQ,22,0)</f>
        <v>#N/A</v>
      </c>
      <c r="O248" s="115" t="e">
        <f>VLOOKUP($A248,'S45'!$C:$BQ,29,0)</f>
        <v>#N/A</v>
      </c>
      <c r="P248" s="115" t="e">
        <f>VLOOKUP($A248,'S45'!$C:$BQ,30,0)</f>
        <v>#N/A</v>
      </c>
      <c r="Q248" s="115" t="e">
        <f>VLOOKUP($A248,'S45'!$C:$BQ,52,0)</f>
        <v>#N/A</v>
      </c>
      <c r="R248" s="115" t="e">
        <f>VLOOKUP($A248,'S45'!$C:$BQ,59,0)</f>
        <v>#N/A</v>
      </c>
      <c r="S248" s="115" t="e">
        <f>VLOOKUP($A248,'S45'!$C:$BQ,60,0)</f>
        <v>#N/A</v>
      </c>
      <c r="T248" s="107" t="e">
        <f>VLOOKUP($A248,'S46'!$C:$BQ,32,0)</f>
        <v>#N/A</v>
      </c>
      <c r="U248" s="107" t="e">
        <f>VLOOKUP($A248,'S46'!$C:$BQ,39,0)</f>
        <v>#N/A</v>
      </c>
      <c r="V248" s="107" t="e">
        <f>VLOOKUP($A248,'S46'!$C:$BQ,40,0)</f>
        <v>#N/A</v>
      </c>
      <c r="W248" s="107" t="e">
        <f>VLOOKUP($A248,'S46'!$C:$BQ,22,0)</f>
        <v>#N/A</v>
      </c>
      <c r="X248" s="115" t="e">
        <f>VLOOKUP($A248,'S46'!$C:$BQ,29,0)</f>
        <v>#N/A</v>
      </c>
      <c r="Y248" s="115" t="e">
        <f>VLOOKUP($A248,'S46'!$C:$BQ,30,0)</f>
        <v>#N/A</v>
      </c>
      <c r="Z248" s="115" t="e">
        <f>VLOOKUP($A248,'S46'!$C:$BQ,52,0)</f>
        <v>#N/A</v>
      </c>
      <c r="AA248" s="115" t="e">
        <f>VLOOKUP($A248,'S46'!$C:$BQ,59,0)</f>
        <v>#N/A</v>
      </c>
      <c r="AB248" s="115" t="e">
        <f>VLOOKUP($A248,'S46'!$C:$BQ,60,0)</f>
        <v>#N/A</v>
      </c>
      <c r="AC248" s="107" t="e">
        <f>VLOOKUP($A248,'S47'!$C:$BQ,32,0)</f>
        <v>#N/A</v>
      </c>
      <c r="AD248" s="107" t="e">
        <f>VLOOKUP($A248,'S47'!$C:$BQ,39,0)</f>
        <v>#N/A</v>
      </c>
      <c r="AE248" s="107" t="e">
        <f>VLOOKUP($A248,'S47'!$C:$BQ,40,0)</f>
        <v>#N/A</v>
      </c>
      <c r="AF248" s="107" t="e">
        <f>VLOOKUP($A248,'S47'!$C:$BQ,22,0)</f>
        <v>#N/A</v>
      </c>
      <c r="AG248" s="115" t="e">
        <f>VLOOKUP($A248,'S47'!$C:$BQ,29,0)</f>
        <v>#N/A</v>
      </c>
      <c r="AH248" s="115" t="e">
        <f>VLOOKUP($A248,'S47'!$C:$BQ,30,0)</f>
        <v>#N/A</v>
      </c>
      <c r="AI248" s="115" t="e">
        <f>VLOOKUP($A248,'S47'!$C:$BQ,52,0)</f>
        <v>#N/A</v>
      </c>
      <c r="AJ248" s="115" t="e">
        <f>VLOOKUP($A248,'S47'!$C:$BQ,59,0)</f>
        <v>#N/A</v>
      </c>
      <c r="AK248" s="115" t="e">
        <f>VLOOKUP($A248,'S47'!$C:$BQ,60,0)</f>
        <v>#N/A</v>
      </c>
      <c r="AL248" s="107" t="e">
        <f>VLOOKUP($A248,'S48'!$C:$BQ,32,0)</f>
        <v>#N/A</v>
      </c>
      <c r="AM248" s="107" t="e">
        <f>VLOOKUP($A248,'S48'!$C:$BQ,39,0)</f>
        <v>#N/A</v>
      </c>
      <c r="AN248" s="107" t="e">
        <f>VLOOKUP($A248,'S48'!$C:$BQ,40,0)</f>
        <v>#N/A</v>
      </c>
      <c r="AO248" s="107" t="e">
        <f>VLOOKUP($A248,'S48'!$C:$BQ,22,0)</f>
        <v>#N/A</v>
      </c>
      <c r="AP248" s="115" t="e">
        <f>VLOOKUP($A248,'S48'!$C:$BQ,29,0)</f>
        <v>#N/A</v>
      </c>
      <c r="AQ248" s="115" t="e">
        <f>VLOOKUP($A248,'S48'!$C:$BQ,30,0)</f>
        <v>#N/A</v>
      </c>
      <c r="AR248" s="115" t="e">
        <f>VLOOKUP($A248,'S48'!$C:$BQ,52,0)</f>
        <v>#N/A</v>
      </c>
      <c r="AS248" s="115" t="e">
        <f>VLOOKUP($A248,'S48'!$C:$BQ,59,0)</f>
        <v>#N/A</v>
      </c>
      <c r="AT248" s="115" t="e">
        <f>VLOOKUP($A248,'S48'!$C:$BQ,60,0)</f>
        <v>#N/A</v>
      </c>
      <c r="AU248" s="107" t="e">
        <f>VLOOKUP($A248,'S49'!$C:$BQ,32,0)</f>
        <v>#N/A</v>
      </c>
      <c r="AV248" s="107" t="e">
        <f>VLOOKUP($A248,'S49'!$C:$BQ,39,0)</f>
        <v>#N/A</v>
      </c>
      <c r="AW248" s="107" t="e">
        <f>VLOOKUP($A248,'S49'!$C:$BQ,40,0)</f>
        <v>#N/A</v>
      </c>
      <c r="AX248" s="107" t="e">
        <f>VLOOKUP($A248,'S49'!$C:$BQ,22,0)</f>
        <v>#N/A</v>
      </c>
      <c r="AY248" s="115" t="e">
        <f>VLOOKUP($A248,'S49'!$C:$BQ,29,0)</f>
        <v>#N/A</v>
      </c>
      <c r="AZ248" s="115" t="e">
        <f>VLOOKUP($A248,'S49'!$C:$BQ,30,0)</f>
        <v>#N/A</v>
      </c>
      <c r="BA248" s="115" t="e">
        <f>VLOOKUP($A248,'S49'!$C:$BQ,52,0)</f>
        <v>#N/A</v>
      </c>
      <c r="BB248" s="115" t="e">
        <f>VLOOKUP($A248,'S49'!$C:$BQ,59,0)</f>
        <v>#N/A</v>
      </c>
      <c r="BC248" s="115" t="e">
        <f>VLOOKUP($A248,'S49'!$C:$BQ,60,0)</f>
        <v>#N/A</v>
      </c>
      <c r="BD248" s="107" t="e">
        <f>VLOOKUP($A248,'S50'!$C:$BQ,32,0)</f>
        <v>#N/A</v>
      </c>
      <c r="BE248" s="107" t="e">
        <f>VLOOKUP($A248,'S50'!$C:$BQ,39,0)</f>
        <v>#N/A</v>
      </c>
      <c r="BF248" s="107" t="e">
        <f>VLOOKUP($A248,'S50'!$C:$BQ,40,0)</f>
        <v>#N/A</v>
      </c>
      <c r="BG248" s="107" t="e">
        <f>VLOOKUP($A248,'S50'!$C:$BQ,22,0)</f>
        <v>#N/A</v>
      </c>
      <c r="BH248" s="115" t="e">
        <f>VLOOKUP($A248,'S50'!$C:$BQ,29,0)</f>
        <v>#N/A</v>
      </c>
      <c r="BI248" s="115" t="e">
        <f>VLOOKUP($A248,'S50'!$C:$BQ,30,0)</f>
        <v>#N/A</v>
      </c>
      <c r="BJ248" s="115" t="e">
        <f>VLOOKUP($A248,'S50'!$C:$BQ,52,0)</f>
        <v>#N/A</v>
      </c>
      <c r="BK248" s="115" t="e">
        <f>VLOOKUP($A248,'S50'!$C:$BQ,59,0)</f>
        <v>#N/A</v>
      </c>
      <c r="BL248" s="115" t="e">
        <f>VLOOKUP($A248,'S50'!$C:$BQ,60,0)</f>
        <v>#N/A</v>
      </c>
    </row>
    <row r="249" spans="1:64" x14ac:dyDescent="0.2">
      <c r="A249" s="106" t="s">
        <v>322</v>
      </c>
      <c r="B249" s="107">
        <f>VLOOKUP($A249,'S0 remplacer avec S44'!$C:$BQ,32,0)</f>
        <v>105.05</v>
      </c>
      <c r="C249" s="107">
        <f>VLOOKUP($A249,'S0 remplacer avec S44'!$C:$BQ,39,0)</f>
        <v>74</v>
      </c>
      <c r="D249" s="107">
        <f>VLOOKUP($A249,'S0 remplacer avec S44'!$C:$BQ,40,0)</f>
        <v>110</v>
      </c>
      <c r="E249" s="107">
        <f>VLOOKUP($A249,'S0 remplacer avec S44'!$C:$BQ,22,0)</f>
        <v>906.38475000000005</v>
      </c>
      <c r="F249" s="115">
        <f>VLOOKUP($A249,'S0 remplacer avec S44'!$C:$BQ,29,0)</f>
        <v>721</v>
      </c>
      <c r="G249" s="115">
        <f>VLOOKUP($A249,'S0 remplacer avec S44'!$C:$BQ,30,0)</f>
        <v>1047</v>
      </c>
      <c r="H249" s="115">
        <f>VLOOKUP($A249,'S0 remplacer avec S44'!$C:$BQ,52,0)</f>
        <v>53.4</v>
      </c>
      <c r="I249" s="115">
        <f>VLOOKUP($A249,'S0 remplacer avec S44'!$C:$BQ,59,0)</f>
        <v>38</v>
      </c>
      <c r="J249" s="115">
        <f>VLOOKUP($A249,'S0 remplacer avec S44'!$C:$BQ,60,0)</f>
        <v>56</v>
      </c>
      <c r="K249" s="107" t="e">
        <f>VLOOKUP($A249,'S45'!$C:$BQ,32,0)</f>
        <v>#N/A</v>
      </c>
      <c r="L249" s="107" t="e">
        <f>VLOOKUP($A249,'S45'!$C:$BQ,39,0)</f>
        <v>#N/A</v>
      </c>
      <c r="M249" s="107" t="e">
        <f>VLOOKUP($A249,'S45'!$C:$BQ,40,0)</f>
        <v>#N/A</v>
      </c>
      <c r="N249" s="107" t="e">
        <f>VLOOKUP($A249,'S45'!$C:$BQ,22,0)</f>
        <v>#N/A</v>
      </c>
      <c r="O249" s="115" t="e">
        <f>VLOOKUP($A249,'S45'!$C:$BQ,29,0)</f>
        <v>#N/A</v>
      </c>
      <c r="P249" s="115" t="e">
        <f>VLOOKUP($A249,'S45'!$C:$BQ,30,0)</f>
        <v>#N/A</v>
      </c>
      <c r="Q249" s="115" t="e">
        <f>VLOOKUP($A249,'S45'!$C:$BQ,52,0)</f>
        <v>#N/A</v>
      </c>
      <c r="R249" s="115" t="e">
        <f>VLOOKUP($A249,'S45'!$C:$BQ,59,0)</f>
        <v>#N/A</v>
      </c>
      <c r="S249" s="115" t="e">
        <f>VLOOKUP($A249,'S45'!$C:$BQ,60,0)</f>
        <v>#N/A</v>
      </c>
      <c r="T249" s="107" t="e">
        <f>VLOOKUP($A249,'S46'!$C:$BQ,32,0)</f>
        <v>#N/A</v>
      </c>
      <c r="U249" s="107" t="e">
        <f>VLOOKUP($A249,'S46'!$C:$BQ,39,0)</f>
        <v>#N/A</v>
      </c>
      <c r="V249" s="107" t="e">
        <f>VLOOKUP($A249,'S46'!$C:$BQ,40,0)</f>
        <v>#N/A</v>
      </c>
      <c r="W249" s="107" t="e">
        <f>VLOOKUP($A249,'S46'!$C:$BQ,22,0)</f>
        <v>#N/A</v>
      </c>
      <c r="X249" s="115" t="e">
        <f>VLOOKUP($A249,'S46'!$C:$BQ,29,0)</f>
        <v>#N/A</v>
      </c>
      <c r="Y249" s="115" t="e">
        <f>VLOOKUP($A249,'S46'!$C:$BQ,30,0)</f>
        <v>#N/A</v>
      </c>
      <c r="Z249" s="115" t="e">
        <f>VLOOKUP($A249,'S46'!$C:$BQ,52,0)</f>
        <v>#N/A</v>
      </c>
      <c r="AA249" s="115" t="e">
        <f>VLOOKUP($A249,'S46'!$C:$BQ,59,0)</f>
        <v>#N/A</v>
      </c>
      <c r="AB249" s="115" t="e">
        <f>VLOOKUP($A249,'S46'!$C:$BQ,60,0)</f>
        <v>#N/A</v>
      </c>
      <c r="AC249" s="107" t="e">
        <f>VLOOKUP($A249,'S47'!$C:$BQ,32,0)</f>
        <v>#N/A</v>
      </c>
      <c r="AD249" s="107" t="e">
        <f>VLOOKUP($A249,'S47'!$C:$BQ,39,0)</f>
        <v>#N/A</v>
      </c>
      <c r="AE249" s="107" t="e">
        <f>VLOOKUP($A249,'S47'!$C:$BQ,40,0)</f>
        <v>#N/A</v>
      </c>
      <c r="AF249" s="107" t="e">
        <f>VLOOKUP($A249,'S47'!$C:$BQ,22,0)</f>
        <v>#N/A</v>
      </c>
      <c r="AG249" s="115" t="e">
        <f>VLOOKUP($A249,'S47'!$C:$BQ,29,0)</f>
        <v>#N/A</v>
      </c>
      <c r="AH249" s="115" t="e">
        <f>VLOOKUP($A249,'S47'!$C:$BQ,30,0)</f>
        <v>#N/A</v>
      </c>
      <c r="AI249" s="115" t="e">
        <f>VLOOKUP($A249,'S47'!$C:$BQ,52,0)</f>
        <v>#N/A</v>
      </c>
      <c r="AJ249" s="115" t="e">
        <f>VLOOKUP($A249,'S47'!$C:$BQ,59,0)</f>
        <v>#N/A</v>
      </c>
      <c r="AK249" s="115" t="e">
        <f>VLOOKUP($A249,'S47'!$C:$BQ,60,0)</f>
        <v>#N/A</v>
      </c>
      <c r="AL249" s="107" t="e">
        <f>VLOOKUP($A249,'S48'!$C:$BQ,32,0)</f>
        <v>#N/A</v>
      </c>
      <c r="AM249" s="107" t="e">
        <f>VLOOKUP($A249,'S48'!$C:$BQ,39,0)</f>
        <v>#N/A</v>
      </c>
      <c r="AN249" s="107" t="e">
        <f>VLOOKUP($A249,'S48'!$C:$BQ,40,0)</f>
        <v>#N/A</v>
      </c>
      <c r="AO249" s="107" t="e">
        <f>VLOOKUP($A249,'S48'!$C:$BQ,22,0)</f>
        <v>#N/A</v>
      </c>
      <c r="AP249" s="115" t="e">
        <f>VLOOKUP($A249,'S48'!$C:$BQ,29,0)</f>
        <v>#N/A</v>
      </c>
      <c r="AQ249" s="115" t="e">
        <f>VLOOKUP($A249,'S48'!$C:$BQ,30,0)</f>
        <v>#N/A</v>
      </c>
      <c r="AR249" s="115" t="e">
        <f>VLOOKUP($A249,'S48'!$C:$BQ,52,0)</f>
        <v>#N/A</v>
      </c>
      <c r="AS249" s="115" t="e">
        <f>VLOOKUP($A249,'S48'!$C:$BQ,59,0)</f>
        <v>#N/A</v>
      </c>
      <c r="AT249" s="115" t="e">
        <f>VLOOKUP($A249,'S48'!$C:$BQ,60,0)</f>
        <v>#N/A</v>
      </c>
      <c r="AU249" s="107" t="e">
        <f>VLOOKUP($A249,'S49'!$C:$BQ,32,0)</f>
        <v>#N/A</v>
      </c>
      <c r="AV249" s="107" t="e">
        <f>VLOOKUP($A249,'S49'!$C:$BQ,39,0)</f>
        <v>#N/A</v>
      </c>
      <c r="AW249" s="107" t="e">
        <f>VLOOKUP($A249,'S49'!$C:$BQ,40,0)</f>
        <v>#N/A</v>
      </c>
      <c r="AX249" s="107" t="e">
        <f>VLOOKUP($A249,'S49'!$C:$BQ,22,0)</f>
        <v>#N/A</v>
      </c>
      <c r="AY249" s="115" t="e">
        <f>VLOOKUP($A249,'S49'!$C:$BQ,29,0)</f>
        <v>#N/A</v>
      </c>
      <c r="AZ249" s="115" t="e">
        <f>VLOOKUP($A249,'S49'!$C:$BQ,30,0)</f>
        <v>#N/A</v>
      </c>
      <c r="BA249" s="115" t="e">
        <f>VLOOKUP($A249,'S49'!$C:$BQ,52,0)</f>
        <v>#N/A</v>
      </c>
      <c r="BB249" s="115" t="e">
        <f>VLOOKUP($A249,'S49'!$C:$BQ,59,0)</f>
        <v>#N/A</v>
      </c>
      <c r="BC249" s="115" t="e">
        <f>VLOOKUP($A249,'S49'!$C:$BQ,60,0)</f>
        <v>#N/A</v>
      </c>
      <c r="BD249" s="107" t="e">
        <f>VLOOKUP($A249,'S50'!$C:$BQ,32,0)</f>
        <v>#N/A</v>
      </c>
      <c r="BE249" s="107" t="e">
        <f>VLOOKUP($A249,'S50'!$C:$BQ,39,0)</f>
        <v>#N/A</v>
      </c>
      <c r="BF249" s="107" t="e">
        <f>VLOOKUP($A249,'S50'!$C:$BQ,40,0)</f>
        <v>#N/A</v>
      </c>
      <c r="BG249" s="107" t="e">
        <f>VLOOKUP($A249,'S50'!$C:$BQ,22,0)</f>
        <v>#N/A</v>
      </c>
      <c r="BH249" s="115" t="e">
        <f>VLOOKUP($A249,'S50'!$C:$BQ,29,0)</f>
        <v>#N/A</v>
      </c>
      <c r="BI249" s="115" t="e">
        <f>VLOOKUP($A249,'S50'!$C:$BQ,30,0)</f>
        <v>#N/A</v>
      </c>
      <c r="BJ249" s="115" t="e">
        <f>VLOOKUP($A249,'S50'!$C:$BQ,52,0)</f>
        <v>#N/A</v>
      </c>
      <c r="BK249" s="115" t="e">
        <f>VLOOKUP($A249,'S50'!$C:$BQ,59,0)</f>
        <v>#N/A</v>
      </c>
      <c r="BL249" s="115" t="e">
        <f>VLOOKUP($A249,'S50'!$C:$BQ,60,0)</f>
        <v>#N/A</v>
      </c>
    </row>
    <row r="250" spans="1:64" x14ac:dyDescent="0.2">
      <c r="A250" s="106" t="s">
        <v>323</v>
      </c>
      <c r="B250" s="107">
        <f>VLOOKUP($A250,'S0 remplacer avec S44'!$C:$BQ,32,0)</f>
        <v>152.9</v>
      </c>
      <c r="C250" s="107">
        <f>VLOOKUP($A250,'S0 remplacer avec S44'!$C:$BQ,39,0)</f>
        <v>11</v>
      </c>
      <c r="D250" s="107">
        <f>VLOOKUP($A250,'S0 remplacer avec S44'!$C:$BQ,40,0)</f>
        <v>44</v>
      </c>
      <c r="E250" s="107">
        <f>VLOOKUP($A250,'S0 remplacer avec S44'!$C:$BQ,22,0)</f>
        <v>1958.9449050000001</v>
      </c>
      <c r="F250" s="115">
        <f>VLOOKUP($A250,'S0 remplacer avec S44'!$C:$BQ,29,0)</f>
        <v>0</v>
      </c>
      <c r="G250" s="115">
        <f>VLOOKUP($A250,'S0 remplacer avec S44'!$C:$BQ,30,0)</f>
        <v>0</v>
      </c>
      <c r="H250" s="115">
        <f>VLOOKUP($A250,'S0 remplacer avec S44'!$C:$BQ,52,0)</f>
        <v>86.8</v>
      </c>
      <c r="I250" s="115">
        <f>VLOOKUP($A250,'S0 remplacer avec S44'!$C:$BQ,59,0)</f>
        <v>0</v>
      </c>
      <c r="J250" s="115">
        <f>VLOOKUP($A250,'S0 remplacer avec S44'!$C:$BQ,60,0)</f>
        <v>13</v>
      </c>
      <c r="K250" s="107" t="e">
        <f>VLOOKUP($A250,'S45'!$C:$BQ,32,0)</f>
        <v>#N/A</v>
      </c>
      <c r="L250" s="107" t="e">
        <f>VLOOKUP($A250,'S45'!$C:$BQ,39,0)</f>
        <v>#N/A</v>
      </c>
      <c r="M250" s="107" t="e">
        <f>VLOOKUP($A250,'S45'!$C:$BQ,40,0)</f>
        <v>#N/A</v>
      </c>
      <c r="N250" s="107" t="e">
        <f>VLOOKUP($A250,'S45'!$C:$BQ,22,0)</f>
        <v>#N/A</v>
      </c>
      <c r="O250" s="115" t="e">
        <f>VLOOKUP($A250,'S45'!$C:$BQ,29,0)</f>
        <v>#N/A</v>
      </c>
      <c r="P250" s="115" t="e">
        <f>VLOOKUP($A250,'S45'!$C:$BQ,30,0)</f>
        <v>#N/A</v>
      </c>
      <c r="Q250" s="115" t="e">
        <f>VLOOKUP($A250,'S45'!$C:$BQ,52,0)</f>
        <v>#N/A</v>
      </c>
      <c r="R250" s="115" t="e">
        <f>VLOOKUP($A250,'S45'!$C:$BQ,59,0)</f>
        <v>#N/A</v>
      </c>
      <c r="S250" s="115" t="e">
        <f>VLOOKUP($A250,'S45'!$C:$BQ,60,0)</f>
        <v>#N/A</v>
      </c>
      <c r="T250" s="107" t="e">
        <f>VLOOKUP($A250,'S46'!$C:$BQ,32,0)</f>
        <v>#N/A</v>
      </c>
      <c r="U250" s="107" t="e">
        <f>VLOOKUP($A250,'S46'!$C:$BQ,39,0)</f>
        <v>#N/A</v>
      </c>
      <c r="V250" s="107" t="e">
        <f>VLOOKUP($A250,'S46'!$C:$BQ,40,0)</f>
        <v>#N/A</v>
      </c>
      <c r="W250" s="107" t="e">
        <f>VLOOKUP($A250,'S46'!$C:$BQ,22,0)</f>
        <v>#N/A</v>
      </c>
      <c r="X250" s="115" t="e">
        <f>VLOOKUP($A250,'S46'!$C:$BQ,29,0)</f>
        <v>#N/A</v>
      </c>
      <c r="Y250" s="115" t="e">
        <f>VLOOKUP($A250,'S46'!$C:$BQ,30,0)</f>
        <v>#N/A</v>
      </c>
      <c r="Z250" s="115" t="e">
        <f>VLOOKUP($A250,'S46'!$C:$BQ,52,0)</f>
        <v>#N/A</v>
      </c>
      <c r="AA250" s="115" t="e">
        <f>VLOOKUP($A250,'S46'!$C:$BQ,59,0)</f>
        <v>#N/A</v>
      </c>
      <c r="AB250" s="115" t="e">
        <f>VLOOKUP($A250,'S46'!$C:$BQ,60,0)</f>
        <v>#N/A</v>
      </c>
      <c r="AC250" s="107" t="e">
        <f>VLOOKUP($A250,'S47'!$C:$BQ,32,0)</f>
        <v>#N/A</v>
      </c>
      <c r="AD250" s="107" t="e">
        <f>VLOOKUP($A250,'S47'!$C:$BQ,39,0)</f>
        <v>#N/A</v>
      </c>
      <c r="AE250" s="107" t="e">
        <f>VLOOKUP($A250,'S47'!$C:$BQ,40,0)</f>
        <v>#N/A</v>
      </c>
      <c r="AF250" s="107" t="e">
        <f>VLOOKUP($A250,'S47'!$C:$BQ,22,0)</f>
        <v>#N/A</v>
      </c>
      <c r="AG250" s="115" t="e">
        <f>VLOOKUP($A250,'S47'!$C:$BQ,29,0)</f>
        <v>#N/A</v>
      </c>
      <c r="AH250" s="115" t="e">
        <f>VLOOKUP($A250,'S47'!$C:$BQ,30,0)</f>
        <v>#N/A</v>
      </c>
      <c r="AI250" s="115" t="e">
        <f>VLOOKUP($A250,'S47'!$C:$BQ,52,0)</f>
        <v>#N/A</v>
      </c>
      <c r="AJ250" s="115" t="e">
        <f>VLOOKUP($A250,'S47'!$C:$BQ,59,0)</f>
        <v>#N/A</v>
      </c>
      <c r="AK250" s="115" t="e">
        <f>VLOOKUP($A250,'S47'!$C:$BQ,60,0)</f>
        <v>#N/A</v>
      </c>
      <c r="AL250" s="107" t="e">
        <f>VLOOKUP($A250,'S48'!$C:$BQ,32,0)</f>
        <v>#N/A</v>
      </c>
      <c r="AM250" s="107" t="e">
        <f>VLOOKUP($A250,'S48'!$C:$BQ,39,0)</f>
        <v>#N/A</v>
      </c>
      <c r="AN250" s="107" t="e">
        <f>VLOOKUP($A250,'S48'!$C:$BQ,40,0)</f>
        <v>#N/A</v>
      </c>
      <c r="AO250" s="107" t="e">
        <f>VLOOKUP($A250,'S48'!$C:$BQ,22,0)</f>
        <v>#N/A</v>
      </c>
      <c r="AP250" s="115" t="e">
        <f>VLOOKUP($A250,'S48'!$C:$BQ,29,0)</f>
        <v>#N/A</v>
      </c>
      <c r="AQ250" s="115" t="e">
        <f>VLOOKUP($A250,'S48'!$C:$BQ,30,0)</f>
        <v>#N/A</v>
      </c>
      <c r="AR250" s="115" t="e">
        <f>VLOOKUP($A250,'S48'!$C:$BQ,52,0)</f>
        <v>#N/A</v>
      </c>
      <c r="AS250" s="115" t="e">
        <f>VLOOKUP($A250,'S48'!$C:$BQ,59,0)</f>
        <v>#N/A</v>
      </c>
      <c r="AT250" s="115" t="e">
        <f>VLOOKUP($A250,'S48'!$C:$BQ,60,0)</f>
        <v>#N/A</v>
      </c>
      <c r="AU250" s="107" t="e">
        <f>VLOOKUP($A250,'S49'!$C:$BQ,32,0)</f>
        <v>#N/A</v>
      </c>
      <c r="AV250" s="107" t="e">
        <f>VLOOKUP($A250,'S49'!$C:$BQ,39,0)</f>
        <v>#N/A</v>
      </c>
      <c r="AW250" s="107" t="e">
        <f>VLOOKUP($A250,'S49'!$C:$BQ,40,0)</f>
        <v>#N/A</v>
      </c>
      <c r="AX250" s="107" t="e">
        <f>VLOOKUP($A250,'S49'!$C:$BQ,22,0)</f>
        <v>#N/A</v>
      </c>
      <c r="AY250" s="115" t="e">
        <f>VLOOKUP($A250,'S49'!$C:$BQ,29,0)</f>
        <v>#N/A</v>
      </c>
      <c r="AZ250" s="115" t="e">
        <f>VLOOKUP($A250,'S49'!$C:$BQ,30,0)</f>
        <v>#N/A</v>
      </c>
      <c r="BA250" s="115" t="e">
        <f>VLOOKUP($A250,'S49'!$C:$BQ,52,0)</f>
        <v>#N/A</v>
      </c>
      <c r="BB250" s="115" t="e">
        <f>VLOOKUP($A250,'S49'!$C:$BQ,59,0)</f>
        <v>#N/A</v>
      </c>
      <c r="BC250" s="115" t="e">
        <f>VLOOKUP($A250,'S49'!$C:$BQ,60,0)</f>
        <v>#N/A</v>
      </c>
      <c r="BD250" s="107" t="e">
        <f>VLOOKUP($A250,'S50'!$C:$BQ,32,0)</f>
        <v>#N/A</v>
      </c>
      <c r="BE250" s="107" t="e">
        <f>VLOOKUP($A250,'S50'!$C:$BQ,39,0)</f>
        <v>#N/A</v>
      </c>
      <c r="BF250" s="107" t="e">
        <f>VLOOKUP($A250,'S50'!$C:$BQ,40,0)</f>
        <v>#N/A</v>
      </c>
      <c r="BG250" s="107" t="e">
        <f>VLOOKUP($A250,'S50'!$C:$BQ,22,0)</f>
        <v>#N/A</v>
      </c>
      <c r="BH250" s="115" t="e">
        <f>VLOOKUP($A250,'S50'!$C:$BQ,29,0)</f>
        <v>#N/A</v>
      </c>
      <c r="BI250" s="115" t="e">
        <f>VLOOKUP($A250,'S50'!$C:$BQ,30,0)</f>
        <v>#N/A</v>
      </c>
      <c r="BJ250" s="115" t="e">
        <f>VLOOKUP($A250,'S50'!$C:$BQ,52,0)</f>
        <v>#N/A</v>
      </c>
      <c r="BK250" s="115" t="e">
        <f>VLOOKUP($A250,'S50'!$C:$BQ,59,0)</f>
        <v>#N/A</v>
      </c>
      <c r="BL250" s="115" t="e">
        <f>VLOOKUP($A250,'S50'!$C:$BQ,60,0)</f>
        <v>#N/A</v>
      </c>
    </row>
    <row r="251" spans="1:64" x14ac:dyDescent="0.2">
      <c r="A251" s="106" t="s">
        <v>324</v>
      </c>
      <c r="B251" s="107">
        <f>VLOOKUP($A251,'S0 remplacer avec S44'!$C:$BQ,32,0)</f>
        <v>120.25</v>
      </c>
      <c r="C251" s="107">
        <f>VLOOKUP($A251,'S0 remplacer avec S44'!$C:$BQ,39,0)</f>
        <v>96</v>
      </c>
      <c r="D251" s="107">
        <f>VLOOKUP($A251,'S0 remplacer avec S44'!$C:$BQ,40,0)</f>
        <v>139</v>
      </c>
      <c r="E251" s="107">
        <f>VLOOKUP($A251,'S0 remplacer avec S44'!$C:$BQ,22,0)</f>
        <v>2391.6470549999999</v>
      </c>
      <c r="F251" s="115">
        <f>VLOOKUP($A251,'S0 remplacer avec S44'!$C:$BQ,29,0)</f>
        <v>0</v>
      </c>
      <c r="G251" s="115">
        <f>VLOOKUP($A251,'S0 remplacer avec S44'!$C:$BQ,30,0)</f>
        <v>0</v>
      </c>
      <c r="H251" s="115">
        <f>VLOOKUP($A251,'S0 remplacer avec S44'!$C:$BQ,52,0)</f>
        <v>144.6</v>
      </c>
      <c r="I251" s="115">
        <f>VLOOKUP($A251,'S0 remplacer avec S44'!$C:$BQ,59,0)</f>
        <v>0</v>
      </c>
      <c r="J251" s="115">
        <f>VLOOKUP($A251,'S0 remplacer avec S44'!$C:$BQ,60,0)</f>
        <v>0</v>
      </c>
      <c r="K251" s="107" t="e">
        <f>VLOOKUP($A251,'S45'!$C:$BQ,32,0)</f>
        <v>#N/A</v>
      </c>
      <c r="L251" s="107" t="e">
        <f>VLOOKUP($A251,'S45'!$C:$BQ,39,0)</f>
        <v>#N/A</v>
      </c>
      <c r="M251" s="107" t="e">
        <f>VLOOKUP($A251,'S45'!$C:$BQ,40,0)</f>
        <v>#N/A</v>
      </c>
      <c r="N251" s="107" t="e">
        <f>VLOOKUP($A251,'S45'!$C:$BQ,22,0)</f>
        <v>#N/A</v>
      </c>
      <c r="O251" s="115" t="e">
        <f>VLOOKUP($A251,'S45'!$C:$BQ,29,0)</f>
        <v>#N/A</v>
      </c>
      <c r="P251" s="115" t="e">
        <f>VLOOKUP($A251,'S45'!$C:$BQ,30,0)</f>
        <v>#N/A</v>
      </c>
      <c r="Q251" s="115" t="e">
        <f>VLOOKUP($A251,'S45'!$C:$BQ,52,0)</f>
        <v>#N/A</v>
      </c>
      <c r="R251" s="115" t="e">
        <f>VLOOKUP($A251,'S45'!$C:$BQ,59,0)</f>
        <v>#N/A</v>
      </c>
      <c r="S251" s="115" t="e">
        <f>VLOOKUP($A251,'S45'!$C:$BQ,60,0)</f>
        <v>#N/A</v>
      </c>
      <c r="T251" s="107" t="e">
        <f>VLOOKUP($A251,'S46'!$C:$BQ,32,0)</f>
        <v>#N/A</v>
      </c>
      <c r="U251" s="107" t="e">
        <f>VLOOKUP($A251,'S46'!$C:$BQ,39,0)</f>
        <v>#N/A</v>
      </c>
      <c r="V251" s="107" t="e">
        <f>VLOOKUP($A251,'S46'!$C:$BQ,40,0)</f>
        <v>#N/A</v>
      </c>
      <c r="W251" s="107" t="e">
        <f>VLOOKUP($A251,'S46'!$C:$BQ,22,0)</f>
        <v>#N/A</v>
      </c>
      <c r="X251" s="115" t="e">
        <f>VLOOKUP($A251,'S46'!$C:$BQ,29,0)</f>
        <v>#N/A</v>
      </c>
      <c r="Y251" s="115" t="e">
        <f>VLOOKUP($A251,'S46'!$C:$BQ,30,0)</f>
        <v>#N/A</v>
      </c>
      <c r="Z251" s="115" t="e">
        <f>VLOOKUP($A251,'S46'!$C:$BQ,52,0)</f>
        <v>#N/A</v>
      </c>
      <c r="AA251" s="115" t="e">
        <f>VLOOKUP($A251,'S46'!$C:$BQ,59,0)</f>
        <v>#N/A</v>
      </c>
      <c r="AB251" s="115" t="e">
        <f>VLOOKUP($A251,'S46'!$C:$BQ,60,0)</f>
        <v>#N/A</v>
      </c>
      <c r="AC251" s="107" t="e">
        <f>VLOOKUP($A251,'S47'!$C:$BQ,32,0)</f>
        <v>#N/A</v>
      </c>
      <c r="AD251" s="107" t="e">
        <f>VLOOKUP($A251,'S47'!$C:$BQ,39,0)</f>
        <v>#N/A</v>
      </c>
      <c r="AE251" s="107" t="e">
        <f>VLOOKUP($A251,'S47'!$C:$BQ,40,0)</f>
        <v>#N/A</v>
      </c>
      <c r="AF251" s="107" t="e">
        <f>VLOOKUP($A251,'S47'!$C:$BQ,22,0)</f>
        <v>#N/A</v>
      </c>
      <c r="AG251" s="115" t="e">
        <f>VLOOKUP($A251,'S47'!$C:$BQ,29,0)</f>
        <v>#N/A</v>
      </c>
      <c r="AH251" s="115" t="e">
        <f>VLOOKUP($A251,'S47'!$C:$BQ,30,0)</f>
        <v>#N/A</v>
      </c>
      <c r="AI251" s="115" t="e">
        <f>VLOOKUP($A251,'S47'!$C:$BQ,52,0)</f>
        <v>#N/A</v>
      </c>
      <c r="AJ251" s="115" t="e">
        <f>VLOOKUP($A251,'S47'!$C:$BQ,59,0)</f>
        <v>#N/A</v>
      </c>
      <c r="AK251" s="115" t="e">
        <f>VLOOKUP($A251,'S47'!$C:$BQ,60,0)</f>
        <v>#N/A</v>
      </c>
      <c r="AL251" s="107" t="e">
        <f>VLOOKUP($A251,'S48'!$C:$BQ,32,0)</f>
        <v>#N/A</v>
      </c>
      <c r="AM251" s="107" t="e">
        <f>VLOOKUP($A251,'S48'!$C:$BQ,39,0)</f>
        <v>#N/A</v>
      </c>
      <c r="AN251" s="107" t="e">
        <f>VLOOKUP($A251,'S48'!$C:$BQ,40,0)</f>
        <v>#N/A</v>
      </c>
      <c r="AO251" s="107" t="e">
        <f>VLOOKUP($A251,'S48'!$C:$BQ,22,0)</f>
        <v>#N/A</v>
      </c>
      <c r="AP251" s="115" t="e">
        <f>VLOOKUP($A251,'S48'!$C:$BQ,29,0)</f>
        <v>#N/A</v>
      </c>
      <c r="AQ251" s="115" t="e">
        <f>VLOOKUP($A251,'S48'!$C:$BQ,30,0)</f>
        <v>#N/A</v>
      </c>
      <c r="AR251" s="115" t="e">
        <f>VLOOKUP($A251,'S48'!$C:$BQ,52,0)</f>
        <v>#N/A</v>
      </c>
      <c r="AS251" s="115" t="e">
        <f>VLOOKUP($A251,'S48'!$C:$BQ,59,0)</f>
        <v>#N/A</v>
      </c>
      <c r="AT251" s="115" t="e">
        <f>VLOOKUP($A251,'S48'!$C:$BQ,60,0)</f>
        <v>#N/A</v>
      </c>
      <c r="AU251" s="107" t="e">
        <f>VLOOKUP($A251,'S49'!$C:$BQ,32,0)</f>
        <v>#N/A</v>
      </c>
      <c r="AV251" s="107" t="e">
        <f>VLOOKUP($A251,'S49'!$C:$BQ,39,0)</f>
        <v>#N/A</v>
      </c>
      <c r="AW251" s="107" t="e">
        <f>VLOOKUP($A251,'S49'!$C:$BQ,40,0)</f>
        <v>#N/A</v>
      </c>
      <c r="AX251" s="107" t="e">
        <f>VLOOKUP($A251,'S49'!$C:$BQ,22,0)</f>
        <v>#N/A</v>
      </c>
      <c r="AY251" s="115" t="e">
        <f>VLOOKUP($A251,'S49'!$C:$BQ,29,0)</f>
        <v>#N/A</v>
      </c>
      <c r="AZ251" s="115" t="e">
        <f>VLOOKUP($A251,'S49'!$C:$BQ,30,0)</f>
        <v>#N/A</v>
      </c>
      <c r="BA251" s="115" t="e">
        <f>VLOOKUP($A251,'S49'!$C:$BQ,52,0)</f>
        <v>#N/A</v>
      </c>
      <c r="BB251" s="115" t="e">
        <f>VLOOKUP($A251,'S49'!$C:$BQ,59,0)</f>
        <v>#N/A</v>
      </c>
      <c r="BC251" s="115" t="e">
        <f>VLOOKUP($A251,'S49'!$C:$BQ,60,0)</f>
        <v>#N/A</v>
      </c>
      <c r="BD251" s="107" t="e">
        <f>VLOOKUP($A251,'S50'!$C:$BQ,32,0)</f>
        <v>#N/A</v>
      </c>
      <c r="BE251" s="107" t="e">
        <f>VLOOKUP($A251,'S50'!$C:$BQ,39,0)</f>
        <v>#N/A</v>
      </c>
      <c r="BF251" s="107" t="e">
        <f>VLOOKUP($A251,'S50'!$C:$BQ,40,0)</f>
        <v>#N/A</v>
      </c>
      <c r="BG251" s="107" t="e">
        <f>VLOOKUP($A251,'S50'!$C:$BQ,22,0)</f>
        <v>#N/A</v>
      </c>
      <c r="BH251" s="115" t="e">
        <f>VLOOKUP($A251,'S50'!$C:$BQ,29,0)</f>
        <v>#N/A</v>
      </c>
      <c r="BI251" s="115" t="e">
        <f>VLOOKUP($A251,'S50'!$C:$BQ,30,0)</f>
        <v>#N/A</v>
      </c>
      <c r="BJ251" s="115" t="e">
        <f>VLOOKUP($A251,'S50'!$C:$BQ,52,0)</f>
        <v>#N/A</v>
      </c>
      <c r="BK251" s="115" t="e">
        <f>VLOOKUP($A251,'S50'!$C:$BQ,59,0)</f>
        <v>#N/A</v>
      </c>
      <c r="BL251" s="115" t="e">
        <f>VLOOKUP($A251,'S50'!$C:$BQ,60,0)</f>
        <v>#N/A</v>
      </c>
    </row>
    <row r="252" spans="1:64" x14ac:dyDescent="0.2">
      <c r="A252" s="106" t="s">
        <v>325</v>
      </c>
      <c r="B252" s="107">
        <f>VLOOKUP($A252,'S0 remplacer avec S44'!$C:$BQ,32,0)</f>
        <v>192.3</v>
      </c>
      <c r="C252" s="107">
        <f>VLOOKUP($A252,'S0 remplacer avec S44'!$C:$BQ,39,0)</f>
        <v>0</v>
      </c>
      <c r="D252" s="107">
        <f>VLOOKUP($A252,'S0 remplacer avec S44'!$C:$BQ,40,0)</f>
        <v>8</v>
      </c>
      <c r="E252" s="107">
        <f>VLOOKUP($A252,'S0 remplacer avec S44'!$C:$BQ,22,0)</f>
        <v>1943.26513</v>
      </c>
      <c r="F252" s="115">
        <f>VLOOKUP($A252,'S0 remplacer avec S44'!$C:$BQ,29,0)</f>
        <v>0</v>
      </c>
      <c r="G252" s="115">
        <f>VLOOKUP($A252,'S0 remplacer avec S44'!$C:$BQ,30,0)</f>
        <v>0</v>
      </c>
      <c r="H252" s="115">
        <f>VLOOKUP($A252,'S0 remplacer avec S44'!$C:$BQ,52,0)</f>
        <v>167.8</v>
      </c>
      <c r="I252" s="115">
        <f>VLOOKUP($A252,'S0 remplacer avec S44'!$C:$BQ,59,0)</f>
        <v>0</v>
      </c>
      <c r="J252" s="115">
        <f>VLOOKUP($A252,'S0 remplacer avec S44'!$C:$BQ,60,0)</f>
        <v>0</v>
      </c>
      <c r="K252" s="107" t="e">
        <f>VLOOKUP($A252,'S45'!$C:$BQ,32,0)</f>
        <v>#N/A</v>
      </c>
      <c r="L252" s="107" t="e">
        <f>VLOOKUP($A252,'S45'!$C:$BQ,39,0)</f>
        <v>#N/A</v>
      </c>
      <c r="M252" s="107" t="e">
        <f>VLOOKUP($A252,'S45'!$C:$BQ,40,0)</f>
        <v>#N/A</v>
      </c>
      <c r="N252" s="107" t="e">
        <f>VLOOKUP($A252,'S45'!$C:$BQ,22,0)</f>
        <v>#N/A</v>
      </c>
      <c r="O252" s="115" t="e">
        <f>VLOOKUP($A252,'S45'!$C:$BQ,29,0)</f>
        <v>#N/A</v>
      </c>
      <c r="P252" s="115" t="e">
        <f>VLOOKUP($A252,'S45'!$C:$BQ,30,0)</f>
        <v>#N/A</v>
      </c>
      <c r="Q252" s="115" t="e">
        <f>VLOOKUP($A252,'S45'!$C:$BQ,52,0)</f>
        <v>#N/A</v>
      </c>
      <c r="R252" s="115" t="e">
        <f>VLOOKUP($A252,'S45'!$C:$BQ,59,0)</f>
        <v>#N/A</v>
      </c>
      <c r="S252" s="115" t="e">
        <f>VLOOKUP($A252,'S45'!$C:$BQ,60,0)</f>
        <v>#N/A</v>
      </c>
      <c r="T252" s="107" t="e">
        <f>VLOOKUP($A252,'S46'!$C:$BQ,32,0)</f>
        <v>#N/A</v>
      </c>
      <c r="U252" s="107" t="e">
        <f>VLOOKUP($A252,'S46'!$C:$BQ,39,0)</f>
        <v>#N/A</v>
      </c>
      <c r="V252" s="107" t="e">
        <f>VLOOKUP($A252,'S46'!$C:$BQ,40,0)</f>
        <v>#N/A</v>
      </c>
      <c r="W252" s="107" t="e">
        <f>VLOOKUP($A252,'S46'!$C:$BQ,22,0)</f>
        <v>#N/A</v>
      </c>
      <c r="X252" s="115" t="e">
        <f>VLOOKUP($A252,'S46'!$C:$BQ,29,0)</f>
        <v>#N/A</v>
      </c>
      <c r="Y252" s="115" t="e">
        <f>VLOOKUP($A252,'S46'!$C:$BQ,30,0)</f>
        <v>#N/A</v>
      </c>
      <c r="Z252" s="115" t="e">
        <f>VLOOKUP($A252,'S46'!$C:$BQ,52,0)</f>
        <v>#N/A</v>
      </c>
      <c r="AA252" s="115" t="e">
        <f>VLOOKUP($A252,'S46'!$C:$BQ,59,0)</f>
        <v>#N/A</v>
      </c>
      <c r="AB252" s="115" t="e">
        <f>VLOOKUP($A252,'S46'!$C:$BQ,60,0)</f>
        <v>#N/A</v>
      </c>
      <c r="AC252" s="107" t="e">
        <f>VLOOKUP($A252,'S47'!$C:$BQ,32,0)</f>
        <v>#N/A</v>
      </c>
      <c r="AD252" s="107" t="e">
        <f>VLOOKUP($A252,'S47'!$C:$BQ,39,0)</f>
        <v>#N/A</v>
      </c>
      <c r="AE252" s="107" t="e">
        <f>VLOOKUP($A252,'S47'!$C:$BQ,40,0)</f>
        <v>#N/A</v>
      </c>
      <c r="AF252" s="107" t="e">
        <f>VLOOKUP($A252,'S47'!$C:$BQ,22,0)</f>
        <v>#N/A</v>
      </c>
      <c r="AG252" s="115" t="e">
        <f>VLOOKUP($A252,'S47'!$C:$BQ,29,0)</f>
        <v>#N/A</v>
      </c>
      <c r="AH252" s="115" t="e">
        <f>VLOOKUP($A252,'S47'!$C:$BQ,30,0)</f>
        <v>#N/A</v>
      </c>
      <c r="AI252" s="115" t="e">
        <f>VLOOKUP($A252,'S47'!$C:$BQ,52,0)</f>
        <v>#N/A</v>
      </c>
      <c r="AJ252" s="115" t="e">
        <f>VLOOKUP($A252,'S47'!$C:$BQ,59,0)</f>
        <v>#N/A</v>
      </c>
      <c r="AK252" s="115" t="e">
        <f>VLOOKUP($A252,'S47'!$C:$BQ,60,0)</f>
        <v>#N/A</v>
      </c>
      <c r="AL252" s="107" t="e">
        <f>VLOOKUP($A252,'S48'!$C:$BQ,32,0)</f>
        <v>#N/A</v>
      </c>
      <c r="AM252" s="107" t="e">
        <f>VLOOKUP($A252,'S48'!$C:$BQ,39,0)</f>
        <v>#N/A</v>
      </c>
      <c r="AN252" s="107" t="e">
        <f>VLOOKUP($A252,'S48'!$C:$BQ,40,0)</f>
        <v>#N/A</v>
      </c>
      <c r="AO252" s="107" t="e">
        <f>VLOOKUP($A252,'S48'!$C:$BQ,22,0)</f>
        <v>#N/A</v>
      </c>
      <c r="AP252" s="115" t="e">
        <f>VLOOKUP($A252,'S48'!$C:$BQ,29,0)</f>
        <v>#N/A</v>
      </c>
      <c r="AQ252" s="115" t="e">
        <f>VLOOKUP($A252,'S48'!$C:$BQ,30,0)</f>
        <v>#N/A</v>
      </c>
      <c r="AR252" s="115" t="e">
        <f>VLOOKUP($A252,'S48'!$C:$BQ,52,0)</f>
        <v>#N/A</v>
      </c>
      <c r="AS252" s="115" t="e">
        <f>VLOOKUP($A252,'S48'!$C:$BQ,59,0)</f>
        <v>#N/A</v>
      </c>
      <c r="AT252" s="115" t="e">
        <f>VLOOKUP($A252,'S48'!$C:$BQ,60,0)</f>
        <v>#N/A</v>
      </c>
      <c r="AU252" s="107" t="e">
        <f>VLOOKUP($A252,'S49'!$C:$BQ,32,0)</f>
        <v>#N/A</v>
      </c>
      <c r="AV252" s="107" t="e">
        <f>VLOOKUP($A252,'S49'!$C:$BQ,39,0)</f>
        <v>#N/A</v>
      </c>
      <c r="AW252" s="107" t="e">
        <f>VLOOKUP($A252,'S49'!$C:$BQ,40,0)</f>
        <v>#N/A</v>
      </c>
      <c r="AX252" s="107" t="e">
        <f>VLOOKUP($A252,'S49'!$C:$BQ,22,0)</f>
        <v>#N/A</v>
      </c>
      <c r="AY252" s="115" t="e">
        <f>VLOOKUP($A252,'S49'!$C:$BQ,29,0)</f>
        <v>#N/A</v>
      </c>
      <c r="AZ252" s="115" t="e">
        <f>VLOOKUP($A252,'S49'!$C:$BQ,30,0)</f>
        <v>#N/A</v>
      </c>
      <c r="BA252" s="115" t="e">
        <f>VLOOKUP($A252,'S49'!$C:$BQ,52,0)</f>
        <v>#N/A</v>
      </c>
      <c r="BB252" s="115" t="e">
        <f>VLOOKUP($A252,'S49'!$C:$BQ,59,0)</f>
        <v>#N/A</v>
      </c>
      <c r="BC252" s="115" t="e">
        <f>VLOOKUP($A252,'S49'!$C:$BQ,60,0)</f>
        <v>#N/A</v>
      </c>
      <c r="BD252" s="107" t="e">
        <f>VLOOKUP($A252,'S50'!$C:$BQ,32,0)</f>
        <v>#N/A</v>
      </c>
      <c r="BE252" s="107" t="e">
        <f>VLOOKUP($A252,'S50'!$C:$BQ,39,0)</f>
        <v>#N/A</v>
      </c>
      <c r="BF252" s="107" t="e">
        <f>VLOOKUP($A252,'S50'!$C:$BQ,40,0)</f>
        <v>#N/A</v>
      </c>
      <c r="BG252" s="107" t="e">
        <f>VLOOKUP($A252,'S50'!$C:$BQ,22,0)</f>
        <v>#N/A</v>
      </c>
      <c r="BH252" s="115" t="e">
        <f>VLOOKUP($A252,'S50'!$C:$BQ,29,0)</f>
        <v>#N/A</v>
      </c>
      <c r="BI252" s="115" t="e">
        <f>VLOOKUP($A252,'S50'!$C:$BQ,30,0)</f>
        <v>#N/A</v>
      </c>
      <c r="BJ252" s="115" t="e">
        <f>VLOOKUP($A252,'S50'!$C:$BQ,52,0)</f>
        <v>#N/A</v>
      </c>
      <c r="BK252" s="115" t="e">
        <f>VLOOKUP($A252,'S50'!$C:$BQ,59,0)</f>
        <v>#N/A</v>
      </c>
      <c r="BL252" s="115" t="e">
        <f>VLOOKUP($A252,'S50'!$C:$BQ,60,0)</f>
        <v>#N/A</v>
      </c>
    </row>
    <row r="253" spans="1:64" x14ac:dyDescent="0.2">
      <c r="A253" s="106" t="s">
        <v>326</v>
      </c>
      <c r="B253" s="107">
        <f>VLOOKUP($A253,'S0 remplacer avec S44'!$C:$BQ,32,0)</f>
        <v>112.75</v>
      </c>
      <c r="C253" s="107">
        <f>VLOOKUP($A253,'S0 remplacer avec S44'!$C:$BQ,39,0)</f>
        <v>80</v>
      </c>
      <c r="D253" s="107">
        <f>VLOOKUP($A253,'S0 remplacer avec S44'!$C:$BQ,40,0)</f>
        <v>118</v>
      </c>
      <c r="E253" s="107">
        <f>VLOOKUP($A253,'S0 remplacer avec S44'!$C:$BQ,22,0)</f>
        <v>1835.10203</v>
      </c>
      <c r="F253" s="115">
        <f>VLOOKUP($A253,'S0 remplacer avec S44'!$C:$BQ,29,0)</f>
        <v>0</v>
      </c>
      <c r="G253" s="115">
        <f>VLOOKUP($A253,'S0 remplacer avec S44'!$C:$BQ,30,0)</f>
        <v>262</v>
      </c>
      <c r="H253" s="115">
        <f>VLOOKUP($A253,'S0 remplacer avec S44'!$C:$BQ,52,0)</f>
        <v>96.4</v>
      </c>
      <c r="I253" s="115">
        <f>VLOOKUP($A253,'S0 remplacer avec S44'!$C:$BQ,59,0)</f>
        <v>2</v>
      </c>
      <c r="J253" s="115">
        <f>VLOOKUP($A253,'S0 remplacer avec S44'!$C:$BQ,60,0)</f>
        <v>21</v>
      </c>
      <c r="K253" s="107" t="e">
        <f>VLOOKUP($A253,'S45'!$C:$BQ,32,0)</f>
        <v>#N/A</v>
      </c>
      <c r="L253" s="107" t="e">
        <f>VLOOKUP($A253,'S45'!$C:$BQ,39,0)</f>
        <v>#N/A</v>
      </c>
      <c r="M253" s="107" t="e">
        <f>VLOOKUP($A253,'S45'!$C:$BQ,40,0)</f>
        <v>#N/A</v>
      </c>
      <c r="N253" s="107" t="e">
        <f>VLOOKUP($A253,'S45'!$C:$BQ,22,0)</f>
        <v>#N/A</v>
      </c>
      <c r="O253" s="115" t="e">
        <f>VLOOKUP($A253,'S45'!$C:$BQ,29,0)</f>
        <v>#N/A</v>
      </c>
      <c r="P253" s="115" t="e">
        <f>VLOOKUP($A253,'S45'!$C:$BQ,30,0)</f>
        <v>#N/A</v>
      </c>
      <c r="Q253" s="115" t="e">
        <f>VLOOKUP($A253,'S45'!$C:$BQ,52,0)</f>
        <v>#N/A</v>
      </c>
      <c r="R253" s="115" t="e">
        <f>VLOOKUP($A253,'S45'!$C:$BQ,59,0)</f>
        <v>#N/A</v>
      </c>
      <c r="S253" s="115" t="e">
        <f>VLOOKUP($A253,'S45'!$C:$BQ,60,0)</f>
        <v>#N/A</v>
      </c>
      <c r="T253" s="107" t="e">
        <f>VLOOKUP($A253,'S46'!$C:$BQ,32,0)</f>
        <v>#N/A</v>
      </c>
      <c r="U253" s="107" t="e">
        <f>VLOOKUP($A253,'S46'!$C:$BQ,39,0)</f>
        <v>#N/A</v>
      </c>
      <c r="V253" s="107" t="e">
        <f>VLOOKUP($A253,'S46'!$C:$BQ,40,0)</f>
        <v>#N/A</v>
      </c>
      <c r="W253" s="107" t="e">
        <f>VLOOKUP($A253,'S46'!$C:$BQ,22,0)</f>
        <v>#N/A</v>
      </c>
      <c r="X253" s="115" t="e">
        <f>VLOOKUP($A253,'S46'!$C:$BQ,29,0)</f>
        <v>#N/A</v>
      </c>
      <c r="Y253" s="115" t="e">
        <f>VLOOKUP($A253,'S46'!$C:$BQ,30,0)</f>
        <v>#N/A</v>
      </c>
      <c r="Z253" s="115" t="e">
        <f>VLOOKUP($A253,'S46'!$C:$BQ,52,0)</f>
        <v>#N/A</v>
      </c>
      <c r="AA253" s="115" t="e">
        <f>VLOOKUP($A253,'S46'!$C:$BQ,59,0)</f>
        <v>#N/A</v>
      </c>
      <c r="AB253" s="115" t="e">
        <f>VLOOKUP($A253,'S46'!$C:$BQ,60,0)</f>
        <v>#N/A</v>
      </c>
      <c r="AC253" s="107" t="e">
        <f>VLOOKUP($A253,'S47'!$C:$BQ,32,0)</f>
        <v>#N/A</v>
      </c>
      <c r="AD253" s="107" t="e">
        <f>VLOOKUP($A253,'S47'!$C:$BQ,39,0)</f>
        <v>#N/A</v>
      </c>
      <c r="AE253" s="107" t="e">
        <f>VLOOKUP($A253,'S47'!$C:$BQ,40,0)</f>
        <v>#N/A</v>
      </c>
      <c r="AF253" s="107" t="e">
        <f>VLOOKUP($A253,'S47'!$C:$BQ,22,0)</f>
        <v>#N/A</v>
      </c>
      <c r="AG253" s="115" t="e">
        <f>VLOOKUP($A253,'S47'!$C:$BQ,29,0)</f>
        <v>#N/A</v>
      </c>
      <c r="AH253" s="115" t="e">
        <f>VLOOKUP($A253,'S47'!$C:$BQ,30,0)</f>
        <v>#N/A</v>
      </c>
      <c r="AI253" s="115" t="e">
        <f>VLOOKUP($A253,'S47'!$C:$BQ,52,0)</f>
        <v>#N/A</v>
      </c>
      <c r="AJ253" s="115" t="e">
        <f>VLOOKUP($A253,'S47'!$C:$BQ,59,0)</f>
        <v>#N/A</v>
      </c>
      <c r="AK253" s="115" t="e">
        <f>VLOOKUP($A253,'S47'!$C:$BQ,60,0)</f>
        <v>#N/A</v>
      </c>
      <c r="AL253" s="107" t="e">
        <f>VLOOKUP($A253,'S48'!$C:$BQ,32,0)</f>
        <v>#N/A</v>
      </c>
      <c r="AM253" s="107" t="e">
        <f>VLOOKUP($A253,'S48'!$C:$BQ,39,0)</f>
        <v>#N/A</v>
      </c>
      <c r="AN253" s="107" t="e">
        <f>VLOOKUP($A253,'S48'!$C:$BQ,40,0)</f>
        <v>#N/A</v>
      </c>
      <c r="AO253" s="107" t="e">
        <f>VLOOKUP($A253,'S48'!$C:$BQ,22,0)</f>
        <v>#N/A</v>
      </c>
      <c r="AP253" s="115" t="e">
        <f>VLOOKUP($A253,'S48'!$C:$BQ,29,0)</f>
        <v>#N/A</v>
      </c>
      <c r="AQ253" s="115" t="e">
        <f>VLOOKUP($A253,'S48'!$C:$BQ,30,0)</f>
        <v>#N/A</v>
      </c>
      <c r="AR253" s="115" t="e">
        <f>VLOOKUP($A253,'S48'!$C:$BQ,52,0)</f>
        <v>#N/A</v>
      </c>
      <c r="AS253" s="115" t="e">
        <f>VLOOKUP($A253,'S48'!$C:$BQ,59,0)</f>
        <v>#N/A</v>
      </c>
      <c r="AT253" s="115" t="e">
        <f>VLOOKUP($A253,'S48'!$C:$BQ,60,0)</f>
        <v>#N/A</v>
      </c>
      <c r="AU253" s="107" t="e">
        <f>VLOOKUP($A253,'S49'!$C:$BQ,32,0)</f>
        <v>#N/A</v>
      </c>
      <c r="AV253" s="107" t="e">
        <f>VLOOKUP($A253,'S49'!$C:$BQ,39,0)</f>
        <v>#N/A</v>
      </c>
      <c r="AW253" s="107" t="e">
        <f>VLOOKUP($A253,'S49'!$C:$BQ,40,0)</f>
        <v>#N/A</v>
      </c>
      <c r="AX253" s="107" t="e">
        <f>VLOOKUP($A253,'S49'!$C:$BQ,22,0)</f>
        <v>#N/A</v>
      </c>
      <c r="AY253" s="115" t="e">
        <f>VLOOKUP($A253,'S49'!$C:$BQ,29,0)</f>
        <v>#N/A</v>
      </c>
      <c r="AZ253" s="115" t="e">
        <f>VLOOKUP($A253,'S49'!$C:$BQ,30,0)</f>
        <v>#N/A</v>
      </c>
      <c r="BA253" s="115" t="e">
        <f>VLOOKUP($A253,'S49'!$C:$BQ,52,0)</f>
        <v>#N/A</v>
      </c>
      <c r="BB253" s="115" t="e">
        <f>VLOOKUP($A253,'S49'!$C:$BQ,59,0)</f>
        <v>#N/A</v>
      </c>
      <c r="BC253" s="115" t="e">
        <f>VLOOKUP($A253,'S49'!$C:$BQ,60,0)</f>
        <v>#N/A</v>
      </c>
      <c r="BD253" s="107" t="e">
        <f>VLOOKUP($A253,'S50'!$C:$BQ,32,0)</f>
        <v>#N/A</v>
      </c>
      <c r="BE253" s="107" t="e">
        <f>VLOOKUP($A253,'S50'!$C:$BQ,39,0)</f>
        <v>#N/A</v>
      </c>
      <c r="BF253" s="107" t="e">
        <f>VLOOKUP($A253,'S50'!$C:$BQ,40,0)</f>
        <v>#N/A</v>
      </c>
      <c r="BG253" s="107" t="e">
        <f>VLOOKUP($A253,'S50'!$C:$BQ,22,0)</f>
        <v>#N/A</v>
      </c>
      <c r="BH253" s="115" t="e">
        <f>VLOOKUP($A253,'S50'!$C:$BQ,29,0)</f>
        <v>#N/A</v>
      </c>
      <c r="BI253" s="115" t="e">
        <f>VLOOKUP($A253,'S50'!$C:$BQ,30,0)</f>
        <v>#N/A</v>
      </c>
      <c r="BJ253" s="115" t="e">
        <f>VLOOKUP($A253,'S50'!$C:$BQ,52,0)</f>
        <v>#N/A</v>
      </c>
      <c r="BK253" s="115" t="e">
        <f>VLOOKUP($A253,'S50'!$C:$BQ,59,0)</f>
        <v>#N/A</v>
      </c>
      <c r="BL253" s="115" t="e">
        <f>VLOOKUP($A253,'S50'!$C:$BQ,60,0)</f>
        <v>#N/A</v>
      </c>
    </row>
    <row r="254" spans="1:64" x14ac:dyDescent="0.2">
      <c r="A254" s="106" t="s">
        <v>327</v>
      </c>
      <c r="B254" s="107">
        <f>VLOOKUP($A254,'S0 remplacer avec S44'!$C:$BQ,32,0)</f>
        <v>156.25</v>
      </c>
      <c r="C254" s="107">
        <f>VLOOKUP($A254,'S0 remplacer avec S44'!$C:$BQ,39,0)</f>
        <v>24</v>
      </c>
      <c r="D254" s="107">
        <f>VLOOKUP($A254,'S0 remplacer avec S44'!$C:$BQ,40,0)</f>
        <v>60</v>
      </c>
      <c r="E254" s="107">
        <f>VLOOKUP($A254,'S0 remplacer avec S44'!$C:$BQ,22,0)</f>
        <v>1772.9941100000001</v>
      </c>
      <c r="F254" s="115">
        <f>VLOOKUP($A254,'S0 remplacer avec S44'!$C:$BQ,29,0)</f>
        <v>0</v>
      </c>
      <c r="G254" s="115">
        <f>VLOOKUP($A254,'S0 remplacer avec S44'!$C:$BQ,30,0)</f>
        <v>187</v>
      </c>
      <c r="H254" s="115">
        <f>VLOOKUP($A254,'S0 remplacer avec S44'!$C:$BQ,52,0)</f>
        <v>108</v>
      </c>
      <c r="I254" s="115">
        <f>VLOOKUP($A254,'S0 remplacer avec S44'!$C:$BQ,59,0)</f>
        <v>0</v>
      </c>
      <c r="J254" s="115">
        <f>VLOOKUP($A254,'S0 remplacer avec S44'!$C:$BQ,60,0)</f>
        <v>2</v>
      </c>
      <c r="K254" s="107" t="e">
        <f>VLOOKUP($A254,'S45'!$C:$BQ,32,0)</f>
        <v>#N/A</v>
      </c>
      <c r="L254" s="107" t="e">
        <f>VLOOKUP($A254,'S45'!$C:$BQ,39,0)</f>
        <v>#N/A</v>
      </c>
      <c r="M254" s="107" t="e">
        <f>VLOOKUP($A254,'S45'!$C:$BQ,40,0)</f>
        <v>#N/A</v>
      </c>
      <c r="N254" s="107" t="e">
        <f>VLOOKUP($A254,'S45'!$C:$BQ,22,0)</f>
        <v>#N/A</v>
      </c>
      <c r="O254" s="115" t="e">
        <f>VLOOKUP($A254,'S45'!$C:$BQ,29,0)</f>
        <v>#N/A</v>
      </c>
      <c r="P254" s="115" t="e">
        <f>VLOOKUP($A254,'S45'!$C:$BQ,30,0)</f>
        <v>#N/A</v>
      </c>
      <c r="Q254" s="115" t="e">
        <f>VLOOKUP($A254,'S45'!$C:$BQ,52,0)</f>
        <v>#N/A</v>
      </c>
      <c r="R254" s="115" t="e">
        <f>VLOOKUP($A254,'S45'!$C:$BQ,59,0)</f>
        <v>#N/A</v>
      </c>
      <c r="S254" s="115" t="e">
        <f>VLOOKUP($A254,'S45'!$C:$BQ,60,0)</f>
        <v>#N/A</v>
      </c>
      <c r="T254" s="107" t="e">
        <f>VLOOKUP($A254,'S46'!$C:$BQ,32,0)</f>
        <v>#N/A</v>
      </c>
      <c r="U254" s="107" t="e">
        <f>VLOOKUP($A254,'S46'!$C:$BQ,39,0)</f>
        <v>#N/A</v>
      </c>
      <c r="V254" s="107" t="e">
        <f>VLOOKUP($A254,'S46'!$C:$BQ,40,0)</f>
        <v>#N/A</v>
      </c>
      <c r="W254" s="107" t="e">
        <f>VLOOKUP($A254,'S46'!$C:$BQ,22,0)</f>
        <v>#N/A</v>
      </c>
      <c r="X254" s="115" t="e">
        <f>VLOOKUP($A254,'S46'!$C:$BQ,29,0)</f>
        <v>#N/A</v>
      </c>
      <c r="Y254" s="115" t="e">
        <f>VLOOKUP($A254,'S46'!$C:$BQ,30,0)</f>
        <v>#N/A</v>
      </c>
      <c r="Z254" s="115" t="e">
        <f>VLOOKUP($A254,'S46'!$C:$BQ,52,0)</f>
        <v>#N/A</v>
      </c>
      <c r="AA254" s="115" t="e">
        <f>VLOOKUP($A254,'S46'!$C:$BQ,59,0)</f>
        <v>#N/A</v>
      </c>
      <c r="AB254" s="115" t="e">
        <f>VLOOKUP($A254,'S46'!$C:$BQ,60,0)</f>
        <v>#N/A</v>
      </c>
      <c r="AC254" s="107" t="e">
        <f>VLOOKUP($A254,'S47'!$C:$BQ,32,0)</f>
        <v>#N/A</v>
      </c>
      <c r="AD254" s="107" t="e">
        <f>VLOOKUP($A254,'S47'!$C:$BQ,39,0)</f>
        <v>#N/A</v>
      </c>
      <c r="AE254" s="107" t="e">
        <f>VLOOKUP($A254,'S47'!$C:$BQ,40,0)</f>
        <v>#N/A</v>
      </c>
      <c r="AF254" s="107" t="e">
        <f>VLOOKUP($A254,'S47'!$C:$BQ,22,0)</f>
        <v>#N/A</v>
      </c>
      <c r="AG254" s="115" t="e">
        <f>VLOOKUP($A254,'S47'!$C:$BQ,29,0)</f>
        <v>#N/A</v>
      </c>
      <c r="AH254" s="115" t="e">
        <f>VLOOKUP($A254,'S47'!$C:$BQ,30,0)</f>
        <v>#N/A</v>
      </c>
      <c r="AI254" s="115" t="e">
        <f>VLOOKUP($A254,'S47'!$C:$BQ,52,0)</f>
        <v>#N/A</v>
      </c>
      <c r="AJ254" s="115" t="e">
        <f>VLOOKUP($A254,'S47'!$C:$BQ,59,0)</f>
        <v>#N/A</v>
      </c>
      <c r="AK254" s="115" t="e">
        <f>VLOOKUP($A254,'S47'!$C:$BQ,60,0)</f>
        <v>#N/A</v>
      </c>
      <c r="AL254" s="107" t="e">
        <f>VLOOKUP($A254,'S48'!$C:$BQ,32,0)</f>
        <v>#N/A</v>
      </c>
      <c r="AM254" s="107" t="e">
        <f>VLOOKUP($A254,'S48'!$C:$BQ,39,0)</f>
        <v>#N/A</v>
      </c>
      <c r="AN254" s="107" t="e">
        <f>VLOOKUP($A254,'S48'!$C:$BQ,40,0)</f>
        <v>#N/A</v>
      </c>
      <c r="AO254" s="107" t="e">
        <f>VLOOKUP($A254,'S48'!$C:$BQ,22,0)</f>
        <v>#N/A</v>
      </c>
      <c r="AP254" s="115" t="e">
        <f>VLOOKUP($A254,'S48'!$C:$BQ,29,0)</f>
        <v>#N/A</v>
      </c>
      <c r="AQ254" s="115" t="e">
        <f>VLOOKUP($A254,'S48'!$C:$BQ,30,0)</f>
        <v>#N/A</v>
      </c>
      <c r="AR254" s="115" t="e">
        <f>VLOOKUP($A254,'S48'!$C:$BQ,52,0)</f>
        <v>#N/A</v>
      </c>
      <c r="AS254" s="115" t="e">
        <f>VLOOKUP($A254,'S48'!$C:$BQ,59,0)</f>
        <v>#N/A</v>
      </c>
      <c r="AT254" s="115" t="e">
        <f>VLOOKUP($A254,'S48'!$C:$BQ,60,0)</f>
        <v>#N/A</v>
      </c>
      <c r="AU254" s="107" t="e">
        <f>VLOOKUP($A254,'S49'!$C:$BQ,32,0)</f>
        <v>#N/A</v>
      </c>
      <c r="AV254" s="107" t="e">
        <f>VLOOKUP($A254,'S49'!$C:$BQ,39,0)</f>
        <v>#N/A</v>
      </c>
      <c r="AW254" s="107" t="e">
        <f>VLOOKUP($A254,'S49'!$C:$BQ,40,0)</f>
        <v>#N/A</v>
      </c>
      <c r="AX254" s="107" t="e">
        <f>VLOOKUP($A254,'S49'!$C:$BQ,22,0)</f>
        <v>#N/A</v>
      </c>
      <c r="AY254" s="115" t="e">
        <f>VLOOKUP($A254,'S49'!$C:$BQ,29,0)</f>
        <v>#N/A</v>
      </c>
      <c r="AZ254" s="115" t="e">
        <f>VLOOKUP($A254,'S49'!$C:$BQ,30,0)</f>
        <v>#N/A</v>
      </c>
      <c r="BA254" s="115" t="e">
        <f>VLOOKUP($A254,'S49'!$C:$BQ,52,0)</f>
        <v>#N/A</v>
      </c>
      <c r="BB254" s="115" t="e">
        <f>VLOOKUP($A254,'S49'!$C:$BQ,59,0)</f>
        <v>#N/A</v>
      </c>
      <c r="BC254" s="115" t="e">
        <f>VLOOKUP($A254,'S49'!$C:$BQ,60,0)</f>
        <v>#N/A</v>
      </c>
      <c r="BD254" s="107" t="e">
        <f>VLOOKUP($A254,'S50'!$C:$BQ,32,0)</f>
        <v>#N/A</v>
      </c>
      <c r="BE254" s="107" t="e">
        <f>VLOOKUP($A254,'S50'!$C:$BQ,39,0)</f>
        <v>#N/A</v>
      </c>
      <c r="BF254" s="107" t="e">
        <f>VLOOKUP($A254,'S50'!$C:$BQ,40,0)</f>
        <v>#N/A</v>
      </c>
      <c r="BG254" s="107" t="e">
        <f>VLOOKUP($A254,'S50'!$C:$BQ,22,0)</f>
        <v>#N/A</v>
      </c>
      <c r="BH254" s="115" t="e">
        <f>VLOOKUP($A254,'S50'!$C:$BQ,29,0)</f>
        <v>#N/A</v>
      </c>
      <c r="BI254" s="115" t="e">
        <f>VLOOKUP($A254,'S50'!$C:$BQ,30,0)</f>
        <v>#N/A</v>
      </c>
      <c r="BJ254" s="115" t="e">
        <f>VLOOKUP($A254,'S50'!$C:$BQ,52,0)</f>
        <v>#N/A</v>
      </c>
      <c r="BK254" s="115" t="e">
        <f>VLOOKUP($A254,'S50'!$C:$BQ,59,0)</f>
        <v>#N/A</v>
      </c>
      <c r="BL254" s="115" t="e">
        <f>VLOOKUP($A254,'S50'!$C:$BQ,60,0)</f>
        <v>#N/A</v>
      </c>
    </row>
    <row r="255" spans="1:64" x14ac:dyDescent="0.2">
      <c r="A255" s="106" t="s">
        <v>328</v>
      </c>
      <c r="B255" s="107">
        <f>VLOOKUP($A255,'S0 remplacer avec S44'!$C:$BQ,32,0)</f>
        <v>418</v>
      </c>
      <c r="C255" s="107">
        <f>VLOOKUP($A255,'S0 remplacer avec S44'!$C:$BQ,39,0)</f>
        <v>77</v>
      </c>
      <c r="D255" s="107">
        <f>VLOOKUP($A255,'S0 remplacer avec S44'!$C:$BQ,40,0)</f>
        <v>176</v>
      </c>
      <c r="E255" s="107">
        <f>VLOOKUP($A255,'S0 remplacer avec S44'!$C:$BQ,22,0)</f>
        <v>4738.5060100000001</v>
      </c>
      <c r="F255" s="115">
        <f>VLOOKUP($A255,'S0 remplacer avec S44'!$C:$BQ,29,0)</f>
        <v>0</v>
      </c>
      <c r="G255" s="115">
        <f>VLOOKUP($A255,'S0 remplacer avec S44'!$C:$BQ,30,0)</f>
        <v>662</v>
      </c>
      <c r="H255" s="115">
        <f>VLOOKUP($A255,'S0 remplacer avec S44'!$C:$BQ,52,0)</f>
        <v>249.2</v>
      </c>
      <c r="I255" s="115">
        <f>VLOOKUP($A255,'S0 remplacer avec S44'!$C:$BQ,59,0)</f>
        <v>3</v>
      </c>
      <c r="J255" s="115">
        <f>VLOOKUP($A255,'S0 remplacer avec S44'!$C:$BQ,60,0)</f>
        <v>53</v>
      </c>
      <c r="K255" s="107" t="e">
        <f>VLOOKUP($A255,'S45'!$C:$BQ,32,0)</f>
        <v>#N/A</v>
      </c>
      <c r="L255" s="107" t="e">
        <f>VLOOKUP($A255,'S45'!$C:$BQ,39,0)</f>
        <v>#N/A</v>
      </c>
      <c r="M255" s="107" t="e">
        <f>VLOOKUP($A255,'S45'!$C:$BQ,40,0)</f>
        <v>#N/A</v>
      </c>
      <c r="N255" s="107" t="e">
        <f>VLOOKUP($A255,'S45'!$C:$BQ,22,0)</f>
        <v>#N/A</v>
      </c>
      <c r="O255" s="115" t="e">
        <f>VLOOKUP($A255,'S45'!$C:$BQ,29,0)</f>
        <v>#N/A</v>
      </c>
      <c r="P255" s="115" t="e">
        <f>VLOOKUP($A255,'S45'!$C:$BQ,30,0)</f>
        <v>#N/A</v>
      </c>
      <c r="Q255" s="115" t="e">
        <f>VLOOKUP($A255,'S45'!$C:$BQ,52,0)</f>
        <v>#N/A</v>
      </c>
      <c r="R255" s="115" t="e">
        <f>VLOOKUP($A255,'S45'!$C:$BQ,59,0)</f>
        <v>#N/A</v>
      </c>
      <c r="S255" s="115" t="e">
        <f>VLOOKUP($A255,'S45'!$C:$BQ,60,0)</f>
        <v>#N/A</v>
      </c>
      <c r="T255" s="107" t="e">
        <f>VLOOKUP($A255,'S46'!$C:$BQ,32,0)</f>
        <v>#N/A</v>
      </c>
      <c r="U255" s="107" t="e">
        <f>VLOOKUP($A255,'S46'!$C:$BQ,39,0)</f>
        <v>#N/A</v>
      </c>
      <c r="V255" s="107" t="e">
        <f>VLOOKUP($A255,'S46'!$C:$BQ,40,0)</f>
        <v>#N/A</v>
      </c>
      <c r="W255" s="107" t="e">
        <f>VLOOKUP($A255,'S46'!$C:$BQ,22,0)</f>
        <v>#N/A</v>
      </c>
      <c r="X255" s="115" t="e">
        <f>VLOOKUP($A255,'S46'!$C:$BQ,29,0)</f>
        <v>#N/A</v>
      </c>
      <c r="Y255" s="115" t="e">
        <f>VLOOKUP($A255,'S46'!$C:$BQ,30,0)</f>
        <v>#N/A</v>
      </c>
      <c r="Z255" s="115" t="e">
        <f>VLOOKUP($A255,'S46'!$C:$BQ,52,0)</f>
        <v>#N/A</v>
      </c>
      <c r="AA255" s="115" t="e">
        <f>VLOOKUP($A255,'S46'!$C:$BQ,59,0)</f>
        <v>#N/A</v>
      </c>
      <c r="AB255" s="115" t="e">
        <f>VLOOKUP($A255,'S46'!$C:$BQ,60,0)</f>
        <v>#N/A</v>
      </c>
      <c r="AC255" s="107" t="e">
        <f>VLOOKUP($A255,'S47'!$C:$BQ,32,0)</f>
        <v>#N/A</v>
      </c>
      <c r="AD255" s="107" t="e">
        <f>VLOOKUP($A255,'S47'!$C:$BQ,39,0)</f>
        <v>#N/A</v>
      </c>
      <c r="AE255" s="107" t="e">
        <f>VLOOKUP($A255,'S47'!$C:$BQ,40,0)</f>
        <v>#N/A</v>
      </c>
      <c r="AF255" s="107" t="e">
        <f>VLOOKUP($A255,'S47'!$C:$BQ,22,0)</f>
        <v>#N/A</v>
      </c>
      <c r="AG255" s="115" t="e">
        <f>VLOOKUP($A255,'S47'!$C:$BQ,29,0)</f>
        <v>#N/A</v>
      </c>
      <c r="AH255" s="115" t="e">
        <f>VLOOKUP($A255,'S47'!$C:$BQ,30,0)</f>
        <v>#N/A</v>
      </c>
      <c r="AI255" s="115" t="e">
        <f>VLOOKUP($A255,'S47'!$C:$BQ,52,0)</f>
        <v>#N/A</v>
      </c>
      <c r="AJ255" s="115" t="e">
        <f>VLOOKUP($A255,'S47'!$C:$BQ,59,0)</f>
        <v>#N/A</v>
      </c>
      <c r="AK255" s="115" t="e">
        <f>VLOOKUP($A255,'S47'!$C:$BQ,60,0)</f>
        <v>#N/A</v>
      </c>
      <c r="AL255" s="107" t="e">
        <f>VLOOKUP($A255,'S48'!$C:$BQ,32,0)</f>
        <v>#N/A</v>
      </c>
      <c r="AM255" s="107" t="e">
        <f>VLOOKUP($A255,'S48'!$C:$BQ,39,0)</f>
        <v>#N/A</v>
      </c>
      <c r="AN255" s="107" t="e">
        <f>VLOOKUP($A255,'S48'!$C:$BQ,40,0)</f>
        <v>#N/A</v>
      </c>
      <c r="AO255" s="107" t="e">
        <f>VLOOKUP($A255,'S48'!$C:$BQ,22,0)</f>
        <v>#N/A</v>
      </c>
      <c r="AP255" s="115" t="e">
        <f>VLOOKUP($A255,'S48'!$C:$BQ,29,0)</f>
        <v>#N/A</v>
      </c>
      <c r="AQ255" s="115" t="e">
        <f>VLOOKUP($A255,'S48'!$C:$BQ,30,0)</f>
        <v>#N/A</v>
      </c>
      <c r="AR255" s="115" t="e">
        <f>VLOOKUP($A255,'S48'!$C:$BQ,52,0)</f>
        <v>#N/A</v>
      </c>
      <c r="AS255" s="115" t="e">
        <f>VLOOKUP($A255,'S48'!$C:$BQ,59,0)</f>
        <v>#N/A</v>
      </c>
      <c r="AT255" s="115" t="e">
        <f>VLOOKUP($A255,'S48'!$C:$BQ,60,0)</f>
        <v>#N/A</v>
      </c>
      <c r="AU255" s="107" t="e">
        <f>VLOOKUP($A255,'S49'!$C:$BQ,32,0)</f>
        <v>#N/A</v>
      </c>
      <c r="AV255" s="107" t="e">
        <f>VLOOKUP($A255,'S49'!$C:$BQ,39,0)</f>
        <v>#N/A</v>
      </c>
      <c r="AW255" s="107" t="e">
        <f>VLOOKUP($A255,'S49'!$C:$BQ,40,0)</f>
        <v>#N/A</v>
      </c>
      <c r="AX255" s="107" t="e">
        <f>VLOOKUP($A255,'S49'!$C:$BQ,22,0)</f>
        <v>#N/A</v>
      </c>
      <c r="AY255" s="115" t="e">
        <f>VLOOKUP($A255,'S49'!$C:$BQ,29,0)</f>
        <v>#N/A</v>
      </c>
      <c r="AZ255" s="115" t="e">
        <f>VLOOKUP($A255,'S49'!$C:$BQ,30,0)</f>
        <v>#N/A</v>
      </c>
      <c r="BA255" s="115" t="e">
        <f>VLOOKUP($A255,'S49'!$C:$BQ,52,0)</f>
        <v>#N/A</v>
      </c>
      <c r="BB255" s="115" t="e">
        <f>VLOOKUP($A255,'S49'!$C:$BQ,59,0)</f>
        <v>#N/A</v>
      </c>
      <c r="BC255" s="115" t="e">
        <f>VLOOKUP($A255,'S49'!$C:$BQ,60,0)</f>
        <v>#N/A</v>
      </c>
      <c r="BD255" s="107" t="e">
        <f>VLOOKUP($A255,'S50'!$C:$BQ,32,0)</f>
        <v>#N/A</v>
      </c>
      <c r="BE255" s="107" t="e">
        <f>VLOOKUP($A255,'S50'!$C:$BQ,39,0)</f>
        <v>#N/A</v>
      </c>
      <c r="BF255" s="107" t="e">
        <f>VLOOKUP($A255,'S50'!$C:$BQ,40,0)</f>
        <v>#N/A</v>
      </c>
      <c r="BG255" s="107" t="e">
        <f>VLOOKUP($A255,'S50'!$C:$BQ,22,0)</f>
        <v>#N/A</v>
      </c>
      <c r="BH255" s="115" t="e">
        <f>VLOOKUP($A255,'S50'!$C:$BQ,29,0)</f>
        <v>#N/A</v>
      </c>
      <c r="BI255" s="115" t="e">
        <f>VLOOKUP($A255,'S50'!$C:$BQ,30,0)</f>
        <v>#N/A</v>
      </c>
      <c r="BJ255" s="115" t="e">
        <f>VLOOKUP($A255,'S50'!$C:$BQ,52,0)</f>
        <v>#N/A</v>
      </c>
      <c r="BK255" s="115" t="e">
        <f>VLOOKUP($A255,'S50'!$C:$BQ,59,0)</f>
        <v>#N/A</v>
      </c>
      <c r="BL255" s="115" t="e">
        <f>VLOOKUP($A255,'S50'!$C:$BQ,60,0)</f>
        <v>#N/A</v>
      </c>
    </row>
    <row r="256" spans="1:64" x14ac:dyDescent="0.2">
      <c r="A256" s="106" t="s">
        <v>329</v>
      </c>
      <c r="B256" s="107">
        <f>VLOOKUP($A256,'S0 remplacer avec S44'!$C:$BQ,32,0)</f>
        <v>404.95</v>
      </c>
      <c r="C256" s="107">
        <f>VLOOKUP($A256,'S0 remplacer avec S44'!$C:$BQ,39,0)</f>
        <v>157</v>
      </c>
      <c r="D256" s="107">
        <f>VLOOKUP($A256,'S0 remplacer avec S44'!$C:$BQ,40,0)</f>
        <v>269</v>
      </c>
      <c r="E256" s="107">
        <f>VLOOKUP($A256,'S0 remplacer avec S44'!$C:$BQ,22,0)</f>
        <v>3494.8434750000001</v>
      </c>
      <c r="F256" s="115">
        <f>VLOOKUP($A256,'S0 remplacer avec S44'!$C:$BQ,29,0)</f>
        <v>1611</v>
      </c>
      <c r="G256" s="115">
        <f>VLOOKUP($A256,'S0 remplacer avec S44'!$C:$BQ,30,0)</f>
        <v>2632</v>
      </c>
      <c r="H256" s="115">
        <f>VLOOKUP($A256,'S0 remplacer avec S44'!$C:$BQ,52,0)</f>
        <v>267.2</v>
      </c>
      <c r="I256" s="115">
        <f>VLOOKUP($A256,'S0 remplacer avec S44'!$C:$BQ,59,0)</f>
        <v>18</v>
      </c>
      <c r="J256" s="115">
        <f>VLOOKUP($A256,'S0 remplacer avec S44'!$C:$BQ,60,0)</f>
        <v>75</v>
      </c>
      <c r="K256" s="107" t="e">
        <f>VLOOKUP($A256,'S45'!$C:$BQ,32,0)</f>
        <v>#N/A</v>
      </c>
      <c r="L256" s="107" t="e">
        <f>VLOOKUP($A256,'S45'!$C:$BQ,39,0)</f>
        <v>#N/A</v>
      </c>
      <c r="M256" s="107" t="e">
        <f>VLOOKUP($A256,'S45'!$C:$BQ,40,0)</f>
        <v>#N/A</v>
      </c>
      <c r="N256" s="107" t="e">
        <f>VLOOKUP($A256,'S45'!$C:$BQ,22,0)</f>
        <v>#N/A</v>
      </c>
      <c r="O256" s="115" t="e">
        <f>VLOOKUP($A256,'S45'!$C:$BQ,29,0)</f>
        <v>#N/A</v>
      </c>
      <c r="P256" s="115" t="e">
        <f>VLOOKUP($A256,'S45'!$C:$BQ,30,0)</f>
        <v>#N/A</v>
      </c>
      <c r="Q256" s="115" t="e">
        <f>VLOOKUP($A256,'S45'!$C:$BQ,52,0)</f>
        <v>#N/A</v>
      </c>
      <c r="R256" s="115" t="e">
        <f>VLOOKUP($A256,'S45'!$C:$BQ,59,0)</f>
        <v>#N/A</v>
      </c>
      <c r="S256" s="115" t="e">
        <f>VLOOKUP($A256,'S45'!$C:$BQ,60,0)</f>
        <v>#N/A</v>
      </c>
      <c r="T256" s="107" t="e">
        <f>VLOOKUP($A256,'S46'!$C:$BQ,32,0)</f>
        <v>#N/A</v>
      </c>
      <c r="U256" s="107" t="e">
        <f>VLOOKUP($A256,'S46'!$C:$BQ,39,0)</f>
        <v>#N/A</v>
      </c>
      <c r="V256" s="107" t="e">
        <f>VLOOKUP($A256,'S46'!$C:$BQ,40,0)</f>
        <v>#N/A</v>
      </c>
      <c r="W256" s="107" t="e">
        <f>VLOOKUP($A256,'S46'!$C:$BQ,22,0)</f>
        <v>#N/A</v>
      </c>
      <c r="X256" s="115" t="e">
        <f>VLOOKUP($A256,'S46'!$C:$BQ,29,0)</f>
        <v>#N/A</v>
      </c>
      <c r="Y256" s="115" t="e">
        <f>VLOOKUP($A256,'S46'!$C:$BQ,30,0)</f>
        <v>#N/A</v>
      </c>
      <c r="Z256" s="115" t="e">
        <f>VLOOKUP($A256,'S46'!$C:$BQ,52,0)</f>
        <v>#N/A</v>
      </c>
      <c r="AA256" s="115" t="e">
        <f>VLOOKUP($A256,'S46'!$C:$BQ,59,0)</f>
        <v>#N/A</v>
      </c>
      <c r="AB256" s="115" t="e">
        <f>VLOOKUP($A256,'S46'!$C:$BQ,60,0)</f>
        <v>#N/A</v>
      </c>
      <c r="AC256" s="107" t="e">
        <f>VLOOKUP($A256,'S47'!$C:$BQ,32,0)</f>
        <v>#N/A</v>
      </c>
      <c r="AD256" s="107" t="e">
        <f>VLOOKUP($A256,'S47'!$C:$BQ,39,0)</f>
        <v>#N/A</v>
      </c>
      <c r="AE256" s="107" t="e">
        <f>VLOOKUP($A256,'S47'!$C:$BQ,40,0)</f>
        <v>#N/A</v>
      </c>
      <c r="AF256" s="107" t="e">
        <f>VLOOKUP($A256,'S47'!$C:$BQ,22,0)</f>
        <v>#N/A</v>
      </c>
      <c r="AG256" s="115" t="e">
        <f>VLOOKUP($A256,'S47'!$C:$BQ,29,0)</f>
        <v>#N/A</v>
      </c>
      <c r="AH256" s="115" t="e">
        <f>VLOOKUP($A256,'S47'!$C:$BQ,30,0)</f>
        <v>#N/A</v>
      </c>
      <c r="AI256" s="115" t="e">
        <f>VLOOKUP($A256,'S47'!$C:$BQ,52,0)</f>
        <v>#N/A</v>
      </c>
      <c r="AJ256" s="115" t="e">
        <f>VLOOKUP($A256,'S47'!$C:$BQ,59,0)</f>
        <v>#N/A</v>
      </c>
      <c r="AK256" s="115" t="e">
        <f>VLOOKUP($A256,'S47'!$C:$BQ,60,0)</f>
        <v>#N/A</v>
      </c>
      <c r="AL256" s="107" t="e">
        <f>VLOOKUP($A256,'S48'!$C:$BQ,32,0)</f>
        <v>#N/A</v>
      </c>
      <c r="AM256" s="107" t="e">
        <f>VLOOKUP($A256,'S48'!$C:$BQ,39,0)</f>
        <v>#N/A</v>
      </c>
      <c r="AN256" s="107" t="e">
        <f>VLOOKUP($A256,'S48'!$C:$BQ,40,0)</f>
        <v>#N/A</v>
      </c>
      <c r="AO256" s="107" t="e">
        <f>VLOOKUP($A256,'S48'!$C:$BQ,22,0)</f>
        <v>#N/A</v>
      </c>
      <c r="AP256" s="115" t="e">
        <f>VLOOKUP($A256,'S48'!$C:$BQ,29,0)</f>
        <v>#N/A</v>
      </c>
      <c r="AQ256" s="115" t="e">
        <f>VLOOKUP($A256,'S48'!$C:$BQ,30,0)</f>
        <v>#N/A</v>
      </c>
      <c r="AR256" s="115" t="e">
        <f>VLOOKUP($A256,'S48'!$C:$BQ,52,0)</f>
        <v>#N/A</v>
      </c>
      <c r="AS256" s="115" t="e">
        <f>VLOOKUP($A256,'S48'!$C:$BQ,59,0)</f>
        <v>#N/A</v>
      </c>
      <c r="AT256" s="115" t="e">
        <f>VLOOKUP($A256,'S48'!$C:$BQ,60,0)</f>
        <v>#N/A</v>
      </c>
      <c r="AU256" s="107" t="e">
        <f>VLOOKUP($A256,'S49'!$C:$BQ,32,0)</f>
        <v>#N/A</v>
      </c>
      <c r="AV256" s="107" t="e">
        <f>VLOOKUP($A256,'S49'!$C:$BQ,39,0)</f>
        <v>#N/A</v>
      </c>
      <c r="AW256" s="107" t="e">
        <f>VLOOKUP($A256,'S49'!$C:$BQ,40,0)</f>
        <v>#N/A</v>
      </c>
      <c r="AX256" s="107" t="e">
        <f>VLOOKUP($A256,'S49'!$C:$BQ,22,0)</f>
        <v>#N/A</v>
      </c>
      <c r="AY256" s="115" t="e">
        <f>VLOOKUP($A256,'S49'!$C:$BQ,29,0)</f>
        <v>#N/A</v>
      </c>
      <c r="AZ256" s="115" t="e">
        <f>VLOOKUP($A256,'S49'!$C:$BQ,30,0)</f>
        <v>#N/A</v>
      </c>
      <c r="BA256" s="115" t="e">
        <f>VLOOKUP($A256,'S49'!$C:$BQ,52,0)</f>
        <v>#N/A</v>
      </c>
      <c r="BB256" s="115" t="e">
        <f>VLOOKUP($A256,'S49'!$C:$BQ,59,0)</f>
        <v>#N/A</v>
      </c>
      <c r="BC256" s="115" t="e">
        <f>VLOOKUP($A256,'S49'!$C:$BQ,60,0)</f>
        <v>#N/A</v>
      </c>
      <c r="BD256" s="107" t="e">
        <f>VLOOKUP($A256,'S50'!$C:$BQ,32,0)</f>
        <v>#N/A</v>
      </c>
      <c r="BE256" s="107" t="e">
        <f>VLOOKUP($A256,'S50'!$C:$BQ,39,0)</f>
        <v>#N/A</v>
      </c>
      <c r="BF256" s="107" t="e">
        <f>VLOOKUP($A256,'S50'!$C:$BQ,40,0)</f>
        <v>#N/A</v>
      </c>
      <c r="BG256" s="107" t="e">
        <f>VLOOKUP($A256,'S50'!$C:$BQ,22,0)</f>
        <v>#N/A</v>
      </c>
      <c r="BH256" s="115" t="e">
        <f>VLOOKUP($A256,'S50'!$C:$BQ,29,0)</f>
        <v>#N/A</v>
      </c>
      <c r="BI256" s="115" t="e">
        <f>VLOOKUP($A256,'S50'!$C:$BQ,30,0)</f>
        <v>#N/A</v>
      </c>
      <c r="BJ256" s="115" t="e">
        <f>VLOOKUP($A256,'S50'!$C:$BQ,52,0)</f>
        <v>#N/A</v>
      </c>
      <c r="BK256" s="115" t="e">
        <f>VLOOKUP($A256,'S50'!$C:$BQ,59,0)</f>
        <v>#N/A</v>
      </c>
      <c r="BL256" s="115" t="e">
        <f>VLOOKUP($A256,'S50'!$C:$BQ,60,0)</f>
        <v>#N/A</v>
      </c>
    </row>
    <row r="257" spans="1:64" x14ac:dyDescent="0.2">
      <c r="A257" s="106" t="s">
        <v>330</v>
      </c>
      <c r="B257" s="107">
        <f>VLOOKUP($A257,'S0 remplacer avec S44'!$C:$BQ,32,0)</f>
        <v>227.05</v>
      </c>
      <c r="C257" s="107">
        <f>VLOOKUP($A257,'S0 remplacer avec S44'!$C:$BQ,39,0)</f>
        <v>8</v>
      </c>
      <c r="D257" s="107">
        <f>VLOOKUP($A257,'S0 remplacer avec S44'!$C:$BQ,40,0)</f>
        <v>55</v>
      </c>
      <c r="E257" s="107">
        <f>VLOOKUP($A257,'S0 remplacer avec S44'!$C:$BQ,22,0)</f>
        <v>2817.142625</v>
      </c>
      <c r="F257" s="115">
        <f>VLOOKUP($A257,'S0 remplacer avec S44'!$C:$BQ,29,0)</f>
        <v>0</v>
      </c>
      <c r="G257" s="115">
        <f>VLOOKUP($A257,'S0 remplacer avec S44'!$C:$BQ,30,0)</f>
        <v>0</v>
      </c>
      <c r="H257" s="115">
        <f>VLOOKUP($A257,'S0 remplacer avec S44'!$C:$BQ,52,0)</f>
        <v>151.80000000000001</v>
      </c>
      <c r="I257" s="115">
        <f>VLOOKUP($A257,'S0 remplacer avec S44'!$C:$BQ,59,0)</f>
        <v>0</v>
      </c>
      <c r="J257" s="115">
        <f>VLOOKUP($A257,'S0 remplacer avec S44'!$C:$BQ,60,0)</f>
        <v>0</v>
      </c>
      <c r="K257" s="107" t="e">
        <f>VLOOKUP($A257,'S45'!$C:$BQ,32,0)</f>
        <v>#N/A</v>
      </c>
      <c r="L257" s="107" t="e">
        <f>VLOOKUP($A257,'S45'!$C:$BQ,39,0)</f>
        <v>#N/A</v>
      </c>
      <c r="M257" s="107" t="e">
        <f>VLOOKUP($A257,'S45'!$C:$BQ,40,0)</f>
        <v>#N/A</v>
      </c>
      <c r="N257" s="107" t="e">
        <f>VLOOKUP($A257,'S45'!$C:$BQ,22,0)</f>
        <v>#N/A</v>
      </c>
      <c r="O257" s="115" t="e">
        <f>VLOOKUP($A257,'S45'!$C:$BQ,29,0)</f>
        <v>#N/A</v>
      </c>
      <c r="P257" s="115" t="e">
        <f>VLOOKUP($A257,'S45'!$C:$BQ,30,0)</f>
        <v>#N/A</v>
      </c>
      <c r="Q257" s="115" t="e">
        <f>VLOOKUP($A257,'S45'!$C:$BQ,52,0)</f>
        <v>#N/A</v>
      </c>
      <c r="R257" s="115" t="e">
        <f>VLOOKUP($A257,'S45'!$C:$BQ,59,0)</f>
        <v>#N/A</v>
      </c>
      <c r="S257" s="115" t="e">
        <f>VLOOKUP($A257,'S45'!$C:$BQ,60,0)</f>
        <v>#N/A</v>
      </c>
      <c r="T257" s="107" t="e">
        <f>VLOOKUP($A257,'S46'!$C:$BQ,32,0)</f>
        <v>#N/A</v>
      </c>
      <c r="U257" s="107" t="e">
        <f>VLOOKUP($A257,'S46'!$C:$BQ,39,0)</f>
        <v>#N/A</v>
      </c>
      <c r="V257" s="107" t="e">
        <f>VLOOKUP($A257,'S46'!$C:$BQ,40,0)</f>
        <v>#N/A</v>
      </c>
      <c r="W257" s="107" t="e">
        <f>VLOOKUP($A257,'S46'!$C:$BQ,22,0)</f>
        <v>#N/A</v>
      </c>
      <c r="X257" s="115" t="e">
        <f>VLOOKUP($A257,'S46'!$C:$BQ,29,0)</f>
        <v>#N/A</v>
      </c>
      <c r="Y257" s="115" t="e">
        <f>VLOOKUP($A257,'S46'!$C:$BQ,30,0)</f>
        <v>#N/A</v>
      </c>
      <c r="Z257" s="115" t="e">
        <f>VLOOKUP($A257,'S46'!$C:$BQ,52,0)</f>
        <v>#N/A</v>
      </c>
      <c r="AA257" s="115" t="e">
        <f>VLOOKUP($A257,'S46'!$C:$BQ,59,0)</f>
        <v>#N/A</v>
      </c>
      <c r="AB257" s="115" t="e">
        <f>VLOOKUP($A257,'S46'!$C:$BQ,60,0)</f>
        <v>#N/A</v>
      </c>
      <c r="AC257" s="107" t="e">
        <f>VLOOKUP($A257,'S47'!$C:$BQ,32,0)</f>
        <v>#N/A</v>
      </c>
      <c r="AD257" s="107" t="e">
        <f>VLOOKUP($A257,'S47'!$C:$BQ,39,0)</f>
        <v>#N/A</v>
      </c>
      <c r="AE257" s="107" t="e">
        <f>VLOOKUP($A257,'S47'!$C:$BQ,40,0)</f>
        <v>#N/A</v>
      </c>
      <c r="AF257" s="107" t="e">
        <f>VLOOKUP($A257,'S47'!$C:$BQ,22,0)</f>
        <v>#N/A</v>
      </c>
      <c r="AG257" s="115" t="e">
        <f>VLOOKUP($A257,'S47'!$C:$BQ,29,0)</f>
        <v>#N/A</v>
      </c>
      <c r="AH257" s="115" t="e">
        <f>VLOOKUP($A257,'S47'!$C:$BQ,30,0)</f>
        <v>#N/A</v>
      </c>
      <c r="AI257" s="115" t="e">
        <f>VLOOKUP($A257,'S47'!$C:$BQ,52,0)</f>
        <v>#N/A</v>
      </c>
      <c r="AJ257" s="115" t="e">
        <f>VLOOKUP($A257,'S47'!$C:$BQ,59,0)</f>
        <v>#N/A</v>
      </c>
      <c r="AK257" s="115" t="e">
        <f>VLOOKUP($A257,'S47'!$C:$BQ,60,0)</f>
        <v>#N/A</v>
      </c>
      <c r="AL257" s="107" t="e">
        <f>VLOOKUP($A257,'S48'!$C:$BQ,32,0)</f>
        <v>#N/A</v>
      </c>
      <c r="AM257" s="107" t="e">
        <f>VLOOKUP($A257,'S48'!$C:$BQ,39,0)</f>
        <v>#N/A</v>
      </c>
      <c r="AN257" s="107" t="e">
        <f>VLOOKUP($A257,'S48'!$C:$BQ,40,0)</f>
        <v>#N/A</v>
      </c>
      <c r="AO257" s="107" t="e">
        <f>VLOOKUP($A257,'S48'!$C:$BQ,22,0)</f>
        <v>#N/A</v>
      </c>
      <c r="AP257" s="115" t="e">
        <f>VLOOKUP($A257,'S48'!$C:$BQ,29,0)</f>
        <v>#N/A</v>
      </c>
      <c r="AQ257" s="115" t="e">
        <f>VLOOKUP($A257,'S48'!$C:$BQ,30,0)</f>
        <v>#N/A</v>
      </c>
      <c r="AR257" s="115" t="e">
        <f>VLOOKUP($A257,'S48'!$C:$BQ,52,0)</f>
        <v>#N/A</v>
      </c>
      <c r="AS257" s="115" t="e">
        <f>VLOOKUP($A257,'S48'!$C:$BQ,59,0)</f>
        <v>#N/A</v>
      </c>
      <c r="AT257" s="115" t="e">
        <f>VLOOKUP($A257,'S48'!$C:$BQ,60,0)</f>
        <v>#N/A</v>
      </c>
      <c r="AU257" s="107" t="e">
        <f>VLOOKUP($A257,'S49'!$C:$BQ,32,0)</f>
        <v>#N/A</v>
      </c>
      <c r="AV257" s="107" t="e">
        <f>VLOOKUP($A257,'S49'!$C:$BQ,39,0)</f>
        <v>#N/A</v>
      </c>
      <c r="AW257" s="107" t="e">
        <f>VLOOKUP($A257,'S49'!$C:$BQ,40,0)</f>
        <v>#N/A</v>
      </c>
      <c r="AX257" s="107" t="e">
        <f>VLOOKUP($A257,'S49'!$C:$BQ,22,0)</f>
        <v>#N/A</v>
      </c>
      <c r="AY257" s="115" t="e">
        <f>VLOOKUP($A257,'S49'!$C:$BQ,29,0)</f>
        <v>#N/A</v>
      </c>
      <c r="AZ257" s="115" t="e">
        <f>VLOOKUP($A257,'S49'!$C:$BQ,30,0)</f>
        <v>#N/A</v>
      </c>
      <c r="BA257" s="115" t="e">
        <f>VLOOKUP($A257,'S49'!$C:$BQ,52,0)</f>
        <v>#N/A</v>
      </c>
      <c r="BB257" s="115" t="e">
        <f>VLOOKUP($A257,'S49'!$C:$BQ,59,0)</f>
        <v>#N/A</v>
      </c>
      <c r="BC257" s="115" t="e">
        <f>VLOOKUP($A257,'S49'!$C:$BQ,60,0)</f>
        <v>#N/A</v>
      </c>
      <c r="BD257" s="107" t="e">
        <f>VLOOKUP($A257,'S50'!$C:$BQ,32,0)</f>
        <v>#N/A</v>
      </c>
      <c r="BE257" s="107" t="e">
        <f>VLOOKUP($A257,'S50'!$C:$BQ,39,0)</f>
        <v>#N/A</v>
      </c>
      <c r="BF257" s="107" t="e">
        <f>VLOOKUP($A257,'S50'!$C:$BQ,40,0)</f>
        <v>#N/A</v>
      </c>
      <c r="BG257" s="107" t="e">
        <f>VLOOKUP($A257,'S50'!$C:$BQ,22,0)</f>
        <v>#N/A</v>
      </c>
      <c r="BH257" s="115" t="e">
        <f>VLOOKUP($A257,'S50'!$C:$BQ,29,0)</f>
        <v>#N/A</v>
      </c>
      <c r="BI257" s="115" t="e">
        <f>VLOOKUP($A257,'S50'!$C:$BQ,30,0)</f>
        <v>#N/A</v>
      </c>
      <c r="BJ257" s="115" t="e">
        <f>VLOOKUP($A257,'S50'!$C:$BQ,52,0)</f>
        <v>#N/A</v>
      </c>
      <c r="BK257" s="115" t="e">
        <f>VLOOKUP($A257,'S50'!$C:$BQ,59,0)</f>
        <v>#N/A</v>
      </c>
      <c r="BL257" s="115" t="e">
        <f>VLOOKUP($A257,'S50'!$C:$BQ,60,0)</f>
        <v>#N/A</v>
      </c>
    </row>
    <row r="258" spans="1:64" x14ac:dyDescent="0.2">
      <c r="A258" s="106" t="s">
        <v>331</v>
      </c>
      <c r="B258" s="107">
        <f>VLOOKUP($A258,'S0 remplacer avec S44'!$C:$BQ,32,0)</f>
        <v>147.1</v>
      </c>
      <c r="C258" s="107">
        <f>VLOOKUP($A258,'S0 remplacer avec S44'!$C:$BQ,39,0)</f>
        <v>10</v>
      </c>
      <c r="D258" s="107">
        <f>VLOOKUP($A258,'S0 remplacer avec S44'!$C:$BQ,40,0)</f>
        <v>41</v>
      </c>
      <c r="E258" s="107">
        <f>VLOOKUP($A258,'S0 remplacer avec S44'!$C:$BQ,22,0)</f>
        <v>1279.9677750000001</v>
      </c>
      <c r="F258" s="115">
        <f>VLOOKUP($A258,'S0 remplacer avec S44'!$C:$BQ,29,0)</f>
        <v>146</v>
      </c>
      <c r="G258" s="115">
        <f>VLOOKUP($A258,'S0 remplacer avec S44'!$C:$BQ,30,0)</f>
        <v>431</v>
      </c>
      <c r="H258" s="115">
        <f>VLOOKUP($A258,'S0 remplacer avec S44'!$C:$BQ,52,0)</f>
        <v>90.6</v>
      </c>
      <c r="I258" s="115">
        <f>VLOOKUP($A258,'S0 remplacer avec S44'!$C:$BQ,59,0)</f>
        <v>0</v>
      </c>
      <c r="J258" s="115">
        <f>VLOOKUP($A258,'S0 remplacer avec S44'!$C:$BQ,60,0)</f>
        <v>5</v>
      </c>
      <c r="K258" s="107" t="e">
        <f>VLOOKUP($A258,'S45'!$C:$BQ,32,0)</f>
        <v>#N/A</v>
      </c>
      <c r="L258" s="107" t="e">
        <f>VLOOKUP($A258,'S45'!$C:$BQ,39,0)</f>
        <v>#N/A</v>
      </c>
      <c r="M258" s="107" t="e">
        <f>VLOOKUP($A258,'S45'!$C:$BQ,40,0)</f>
        <v>#N/A</v>
      </c>
      <c r="N258" s="107" t="e">
        <f>VLOOKUP($A258,'S45'!$C:$BQ,22,0)</f>
        <v>#N/A</v>
      </c>
      <c r="O258" s="115" t="e">
        <f>VLOOKUP($A258,'S45'!$C:$BQ,29,0)</f>
        <v>#N/A</v>
      </c>
      <c r="P258" s="115" t="e">
        <f>VLOOKUP($A258,'S45'!$C:$BQ,30,0)</f>
        <v>#N/A</v>
      </c>
      <c r="Q258" s="115" t="e">
        <f>VLOOKUP($A258,'S45'!$C:$BQ,52,0)</f>
        <v>#N/A</v>
      </c>
      <c r="R258" s="115" t="e">
        <f>VLOOKUP($A258,'S45'!$C:$BQ,59,0)</f>
        <v>#N/A</v>
      </c>
      <c r="S258" s="115" t="e">
        <f>VLOOKUP($A258,'S45'!$C:$BQ,60,0)</f>
        <v>#N/A</v>
      </c>
      <c r="T258" s="107" t="e">
        <f>VLOOKUP($A258,'S46'!$C:$BQ,32,0)</f>
        <v>#N/A</v>
      </c>
      <c r="U258" s="107" t="e">
        <f>VLOOKUP($A258,'S46'!$C:$BQ,39,0)</f>
        <v>#N/A</v>
      </c>
      <c r="V258" s="107" t="e">
        <f>VLOOKUP($A258,'S46'!$C:$BQ,40,0)</f>
        <v>#N/A</v>
      </c>
      <c r="W258" s="107" t="e">
        <f>VLOOKUP($A258,'S46'!$C:$BQ,22,0)</f>
        <v>#N/A</v>
      </c>
      <c r="X258" s="115" t="e">
        <f>VLOOKUP($A258,'S46'!$C:$BQ,29,0)</f>
        <v>#N/A</v>
      </c>
      <c r="Y258" s="115" t="e">
        <f>VLOOKUP($A258,'S46'!$C:$BQ,30,0)</f>
        <v>#N/A</v>
      </c>
      <c r="Z258" s="115" t="e">
        <f>VLOOKUP($A258,'S46'!$C:$BQ,52,0)</f>
        <v>#N/A</v>
      </c>
      <c r="AA258" s="115" t="e">
        <f>VLOOKUP($A258,'S46'!$C:$BQ,59,0)</f>
        <v>#N/A</v>
      </c>
      <c r="AB258" s="115" t="e">
        <f>VLOOKUP($A258,'S46'!$C:$BQ,60,0)</f>
        <v>#N/A</v>
      </c>
      <c r="AC258" s="107" t="e">
        <f>VLOOKUP($A258,'S47'!$C:$BQ,32,0)</f>
        <v>#N/A</v>
      </c>
      <c r="AD258" s="107" t="e">
        <f>VLOOKUP($A258,'S47'!$C:$BQ,39,0)</f>
        <v>#N/A</v>
      </c>
      <c r="AE258" s="107" t="e">
        <f>VLOOKUP($A258,'S47'!$C:$BQ,40,0)</f>
        <v>#N/A</v>
      </c>
      <c r="AF258" s="107" t="e">
        <f>VLOOKUP($A258,'S47'!$C:$BQ,22,0)</f>
        <v>#N/A</v>
      </c>
      <c r="AG258" s="115" t="e">
        <f>VLOOKUP($A258,'S47'!$C:$BQ,29,0)</f>
        <v>#N/A</v>
      </c>
      <c r="AH258" s="115" t="e">
        <f>VLOOKUP($A258,'S47'!$C:$BQ,30,0)</f>
        <v>#N/A</v>
      </c>
      <c r="AI258" s="115" t="e">
        <f>VLOOKUP($A258,'S47'!$C:$BQ,52,0)</f>
        <v>#N/A</v>
      </c>
      <c r="AJ258" s="115" t="e">
        <f>VLOOKUP($A258,'S47'!$C:$BQ,59,0)</f>
        <v>#N/A</v>
      </c>
      <c r="AK258" s="115" t="e">
        <f>VLOOKUP($A258,'S47'!$C:$BQ,60,0)</f>
        <v>#N/A</v>
      </c>
      <c r="AL258" s="107" t="e">
        <f>VLOOKUP($A258,'S48'!$C:$BQ,32,0)</f>
        <v>#N/A</v>
      </c>
      <c r="AM258" s="107" t="e">
        <f>VLOOKUP($A258,'S48'!$C:$BQ,39,0)</f>
        <v>#N/A</v>
      </c>
      <c r="AN258" s="107" t="e">
        <f>VLOOKUP($A258,'S48'!$C:$BQ,40,0)</f>
        <v>#N/A</v>
      </c>
      <c r="AO258" s="107" t="e">
        <f>VLOOKUP($A258,'S48'!$C:$BQ,22,0)</f>
        <v>#N/A</v>
      </c>
      <c r="AP258" s="115" t="e">
        <f>VLOOKUP($A258,'S48'!$C:$BQ,29,0)</f>
        <v>#N/A</v>
      </c>
      <c r="AQ258" s="115" t="e">
        <f>VLOOKUP($A258,'S48'!$C:$BQ,30,0)</f>
        <v>#N/A</v>
      </c>
      <c r="AR258" s="115" t="e">
        <f>VLOOKUP($A258,'S48'!$C:$BQ,52,0)</f>
        <v>#N/A</v>
      </c>
      <c r="AS258" s="115" t="e">
        <f>VLOOKUP($A258,'S48'!$C:$BQ,59,0)</f>
        <v>#N/A</v>
      </c>
      <c r="AT258" s="115" t="e">
        <f>VLOOKUP($A258,'S48'!$C:$BQ,60,0)</f>
        <v>#N/A</v>
      </c>
      <c r="AU258" s="107" t="e">
        <f>VLOOKUP($A258,'S49'!$C:$BQ,32,0)</f>
        <v>#N/A</v>
      </c>
      <c r="AV258" s="107" t="e">
        <f>VLOOKUP($A258,'S49'!$C:$BQ,39,0)</f>
        <v>#N/A</v>
      </c>
      <c r="AW258" s="107" t="e">
        <f>VLOOKUP($A258,'S49'!$C:$BQ,40,0)</f>
        <v>#N/A</v>
      </c>
      <c r="AX258" s="107" t="e">
        <f>VLOOKUP($A258,'S49'!$C:$BQ,22,0)</f>
        <v>#N/A</v>
      </c>
      <c r="AY258" s="115" t="e">
        <f>VLOOKUP($A258,'S49'!$C:$BQ,29,0)</f>
        <v>#N/A</v>
      </c>
      <c r="AZ258" s="115" t="e">
        <f>VLOOKUP($A258,'S49'!$C:$BQ,30,0)</f>
        <v>#N/A</v>
      </c>
      <c r="BA258" s="115" t="e">
        <f>VLOOKUP($A258,'S49'!$C:$BQ,52,0)</f>
        <v>#N/A</v>
      </c>
      <c r="BB258" s="115" t="e">
        <f>VLOOKUP($A258,'S49'!$C:$BQ,59,0)</f>
        <v>#N/A</v>
      </c>
      <c r="BC258" s="115" t="e">
        <f>VLOOKUP($A258,'S49'!$C:$BQ,60,0)</f>
        <v>#N/A</v>
      </c>
      <c r="BD258" s="107" t="e">
        <f>VLOOKUP($A258,'S50'!$C:$BQ,32,0)</f>
        <v>#N/A</v>
      </c>
      <c r="BE258" s="107" t="e">
        <f>VLOOKUP($A258,'S50'!$C:$BQ,39,0)</f>
        <v>#N/A</v>
      </c>
      <c r="BF258" s="107" t="e">
        <f>VLOOKUP($A258,'S50'!$C:$BQ,40,0)</f>
        <v>#N/A</v>
      </c>
      <c r="BG258" s="107" t="e">
        <f>VLOOKUP($A258,'S50'!$C:$BQ,22,0)</f>
        <v>#N/A</v>
      </c>
      <c r="BH258" s="115" t="e">
        <f>VLOOKUP($A258,'S50'!$C:$BQ,29,0)</f>
        <v>#N/A</v>
      </c>
      <c r="BI258" s="115" t="e">
        <f>VLOOKUP($A258,'S50'!$C:$BQ,30,0)</f>
        <v>#N/A</v>
      </c>
      <c r="BJ258" s="115" t="e">
        <f>VLOOKUP($A258,'S50'!$C:$BQ,52,0)</f>
        <v>#N/A</v>
      </c>
      <c r="BK258" s="115" t="e">
        <f>VLOOKUP($A258,'S50'!$C:$BQ,59,0)</f>
        <v>#N/A</v>
      </c>
      <c r="BL258" s="115" t="e">
        <f>VLOOKUP($A258,'S50'!$C:$BQ,60,0)</f>
        <v>#N/A</v>
      </c>
    </row>
    <row r="259" spans="1:64" x14ac:dyDescent="0.2">
      <c r="A259" s="106" t="s">
        <v>332</v>
      </c>
      <c r="B259" s="107">
        <f>VLOOKUP($A259,'S0 remplacer avec S44'!$C:$BQ,32,0)</f>
        <v>266.95</v>
      </c>
      <c r="C259" s="107">
        <f>VLOOKUP($A259,'S0 remplacer avec S44'!$C:$BQ,39,0)</f>
        <v>0</v>
      </c>
      <c r="D259" s="107">
        <f>VLOOKUP($A259,'S0 remplacer avec S44'!$C:$BQ,40,0)</f>
        <v>0</v>
      </c>
      <c r="E259" s="107">
        <f>VLOOKUP($A259,'S0 remplacer avec S44'!$C:$BQ,22,0)</f>
        <v>1911.2496450000001</v>
      </c>
      <c r="F259" s="115">
        <f>VLOOKUP($A259,'S0 remplacer avec S44'!$C:$BQ,29,0)</f>
        <v>0</v>
      </c>
      <c r="G259" s="115">
        <f>VLOOKUP($A259,'S0 remplacer avec S44'!$C:$BQ,30,0)</f>
        <v>0</v>
      </c>
      <c r="H259" s="115">
        <f>VLOOKUP($A259,'S0 remplacer avec S44'!$C:$BQ,52,0)</f>
        <v>164.8</v>
      </c>
      <c r="I259" s="115">
        <f>VLOOKUP($A259,'S0 remplacer avec S44'!$C:$BQ,59,0)</f>
        <v>0</v>
      </c>
      <c r="J259" s="115">
        <f>VLOOKUP($A259,'S0 remplacer avec S44'!$C:$BQ,60,0)</f>
        <v>0</v>
      </c>
      <c r="K259" s="107" t="e">
        <f>VLOOKUP($A259,'S45'!$C:$BQ,32,0)</f>
        <v>#N/A</v>
      </c>
      <c r="L259" s="107" t="e">
        <f>VLOOKUP($A259,'S45'!$C:$BQ,39,0)</f>
        <v>#N/A</v>
      </c>
      <c r="M259" s="107" t="e">
        <f>VLOOKUP($A259,'S45'!$C:$BQ,40,0)</f>
        <v>#N/A</v>
      </c>
      <c r="N259" s="107" t="e">
        <f>VLOOKUP($A259,'S45'!$C:$BQ,22,0)</f>
        <v>#N/A</v>
      </c>
      <c r="O259" s="115" t="e">
        <f>VLOOKUP($A259,'S45'!$C:$BQ,29,0)</f>
        <v>#N/A</v>
      </c>
      <c r="P259" s="115" t="e">
        <f>VLOOKUP($A259,'S45'!$C:$BQ,30,0)</f>
        <v>#N/A</v>
      </c>
      <c r="Q259" s="115" t="e">
        <f>VLOOKUP($A259,'S45'!$C:$BQ,52,0)</f>
        <v>#N/A</v>
      </c>
      <c r="R259" s="115" t="e">
        <f>VLOOKUP($A259,'S45'!$C:$BQ,59,0)</f>
        <v>#N/A</v>
      </c>
      <c r="S259" s="115" t="e">
        <f>VLOOKUP($A259,'S45'!$C:$BQ,60,0)</f>
        <v>#N/A</v>
      </c>
      <c r="T259" s="107" t="e">
        <f>VLOOKUP($A259,'S46'!$C:$BQ,32,0)</f>
        <v>#N/A</v>
      </c>
      <c r="U259" s="107" t="e">
        <f>VLOOKUP($A259,'S46'!$C:$BQ,39,0)</f>
        <v>#N/A</v>
      </c>
      <c r="V259" s="107" t="e">
        <f>VLOOKUP($A259,'S46'!$C:$BQ,40,0)</f>
        <v>#N/A</v>
      </c>
      <c r="W259" s="107" t="e">
        <f>VLOOKUP($A259,'S46'!$C:$BQ,22,0)</f>
        <v>#N/A</v>
      </c>
      <c r="X259" s="115" t="e">
        <f>VLOOKUP($A259,'S46'!$C:$BQ,29,0)</f>
        <v>#N/A</v>
      </c>
      <c r="Y259" s="115" t="e">
        <f>VLOOKUP($A259,'S46'!$C:$BQ,30,0)</f>
        <v>#N/A</v>
      </c>
      <c r="Z259" s="115" t="e">
        <f>VLOOKUP($A259,'S46'!$C:$BQ,52,0)</f>
        <v>#N/A</v>
      </c>
      <c r="AA259" s="115" t="e">
        <f>VLOOKUP($A259,'S46'!$C:$BQ,59,0)</f>
        <v>#N/A</v>
      </c>
      <c r="AB259" s="115" t="e">
        <f>VLOOKUP($A259,'S46'!$C:$BQ,60,0)</f>
        <v>#N/A</v>
      </c>
      <c r="AC259" s="107" t="e">
        <f>VLOOKUP($A259,'S47'!$C:$BQ,32,0)</f>
        <v>#N/A</v>
      </c>
      <c r="AD259" s="107" t="e">
        <f>VLOOKUP($A259,'S47'!$C:$BQ,39,0)</f>
        <v>#N/A</v>
      </c>
      <c r="AE259" s="107" t="e">
        <f>VLOOKUP($A259,'S47'!$C:$BQ,40,0)</f>
        <v>#N/A</v>
      </c>
      <c r="AF259" s="107" t="e">
        <f>VLOOKUP($A259,'S47'!$C:$BQ,22,0)</f>
        <v>#N/A</v>
      </c>
      <c r="AG259" s="115" t="e">
        <f>VLOOKUP($A259,'S47'!$C:$BQ,29,0)</f>
        <v>#N/A</v>
      </c>
      <c r="AH259" s="115" t="e">
        <f>VLOOKUP($A259,'S47'!$C:$BQ,30,0)</f>
        <v>#N/A</v>
      </c>
      <c r="AI259" s="115" t="e">
        <f>VLOOKUP($A259,'S47'!$C:$BQ,52,0)</f>
        <v>#N/A</v>
      </c>
      <c r="AJ259" s="115" t="e">
        <f>VLOOKUP($A259,'S47'!$C:$BQ,59,0)</f>
        <v>#N/A</v>
      </c>
      <c r="AK259" s="115" t="e">
        <f>VLOOKUP($A259,'S47'!$C:$BQ,60,0)</f>
        <v>#N/A</v>
      </c>
      <c r="AL259" s="107" t="e">
        <f>VLOOKUP($A259,'S48'!$C:$BQ,32,0)</f>
        <v>#N/A</v>
      </c>
      <c r="AM259" s="107" t="e">
        <f>VLOOKUP($A259,'S48'!$C:$BQ,39,0)</f>
        <v>#N/A</v>
      </c>
      <c r="AN259" s="107" t="e">
        <f>VLOOKUP($A259,'S48'!$C:$BQ,40,0)</f>
        <v>#N/A</v>
      </c>
      <c r="AO259" s="107" t="e">
        <f>VLOOKUP($A259,'S48'!$C:$BQ,22,0)</f>
        <v>#N/A</v>
      </c>
      <c r="AP259" s="115" t="e">
        <f>VLOOKUP($A259,'S48'!$C:$BQ,29,0)</f>
        <v>#N/A</v>
      </c>
      <c r="AQ259" s="115" t="e">
        <f>VLOOKUP($A259,'S48'!$C:$BQ,30,0)</f>
        <v>#N/A</v>
      </c>
      <c r="AR259" s="115" t="e">
        <f>VLOOKUP($A259,'S48'!$C:$BQ,52,0)</f>
        <v>#N/A</v>
      </c>
      <c r="AS259" s="115" t="e">
        <f>VLOOKUP($A259,'S48'!$C:$BQ,59,0)</f>
        <v>#N/A</v>
      </c>
      <c r="AT259" s="115" t="e">
        <f>VLOOKUP($A259,'S48'!$C:$BQ,60,0)</f>
        <v>#N/A</v>
      </c>
      <c r="AU259" s="107" t="e">
        <f>VLOOKUP($A259,'S49'!$C:$BQ,32,0)</f>
        <v>#N/A</v>
      </c>
      <c r="AV259" s="107" t="e">
        <f>VLOOKUP($A259,'S49'!$C:$BQ,39,0)</f>
        <v>#N/A</v>
      </c>
      <c r="AW259" s="107" t="e">
        <f>VLOOKUP($A259,'S49'!$C:$BQ,40,0)</f>
        <v>#N/A</v>
      </c>
      <c r="AX259" s="107" t="e">
        <f>VLOOKUP($A259,'S49'!$C:$BQ,22,0)</f>
        <v>#N/A</v>
      </c>
      <c r="AY259" s="115" t="e">
        <f>VLOOKUP($A259,'S49'!$C:$BQ,29,0)</f>
        <v>#N/A</v>
      </c>
      <c r="AZ259" s="115" t="e">
        <f>VLOOKUP($A259,'S49'!$C:$BQ,30,0)</f>
        <v>#N/A</v>
      </c>
      <c r="BA259" s="115" t="e">
        <f>VLOOKUP($A259,'S49'!$C:$BQ,52,0)</f>
        <v>#N/A</v>
      </c>
      <c r="BB259" s="115" t="e">
        <f>VLOOKUP($A259,'S49'!$C:$BQ,59,0)</f>
        <v>#N/A</v>
      </c>
      <c r="BC259" s="115" t="e">
        <f>VLOOKUP($A259,'S49'!$C:$BQ,60,0)</f>
        <v>#N/A</v>
      </c>
      <c r="BD259" s="107" t="e">
        <f>VLOOKUP($A259,'S50'!$C:$BQ,32,0)</f>
        <v>#N/A</v>
      </c>
      <c r="BE259" s="107" t="e">
        <f>VLOOKUP($A259,'S50'!$C:$BQ,39,0)</f>
        <v>#N/A</v>
      </c>
      <c r="BF259" s="107" t="e">
        <f>VLOOKUP($A259,'S50'!$C:$BQ,40,0)</f>
        <v>#N/A</v>
      </c>
      <c r="BG259" s="107" t="e">
        <f>VLOOKUP($A259,'S50'!$C:$BQ,22,0)</f>
        <v>#N/A</v>
      </c>
      <c r="BH259" s="115" t="e">
        <f>VLOOKUP($A259,'S50'!$C:$BQ,29,0)</f>
        <v>#N/A</v>
      </c>
      <c r="BI259" s="115" t="e">
        <f>VLOOKUP($A259,'S50'!$C:$BQ,30,0)</f>
        <v>#N/A</v>
      </c>
      <c r="BJ259" s="115" t="e">
        <f>VLOOKUP($A259,'S50'!$C:$BQ,52,0)</f>
        <v>#N/A</v>
      </c>
      <c r="BK259" s="115" t="e">
        <f>VLOOKUP($A259,'S50'!$C:$BQ,59,0)</f>
        <v>#N/A</v>
      </c>
      <c r="BL259" s="115" t="e">
        <f>VLOOKUP($A259,'S50'!$C:$BQ,60,0)</f>
        <v>#N/A</v>
      </c>
    </row>
    <row r="260" spans="1:64" x14ac:dyDescent="0.2">
      <c r="A260" s="106" t="s">
        <v>333</v>
      </c>
      <c r="B260" s="107">
        <f>VLOOKUP($A260,'S0 remplacer avec S44'!$C:$BQ,32,0)</f>
        <v>112.95</v>
      </c>
      <c r="C260" s="107">
        <f>VLOOKUP($A260,'S0 remplacer avec S44'!$C:$BQ,39,0)</f>
        <v>48</v>
      </c>
      <c r="D260" s="107">
        <f>VLOOKUP($A260,'S0 remplacer avec S44'!$C:$BQ,40,0)</f>
        <v>80</v>
      </c>
      <c r="E260" s="107">
        <f>VLOOKUP($A260,'S0 remplacer avec S44'!$C:$BQ,22,0)</f>
        <v>1325.4702950000001</v>
      </c>
      <c r="F260" s="115">
        <f>VLOOKUP($A260,'S0 remplacer avec S44'!$C:$BQ,29,0)</f>
        <v>134</v>
      </c>
      <c r="G260" s="115">
        <f>VLOOKUP($A260,'S0 remplacer avec S44'!$C:$BQ,30,0)</f>
        <v>426</v>
      </c>
      <c r="H260" s="115">
        <f>VLOOKUP($A260,'S0 remplacer avec S44'!$C:$BQ,52,0)</f>
        <v>87.6</v>
      </c>
      <c r="I260" s="115">
        <f>VLOOKUP($A260,'S0 remplacer avec S44'!$C:$BQ,59,0)</f>
        <v>0</v>
      </c>
      <c r="J260" s="115">
        <f>VLOOKUP($A260,'S0 remplacer avec S44'!$C:$BQ,60,0)</f>
        <v>11</v>
      </c>
      <c r="K260" s="107" t="e">
        <f>VLOOKUP($A260,'S45'!$C:$BQ,32,0)</f>
        <v>#N/A</v>
      </c>
      <c r="L260" s="107" t="e">
        <f>VLOOKUP($A260,'S45'!$C:$BQ,39,0)</f>
        <v>#N/A</v>
      </c>
      <c r="M260" s="107" t="e">
        <f>VLOOKUP($A260,'S45'!$C:$BQ,40,0)</f>
        <v>#N/A</v>
      </c>
      <c r="N260" s="107" t="e">
        <f>VLOOKUP($A260,'S45'!$C:$BQ,22,0)</f>
        <v>#N/A</v>
      </c>
      <c r="O260" s="115" t="e">
        <f>VLOOKUP($A260,'S45'!$C:$BQ,29,0)</f>
        <v>#N/A</v>
      </c>
      <c r="P260" s="115" t="e">
        <f>VLOOKUP($A260,'S45'!$C:$BQ,30,0)</f>
        <v>#N/A</v>
      </c>
      <c r="Q260" s="115" t="e">
        <f>VLOOKUP($A260,'S45'!$C:$BQ,52,0)</f>
        <v>#N/A</v>
      </c>
      <c r="R260" s="115" t="e">
        <f>VLOOKUP($A260,'S45'!$C:$BQ,59,0)</f>
        <v>#N/A</v>
      </c>
      <c r="S260" s="115" t="e">
        <f>VLOOKUP($A260,'S45'!$C:$BQ,60,0)</f>
        <v>#N/A</v>
      </c>
      <c r="T260" s="107" t="e">
        <f>VLOOKUP($A260,'S46'!$C:$BQ,32,0)</f>
        <v>#N/A</v>
      </c>
      <c r="U260" s="107" t="e">
        <f>VLOOKUP($A260,'S46'!$C:$BQ,39,0)</f>
        <v>#N/A</v>
      </c>
      <c r="V260" s="107" t="e">
        <f>VLOOKUP($A260,'S46'!$C:$BQ,40,0)</f>
        <v>#N/A</v>
      </c>
      <c r="W260" s="107" t="e">
        <f>VLOOKUP($A260,'S46'!$C:$BQ,22,0)</f>
        <v>#N/A</v>
      </c>
      <c r="X260" s="115" t="e">
        <f>VLOOKUP($A260,'S46'!$C:$BQ,29,0)</f>
        <v>#N/A</v>
      </c>
      <c r="Y260" s="115" t="e">
        <f>VLOOKUP($A260,'S46'!$C:$BQ,30,0)</f>
        <v>#N/A</v>
      </c>
      <c r="Z260" s="115" t="e">
        <f>VLOOKUP($A260,'S46'!$C:$BQ,52,0)</f>
        <v>#N/A</v>
      </c>
      <c r="AA260" s="115" t="e">
        <f>VLOOKUP($A260,'S46'!$C:$BQ,59,0)</f>
        <v>#N/A</v>
      </c>
      <c r="AB260" s="115" t="e">
        <f>VLOOKUP($A260,'S46'!$C:$BQ,60,0)</f>
        <v>#N/A</v>
      </c>
      <c r="AC260" s="107" t="e">
        <f>VLOOKUP($A260,'S47'!$C:$BQ,32,0)</f>
        <v>#N/A</v>
      </c>
      <c r="AD260" s="107" t="e">
        <f>VLOOKUP($A260,'S47'!$C:$BQ,39,0)</f>
        <v>#N/A</v>
      </c>
      <c r="AE260" s="107" t="e">
        <f>VLOOKUP($A260,'S47'!$C:$BQ,40,0)</f>
        <v>#N/A</v>
      </c>
      <c r="AF260" s="107" t="e">
        <f>VLOOKUP($A260,'S47'!$C:$BQ,22,0)</f>
        <v>#N/A</v>
      </c>
      <c r="AG260" s="115" t="e">
        <f>VLOOKUP($A260,'S47'!$C:$BQ,29,0)</f>
        <v>#N/A</v>
      </c>
      <c r="AH260" s="115" t="e">
        <f>VLOOKUP($A260,'S47'!$C:$BQ,30,0)</f>
        <v>#N/A</v>
      </c>
      <c r="AI260" s="115" t="e">
        <f>VLOOKUP($A260,'S47'!$C:$BQ,52,0)</f>
        <v>#N/A</v>
      </c>
      <c r="AJ260" s="115" t="e">
        <f>VLOOKUP($A260,'S47'!$C:$BQ,59,0)</f>
        <v>#N/A</v>
      </c>
      <c r="AK260" s="115" t="e">
        <f>VLOOKUP($A260,'S47'!$C:$BQ,60,0)</f>
        <v>#N/A</v>
      </c>
      <c r="AL260" s="107" t="e">
        <f>VLOOKUP($A260,'S48'!$C:$BQ,32,0)</f>
        <v>#N/A</v>
      </c>
      <c r="AM260" s="107" t="e">
        <f>VLOOKUP($A260,'S48'!$C:$BQ,39,0)</f>
        <v>#N/A</v>
      </c>
      <c r="AN260" s="107" t="e">
        <f>VLOOKUP($A260,'S48'!$C:$BQ,40,0)</f>
        <v>#N/A</v>
      </c>
      <c r="AO260" s="107" t="e">
        <f>VLOOKUP($A260,'S48'!$C:$BQ,22,0)</f>
        <v>#N/A</v>
      </c>
      <c r="AP260" s="115" t="e">
        <f>VLOOKUP($A260,'S48'!$C:$BQ,29,0)</f>
        <v>#N/A</v>
      </c>
      <c r="AQ260" s="115" t="e">
        <f>VLOOKUP($A260,'S48'!$C:$BQ,30,0)</f>
        <v>#N/A</v>
      </c>
      <c r="AR260" s="115" t="e">
        <f>VLOOKUP($A260,'S48'!$C:$BQ,52,0)</f>
        <v>#N/A</v>
      </c>
      <c r="AS260" s="115" t="e">
        <f>VLOOKUP($A260,'S48'!$C:$BQ,59,0)</f>
        <v>#N/A</v>
      </c>
      <c r="AT260" s="115" t="e">
        <f>VLOOKUP($A260,'S48'!$C:$BQ,60,0)</f>
        <v>#N/A</v>
      </c>
      <c r="AU260" s="107" t="e">
        <f>VLOOKUP($A260,'S49'!$C:$BQ,32,0)</f>
        <v>#N/A</v>
      </c>
      <c r="AV260" s="107" t="e">
        <f>VLOOKUP($A260,'S49'!$C:$BQ,39,0)</f>
        <v>#N/A</v>
      </c>
      <c r="AW260" s="107" t="e">
        <f>VLOOKUP($A260,'S49'!$C:$BQ,40,0)</f>
        <v>#N/A</v>
      </c>
      <c r="AX260" s="107" t="e">
        <f>VLOOKUP($A260,'S49'!$C:$BQ,22,0)</f>
        <v>#N/A</v>
      </c>
      <c r="AY260" s="115" t="e">
        <f>VLOOKUP($A260,'S49'!$C:$BQ,29,0)</f>
        <v>#N/A</v>
      </c>
      <c r="AZ260" s="115" t="e">
        <f>VLOOKUP($A260,'S49'!$C:$BQ,30,0)</f>
        <v>#N/A</v>
      </c>
      <c r="BA260" s="115" t="e">
        <f>VLOOKUP($A260,'S49'!$C:$BQ,52,0)</f>
        <v>#N/A</v>
      </c>
      <c r="BB260" s="115" t="e">
        <f>VLOOKUP($A260,'S49'!$C:$BQ,59,0)</f>
        <v>#N/A</v>
      </c>
      <c r="BC260" s="115" t="e">
        <f>VLOOKUP($A260,'S49'!$C:$BQ,60,0)</f>
        <v>#N/A</v>
      </c>
      <c r="BD260" s="107" t="e">
        <f>VLOOKUP($A260,'S50'!$C:$BQ,32,0)</f>
        <v>#N/A</v>
      </c>
      <c r="BE260" s="107" t="e">
        <f>VLOOKUP($A260,'S50'!$C:$BQ,39,0)</f>
        <v>#N/A</v>
      </c>
      <c r="BF260" s="107" t="e">
        <f>VLOOKUP($A260,'S50'!$C:$BQ,40,0)</f>
        <v>#N/A</v>
      </c>
      <c r="BG260" s="107" t="e">
        <f>VLOOKUP($A260,'S50'!$C:$BQ,22,0)</f>
        <v>#N/A</v>
      </c>
      <c r="BH260" s="115" t="e">
        <f>VLOOKUP($A260,'S50'!$C:$BQ,29,0)</f>
        <v>#N/A</v>
      </c>
      <c r="BI260" s="115" t="e">
        <f>VLOOKUP($A260,'S50'!$C:$BQ,30,0)</f>
        <v>#N/A</v>
      </c>
      <c r="BJ260" s="115" t="e">
        <f>VLOOKUP($A260,'S50'!$C:$BQ,52,0)</f>
        <v>#N/A</v>
      </c>
      <c r="BK260" s="115" t="e">
        <f>VLOOKUP($A260,'S50'!$C:$BQ,59,0)</f>
        <v>#N/A</v>
      </c>
      <c r="BL260" s="115" t="e">
        <f>VLOOKUP($A260,'S50'!$C:$BQ,60,0)</f>
        <v>#N/A</v>
      </c>
    </row>
    <row r="261" spans="1:64" x14ac:dyDescent="0.2">
      <c r="A261" s="106" t="s">
        <v>334</v>
      </c>
      <c r="B261" s="107">
        <f>VLOOKUP($A261,'S0 remplacer avec S44'!$C:$BQ,32,0)</f>
        <v>66.349999999999994</v>
      </c>
      <c r="C261" s="107">
        <f>VLOOKUP($A261,'S0 remplacer avec S44'!$C:$BQ,39,0)</f>
        <v>80</v>
      </c>
      <c r="D261" s="107">
        <f>VLOOKUP($A261,'S0 remplacer avec S44'!$C:$BQ,40,0)</f>
        <v>109</v>
      </c>
      <c r="E261" s="107">
        <f>VLOOKUP($A261,'S0 remplacer avec S44'!$C:$BQ,22,0)</f>
        <v>1419.4167749999999</v>
      </c>
      <c r="F261" s="115">
        <f>VLOOKUP($A261,'S0 remplacer avec S44'!$C:$BQ,29,0)</f>
        <v>0</v>
      </c>
      <c r="G261" s="115">
        <f>VLOOKUP($A261,'S0 remplacer avec S44'!$C:$BQ,30,0)</f>
        <v>173</v>
      </c>
      <c r="H261" s="115">
        <f>VLOOKUP($A261,'S0 remplacer avec S44'!$C:$BQ,52,0)</f>
        <v>60</v>
      </c>
      <c r="I261" s="115">
        <f>VLOOKUP($A261,'S0 remplacer avec S44'!$C:$BQ,59,0)</f>
        <v>15</v>
      </c>
      <c r="J261" s="115">
        <f>VLOOKUP($A261,'S0 remplacer avec S44'!$C:$BQ,60,0)</f>
        <v>29</v>
      </c>
      <c r="K261" s="107" t="e">
        <f>VLOOKUP($A261,'S45'!$C:$BQ,32,0)</f>
        <v>#N/A</v>
      </c>
      <c r="L261" s="107" t="e">
        <f>VLOOKUP($A261,'S45'!$C:$BQ,39,0)</f>
        <v>#N/A</v>
      </c>
      <c r="M261" s="107" t="e">
        <f>VLOOKUP($A261,'S45'!$C:$BQ,40,0)</f>
        <v>#N/A</v>
      </c>
      <c r="N261" s="107" t="e">
        <f>VLOOKUP($A261,'S45'!$C:$BQ,22,0)</f>
        <v>#N/A</v>
      </c>
      <c r="O261" s="115" t="e">
        <f>VLOOKUP($A261,'S45'!$C:$BQ,29,0)</f>
        <v>#N/A</v>
      </c>
      <c r="P261" s="115" t="e">
        <f>VLOOKUP($A261,'S45'!$C:$BQ,30,0)</f>
        <v>#N/A</v>
      </c>
      <c r="Q261" s="115" t="e">
        <f>VLOOKUP($A261,'S45'!$C:$BQ,52,0)</f>
        <v>#N/A</v>
      </c>
      <c r="R261" s="115" t="e">
        <f>VLOOKUP($A261,'S45'!$C:$BQ,59,0)</f>
        <v>#N/A</v>
      </c>
      <c r="S261" s="115" t="e">
        <f>VLOOKUP($A261,'S45'!$C:$BQ,60,0)</f>
        <v>#N/A</v>
      </c>
      <c r="T261" s="107" t="e">
        <f>VLOOKUP($A261,'S46'!$C:$BQ,32,0)</f>
        <v>#N/A</v>
      </c>
      <c r="U261" s="107" t="e">
        <f>VLOOKUP($A261,'S46'!$C:$BQ,39,0)</f>
        <v>#N/A</v>
      </c>
      <c r="V261" s="107" t="e">
        <f>VLOOKUP($A261,'S46'!$C:$BQ,40,0)</f>
        <v>#N/A</v>
      </c>
      <c r="W261" s="107" t="e">
        <f>VLOOKUP($A261,'S46'!$C:$BQ,22,0)</f>
        <v>#N/A</v>
      </c>
      <c r="X261" s="115" t="e">
        <f>VLOOKUP($A261,'S46'!$C:$BQ,29,0)</f>
        <v>#N/A</v>
      </c>
      <c r="Y261" s="115" t="e">
        <f>VLOOKUP($A261,'S46'!$C:$BQ,30,0)</f>
        <v>#N/A</v>
      </c>
      <c r="Z261" s="115" t="e">
        <f>VLOOKUP($A261,'S46'!$C:$BQ,52,0)</f>
        <v>#N/A</v>
      </c>
      <c r="AA261" s="115" t="e">
        <f>VLOOKUP($A261,'S46'!$C:$BQ,59,0)</f>
        <v>#N/A</v>
      </c>
      <c r="AB261" s="115" t="e">
        <f>VLOOKUP($A261,'S46'!$C:$BQ,60,0)</f>
        <v>#N/A</v>
      </c>
      <c r="AC261" s="107" t="e">
        <f>VLOOKUP($A261,'S47'!$C:$BQ,32,0)</f>
        <v>#N/A</v>
      </c>
      <c r="AD261" s="107" t="e">
        <f>VLOOKUP($A261,'S47'!$C:$BQ,39,0)</f>
        <v>#N/A</v>
      </c>
      <c r="AE261" s="107" t="e">
        <f>VLOOKUP($A261,'S47'!$C:$BQ,40,0)</f>
        <v>#N/A</v>
      </c>
      <c r="AF261" s="107" t="e">
        <f>VLOOKUP($A261,'S47'!$C:$BQ,22,0)</f>
        <v>#N/A</v>
      </c>
      <c r="AG261" s="115" t="e">
        <f>VLOOKUP($A261,'S47'!$C:$BQ,29,0)</f>
        <v>#N/A</v>
      </c>
      <c r="AH261" s="115" t="e">
        <f>VLOOKUP($A261,'S47'!$C:$BQ,30,0)</f>
        <v>#N/A</v>
      </c>
      <c r="AI261" s="115" t="e">
        <f>VLOOKUP($A261,'S47'!$C:$BQ,52,0)</f>
        <v>#N/A</v>
      </c>
      <c r="AJ261" s="115" t="e">
        <f>VLOOKUP($A261,'S47'!$C:$BQ,59,0)</f>
        <v>#N/A</v>
      </c>
      <c r="AK261" s="115" t="e">
        <f>VLOOKUP($A261,'S47'!$C:$BQ,60,0)</f>
        <v>#N/A</v>
      </c>
      <c r="AL261" s="107" t="e">
        <f>VLOOKUP($A261,'S48'!$C:$BQ,32,0)</f>
        <v>#N/A</v>
      </c>
      <c r="AM261" s="107" t="e">
        <f>VLOOKUP($A261,'S48'!$C:$BQ,39,0)</f>
        <v>#N/A</v>
      </c>
      <c r="AN261" s="107" t="e">
        <f>VLOOKUP($A261,'S48'!$C:$BQ,40,0)</f>
        <v>#N/A</v>
      </c>
      <c r="AO261" s="107" t="e">
        <f>VLOOKUP($A261,'S48'!$C:$BQ,22,0)</f>
        <v>#N/A</v>
      </c>
      <c r="AP261" s="115" t="e">
        <f>VLOOKUP($A261,'S48'!$C:$BQ,29,0)</f>
        <v>#N/A</v>
      </c>
      <c r="AQ261" s="115" t="e">
        <f>VLOOKUP($A261,'S48'!$C:$BQ,30,0)</f>
        <v>#N/A</v>
      </c>
      <c r="AR261" s="115" t="e">
        <f>VLOOKUP($A261,'S48'!$C:$BQ,52,0)</f>
        <v>#N/A</v>
      </c>
      <c r="AS261" s="115" t="e">
        <f>VLOOKUP($A261,'S48'!$C:$BQ,59,0)</f>
        <v>#N/A</v>
      </c>
      <c r="AT261" s="115" t="e">
        <f>VLOOKUP($A261,'S48'!$C:$BQ,60,0)</f>
        <v>#N/A</v>
      </c>
      <c r="AU261" s="107" t="e">
        <f>VLOOKUP($A261,'S49'!$C:$BQ,32,0)</f>
        <v>#N/A</v>
      </c>
      <c r="AV261" s="107" t="e">
        <f>VLOOKUP($A261,'S49'!$C:$BQ,39,0)</f>
        <v>#N/A</v>
      </c>
      <c r="AW261" s="107" t="e">
        <f>VLOOKUP($A261,'S49'!$C:$BQ,40,0)</f>
        <v>#N/A</v>
      </c>
      <c r="AX261" s="107" t="e">
        <f>VLOOKUP($A261,'S49'!$C:$BQ,22,0)</f>
        <v>#N/A</v>
      </c>
      <c r="AY261" s="115" t="e">
        <f>VLOOKUP($A261,'S49'!$C:$BQ,29,0)</f>
        <v>#N/A</v>
      </c>
      <c r="AZ261" s="115" t="e">
        <f>VLOOKUP($A261,'S49'!$C:$BQ,30,0)</f>
        <v>#N/A</v>
      </c>
      <c r="BA261" s="115" t="e">
        <f>VLOOKUP($A261,'S49'!$C:$BQ,52,0)</f>
        <v>#N/A</v>
      </c>
      <c r="BB261" s="115" t="e">
        <f>VLOOKUP($A261,'S49'!$C:$BQ,59,0)</f>
        <v>#N/A</v>
      </c>
      <c r="BC261" s="115" t="e">
        <f>VLOOKUP($A261,'S49'!$C:$BQ,60,0)</f>
        <v>#N/A</v>
      </c>
      <c r="BD261" s="107" t="e">
        <f>VLOOKUP($A261,'S50'!$C:$BQ,32,0)</f>
        <v>#N/A</v>
      </c>
      <c r="BE261" s="107" t="e">
        <f>VLOOKUP($A261,'S50'!$C:$BQ,39,0)</f>
        <v>#N/A</v>
      </c>
      <c r="BF261" s="107" t="e">
        <f>VLOOKUP($A261,'S50'!$C:$BQ,40,0)</f>
        <v>#N/A</v>
      </c>
      <c r="BG261" s="107" t="e">
        <f>VLOOKUP($A261,'S50'!$C:$BQ,22,0)</f>
        <v>#N/A</v>
      </c>
      <c r="BH261" s="115" t="e">
        <f>VLOOKUP($A261,'S50'!$C:$BQ,29,0)</f>
        <v>#N/A</v>
      </c>
      <c r="BI261" s="115" t="e">
        <f>VLOOKUP($A261,'S50'!$C:$BQ,30,0)</f>
        <v>#N/A</v>
      </c>
      <c r="BJ261" s="115" t="e">
        <f>VLOOKUP($A261,'S50'!$C:$BQ,52,0)</f>
        <v>#N/A</v>
      </c>
      <c r="BK261" s="115" t="e">
        <f>VLOOKUP($A261,'S50'!$C:$BQ,59,0)</f>
        <v>#N/A</v>
      </c>
      <c r="BL261" s="115" t="e">
        <f>VLOOKUP($A261,'S50'!$C:$BQ,60,0)</f>
        <v>#N/A</v>
      </c>
    </row>
    <row r="262" spans="1:64" x14ac:dyDescent="0.2">
      <c r="A262" s="106" t="s">
        <v>335</v>
      </c>
      <c r="B262" s="107">
        <f>VLOOKUP($A262,'S0 remplacer avec S44'!$C:$BQ,32,0)</f>
        <v>482.25</v>
      </c>
      <c r="C262" s="107">
        <f>VLOOKUP($A262,'S0 remplacer avec S44'!$C:$BQ,39,0)</f>
        <v>68</v>
      </c>
      <c r="D262" s="107">
        <f>VLOOKUP($A262,'S0 remplacer avec S44'!$C:$BQ,40,0)</f>
        <v>178</v>
      </c>
      <c r="E262" s="107">
        <f>VLOOKUP($A262,'S0 remplacer avec S44'!$C:$BQ,22,0)</f>
        <v>3409.4402100000002</v>
      </c>
      <c r="F262" s="115">
        <f>VLOOKUP($A262,'S0 remplacer avec S44'!$C:$BQ,29,0)</f>
        <v>1590</v>
      </c>
      <c r="G262" s="115">
        <f>VLOOKUP($A262,'S0 remplacer avec S44'!$C:$BQ,30,0)</f>
        <v>2590</v>
      </c>
      <c r="H262" s="115">
        <f>VLOOKUP($A262,'S0 remplacer avec S44'!$C:$BQ,52,0)</f>
        <v>266</v>
      </c>
      <c r="I262" s="115">
        <f>VLOOKUP($A262,'S0 remplacer avec S44'!$C:$BQ,59,0)</f>
        <v>14</v>
      </c>
      <c r="J262" s="115">
        <f>VLOOKUP($A262,'S0 remplacer avec S44'!$C:$BQ,60,0)</f>
        <v>70</v>
      </c>
      <c r="K262" s="107" t="e">
        <f>VLOOKUP($A262,'S45'!$C:$BQ,32,0)</f>
        <v>#N/A</v>
      </c>
      <c r="L262" s="107" t="e">
        <f>VLOOKUP($A262,'S45'!$C:$BQ,39,0)</f>
        <v>#N/A</v>
      </c>
      <c r="M262" s="107" t="e">
        <f>VLOOKUP($A262,'S45'!$C:$BQ,40,0)</f>
        <v>#N/A</v>
      </c>
      <c r="N262" s="107" t="e">
        <f>VLOOKUP($A262,'S45'!$C:$BQ,22,0)</f>
        <v>#N/A</v>
      </c>
      <c r="O262" s="115" t="e">
        <f>VLOOKUP($A262,'S45'!$C:$BQ,29,0)</f>
        <v>#N/A</v>
      </c>
      <c r="P262" s="115" t="e">
        <f>VLOOKUP($A262,'S45'!$C:$BQ,30,0)</f>
        <v>#N/A</v>
      </c>
      <c r="Q262" s="115" t="e">
        <f>VLOOKUP($A262,'S45'!$C:$BQ,52,0)</f>
        <v>#N/A</v>
      </c>
      <c r="R262" s="115" t="e">
        <f>VLOOKUP($A262,'S45'!$C:$BQ,59,0)</f>
        <v>#N/A</v>
      </c>
      <c r="S262" s="115" t="e">
        <f>VLOOKUP($A262,'S45'!$C:$BQ,60,0)</f>
        <v>#N/A</v>
      </c>
      <c r="T262" s="107" t="e">
        <f>VLOOKUP($A262,'S46'!$C:$BQ,32,0)</f>
        <v>#N/A</v>
      </c>
      <c r="U262" s="107" t="e">
        <f>VLOOKUP($A262,'S46'!$C:$BQ,39,0)</f>
        <v>#N/A</v>
      </c>
      <c r="V262" s="107" t="e">
        <f>VLOOKUP($A262,'S46'!$C:$BQ,40,0)</f>
        <v>#N/A</v>
      </c>
      <c r="W262" s="107" t="e">
        <f>VLOOKUP($A262,'S46'!$C:$BQ,22,0)</f>
        <v>#N/A</v>
      </c>
      <c r="X262" s="115" t="e">
        <f>VLOOKUP($A262,'S46'!$C:$BQ,29,0)</f>
        <v>#N/A</v>
      </c>
      <c r="Y262" s="115" t="e">
        <f>VLOOKUP($A262,'S46'!$C:$BQ,30,0)</f>
        <v>#N/A</v>
      </c>
      <c r="Z262" s="115" t="e">
        <f>VLOOKUP($A262,'S46'!$C:$BQ,52,0)</f>
        <v>#N/A</v>
      </c>
      <c r="AA262" s="115" t="e">
        <f>VLOOKUP($A262,'S46'!$C:$BQ,59,0)</f>
        <v>#N/A</v>
      </c>
      <c r="AB262" s="115" t="e">
        <f>VLOOKUP($A262,'S46'!$C:$BQ,60,0)</f>
        <v>#N/A</v>
      </c>
      <c r="AC262" s="107" t="e">
        <f>VLOOKUP($A262,'S47'!$C:$BQ,32,0)</f>
        <v>#N/A</v>
      </c>
      <c r="AD262" s="107" t="e">
        <f>VLOOKUP($A262,'S47'!$C:$BQ,39,0)</f>
        <v>#N/A</v>
      </c>
      <c r="AE262" s="107" t="e">
        <f>VLOOKUP($A262,'S47'!$C:$BQ,40,0)</f>
        <v>#N/A</v>
      </c>
      <c r="AF262" s="107" t="e">
        <f>VLOOKUP($A262,'S47'!$C:$BQ,22,0)</f>
        <v>#N/A</v>
      </c>
      <c r="AG262" s="115" t="e">
        <f>VLOOKUP($A262,'S47'!$C:$BQ,29,0)</f>
        <v>#N/A</v>
      </c>
      <c r="AH262" s="115" t="e">
        <f>VLOOKUP($A262,'S47'!$C:$BQ,30,0)</f>
        <v>#N/A</v>
      </c>
      <c r="AI262" s="115" t="e">
        <f>VLOOKUP($A262,'S47'!$C:$BQ,52,0)</f>
        <v>#N/A</v>
      </c>
      <c r="AJ262" s="115" t="e">
        <f>VLOOKUP($A262,'S47'!$C:$BQ,59,0)</f>
        <v>#N/A</v>
      </c>
      <c r="AK262" s="115" t="e">
        <f>VLOOKUP($A262,'S47'!$C:$BQ,60,0)</f>
        <v>#N/A</v>
      </c>
      <c r="AL262" s="107" t="e">
        <f>VLOOKUP($A262,'S48'!$C:$BQ,32,0)</f>
        <v>#N/A</v>
      </c>
      <c r="AM262" s="107" t="e">
        <f>VLOOKUP($A262,'S48'!$C:$BQ,39,0)</f>
        <v>#N/A</v>
      </c>
      <c r="AN262" s="107" t="e">
        <f>VLOOKUP($A262,'S48'!$C:$BQ,40,0)</f>
        <v>#N/A</v>
      </c>
      <c r="AO262" s="107" t="e">
        <f>VLOOKUP($A262,'S48'!$C:$BQ,22,0)</f>
        <v>#N/A</v>
      </c>
      <c r="AP262" s="115" t="e">
        <f>VLOOKUP($A262,'S48'!$C:$BQ,29,0)</f>
        <v>#N/A</v>
      </c>
      <c r="AQ262" s="115" t="e">
        <f>VLOOKUP($A262,'S48'!$C:$BQ,30,0)</f>
        <v>#N/A</v>
      </c>
      <c r="AR262" s="115" t="e">
        <f>VLOOKUP($A262,'S48'!$C:$BQ,52,0)</f>
        <v>#N/A</v>
      </c>
      <c r="AS262" s="115" t="e">
        <f>VLOOKUP($A262,'S48'!$C:$BQ,59,0)</f>
        <v>#N/A</v>
      </c>
      <c r="AT262" s="115" t="e">
        <f>VLOOKUP($A262,'S48'!$C:$BQ,60,0)</f>
        <v>#N/A</v>
      </c>
      <c r="AU262" s="107" t="e">
        <f>VLOOKUP($A262,'S49'!$C:$BQ,32,0)</f>
        <v>#N/A</v>
      </c>
      <c r="AV262" s="107" t="e">
        <f>VLOOKUP($A262,'S49'!$C:$BQ,39,0)</f>
        <v>#N/A</v>
      </c>
      <c r="AW262" s="107" t="e">
        <f>VLOOKUP($A262,'S49'!$C:$BQ,40,0)</f>
        <v>#N/A</v>
      </c>
      <c r="AX262" s="107" t="e">
        <f>VLOOKUP($A262,'S49'!$C:$BQ,22,0)</f>
        <v>#N/A</v>
      </c>
      <c r="AY262" s="115" t="e">
        <f>VLOOKUP($A262,'S49'!$C:$BQ,29,0)</f>
        <v>#N/A</v>
      </c>
      <c r="AZ262" s="115" t="e">
        <f>VLOOKUP($A262,'S49'!$C:$BQ,30,0)</f>
        <v>#N/A</v>
      </c>
      <c r="BA262" s="115" t="e">
        <f>VLOOKUP($A262,'S49'!$C:$BQ,52,0)</f>
        <v>#N/A</v>
      </c>
      <c r="BB262" s="115" t="e">
        <f>VLOOKUP($A262,'S49'!$C:$BQ,59,0)</f>
        <v>#N/A</v>
      </c>
      <c r="BC262" s="115" t="e">
        <f>VLOOKUP($A262,'S49'!$C:$BQ,60,0)</f>
        <v>#N/A</v>
      </c>
      <c r="BD262" s="107" t="e">
        <f>VLOOKUP($A262,'S50'!$C:$BQ,32,0)</f>
        <v>#N/A</v>
      </c>
      <c r="BE262" s="107" t="e">
        <f>VLOOKUP($A262,'S50'!$C:$BQ,39,0)</f>
        <v>#N/A</v>
      </c>
      <c r="BF262" s="107" t="e">
        <f>VLOOKUP($A262,'S50'!$C:$BQ,40,0)</f>
        <v>#N/A</v>
      </c>
      <c r="BG262" s="107" t="e">
        <f>VLOOKUP($A262,'S50'!$C:$BQ,22,0)</f>
        <v>#N/A</v>
      </c>
      <c r="BH262" s="115" t="e">
        <f>VLOOKUP($A262,'S50'!$C:$BQ,29,0)</f>
        <v>#N/A</v>
      </c>
      <c r="BI262" s="115" t="e">
        <f>VLOOKUP($A262,'S50'!$C:$BQ,30,0)</f>
        <v>#N/A</v>
      </c>
      <c r="BJ262" s="115" t="e">
        <f>VLOOKUP($A262,'S50'!$C:$BQ,52,0)</f>
        <v>#N/A</v>
      </c>
      <c r="BK262" s="115" t="e">
        <f>VLOOKUP($A262,'S50'!$C:$BQ,59,0)</f>
        <v>#N/A</v>
      </c>
      <c r="BL262" s="115" t="e">
        <f>VLOOKUP($A262,'S50'!$C:$BQ,60,0)</f>
        <v>#N/A</v>
      </c>
    </row>
    <row r="263" spans="1:64" x14ac:dyDescent="0.2">
      <c r="A263" s="106" t="s">
        <v>336</v>
      </c>
      <c r="B263" s="107">
        <f>VLOOKUP($A263,'S0 remplacer avec S44'!$C:$BQ,32,0)</f>
        <v>158.5</v>
      </c>
      <c r="C263" s="107">
        <f>VLOOKUP($A263,'S0 remplacer avec S44'!$C:$BQ,39,0)</f>
        <v>0</v>
      </c>
      <c r="D263" s="107">
        <f>VLOOKUP($A263,'S0 remplacer avec S44'!$C:$BQ,40,0)</f>
        <v>0</v>
      </c>
      <c r="E263" s="107">
        <f>VLOOKUP($A263,'S0 remplacer avec S44'!$C:$BQ,22,0)</f>
        <v>1772.9150950000001</v>
      </c>
      <c r="F263" s="115">
        <f>VLOOKUP($A263,'S0 remplacer avec S44'!$C:$BQ,29,0)</f>
        <v>0</v>
      </c>
      <c r="G263" s="115">
        <f>VLOOKUP($A263,'S0 remplacer avec S44'!$C:$BQ,30,0)</f>
        <v>0</v>
      </c>
      <c r="H263" s="115">
        <f>VLOOKUP($A263,'S0 remplacer avec S44'!$C:$BQ,52,0)</f>
        <v>99.8</v>
      </c>
      <c r="I263" s="115">
        <f>VLOOKUP($A263,'S0 remplacer avec S44'!$C:$BQ,59,0)</f>
        <v>0</v>
      </c>
      <c r="J263" s="115">
        <f>VLOOKUP($A263,'S0 remplacer avec S44'!$C:$BQ,60,0)</f>
        <v>0</v>
      </c>
      <c r="K263" s="107" t="e">
        <f>VLOOKUP($A263,'S45'!$C:$BQ,32,0)</f>
        <v>#N/A</v>
      </c>
      <c r="L263" s="107" t="e">
        <f>VLOOKUP($A263,'S45'!$C:$BQ,39,0)</f>
        <v>#N/A</v>
      </c>
      <c r="M263" s="107" t="e">
        <f>VLOOKUP($A263,'S45'!$C:$BQ,40,0)</f>
        <v>#N/A</v>
      </c>
      <c r="N263" s="107" t="e">
        <f>VLOOKUP($A263,'S45'!$C:$BQ,22,0)</f>
        <v>#N/A</v>
      </c>
      <c r="O263" s="115" t="e">
        <f>VLOOKUP($A263,'S45'!$C:$BQ,29,0)</f>
        <v>#N/A</v>
      </c>
      <c r="P263" s="115" t="e">
        <f>VLOOKUP($A263,'S45'!$C:$BQ,30,0)</f>
        <v>#N/A</v>
      </c>
      <c r="Q263" s="115" t="e">
        <f>VLOOKUP($A263,'S45'!$C:$BQ,52,0)</f>
        <v>#N/A</v>
      </c>
      <c r="R263" s="115" t="e">
        <f>VLOOKUP($A263,'S45'!$C:$BQ,59,0)</f>
        <v>#N/A</v>
      </c>
      <c r="S263" s="115" t="e">
        <f>VLOOKUP($A263,'S45'!$C:$BQ,60,0)</f>
        <v>#N/A</v>
      </c>
      <c r="T263" s="107" t="e">
        <f>VLOOKUP($A263,'S46'!$C:$BQ,32,0)</f>
        <v>#N/A</v>
      </c>
      <c r="U263" s="107" t="e">
        <f>VLOOKUP($A263,'S46'!$C:$BQ,39,0)</f>
        <v>#N/A</v>
      </c>
      <c r="V263" s="107" t="e">
        <f>VLOOKUP($A263,'S46'!$C:$BQ,40,0)</f>
        <v>#N/A</v>
      </c>
      <c r="W263" s="107" t="e">
        <f>VLOOKUP($A263,'S46'!$C:$BQ,22,0)</f>
        <v>#N/A</v>
      </c>
      <c r="X263" s="115" t="e">
        <f>VLOOKUP($A263,'S46'!$C:$BQ,29,0)</f>
        <v>#N/A</v>
      </c>
      <c r="Y263" s="115" t="e">
        <f>VLOOKUP($A263,'S46'!$C:$BQ,30,0)</f>
        <v>#N/A</v>
      </c>
      <c r="Z263" s="115" t="e">
        <f>VLOOKUP($A263,'S46'!$C:$BQ,52,0)</f>
        <v>#N/A</v>
      </c>
      <c r="AA263" s="115" t="e">
        <f>VLOOKUP($A263,'S46'!$C:$BQ,59,0)</f>
        <v>#N/A</v>
      </c>
      <c r="AB263" s="115" t="e">
        <f>VLOOKUP($A263,'S46'!$C:$BQ,60,0)</f>
        <v>#N/A</v>
      </c>
      <c r="AC263" s="107" t="e">
        <f>VLOOKUP($A263,'S47'!$C:$BQ,32,0)</f>
        <v>#N/A</v>
      </c>
      <c r="AD263" s="107" t="e">
        <f>VLOOKUP($A263,'S47'!$C:$BQ,39,0)</f>
        <v>#N/A</v>
      </c>
      <c r="AE263" s="107" t="e">
        <f>VLOOKUP($A263,'S47'!$C:$BQ,40,0)</f>
        <v>#N/A</v>
      </c>
      <c r="AF263" s="107" t="e">
        <f>VLOOKUP($A263,'S47'!$C:$BQ,22,0)</f>
        <v>#N/A</v>
      </c>
      <c r="AG263" s="115" t="e">
        <f>VLOOKUP($A263,'S47'!$C:$BQ,29,0)</f>
        <v>#N/A</v>
      </c>
      <c r="AH263" s="115" t="e">
        <f>VLOOKUP($A263,'S47'!$C:$BQ,30,0)</f>
        <v>#N/A</v>
      </c>
      <c r="AI263" s="115" t="e">
        <f>VLOOKUP($A263,'S47'!$C:$BQ,52,0)</f>
        <v>#N/A</v>
      </c>
      <c r="AJ263" s="115" t="e">
        <f>VLOOKUP($A263,'S47'!$C:$BQ,59,0)</f>
        <v>#N/A</v>
      </c>
      <c r="AK263" s="115" t="e">
        <f>VLOOKUP($A263,'S47'!$C:$BQ,60,0)</f>
        <v>#N/A</v>
      </c>
      <c r="AL263" s="107" t="e">
        <f>VLOOKUP($A263,'S48'!$C:$BQ,32,0)</f>
        <v>#N/A</v>
      </c>
      <c r="AM263" s="107" t="e">
        <f>VLOOKUP($A263,'S48'!$C:$BQ,39,0)</f>
        <v>#N/A</v>
      </c>
      <c r="AN263" s="107" t="e">
        <f>VLOOKUP($A263,'S48'!$C:$BQ,40,0)</f>
        <v>#N/A</v>
      </c>
      <c r="AO263" s="107" t="e">
        <f>VLOOKUP($A263,'S48'!$C:$BQ,22,0)</f>
        <v>#N/A</v>
      </c>
      <c r="AP263" s="115" t="e">
        <f>VLOOKUP($A263,'S48'!$C:$BQ,29,0)</f>
        <v>#N/A</v>
      </c>
      <c r="AQ263" s="115" t="e">
        <f>VLOOKUP($A263,'S48'!$C:$BQ,30,0)</f>
        <v>#N/A</v>
      </c>
      <c r="AR263" s="115" t="e">
        <f>VLOOKUP($A263,'S48'!$C:$BQ,52,0)</f>
        <v>#N/A</v>
      </c>
      <c r="AS263" s="115" t="e">
        <f>VLOOKUP($A263,'S48'!$C:$BQ,59,0)</f>
        <v>#N/A</v>
      </c>
      <c r="AT263" s="115" t="e">
        <f>VLOOKUP($A263,'S48'!$C:$BQ,60,0)</f>
        <v>#N/A</v>
      </c>
      <c r="AU263" s="107" t="e">
        <f>VLOOKUP($A263,'S49'!$C:$BQ,32,0)</f>
        <v>#N/A</v>
      </c>
      <c r="AV263" s="107" t="e">
        <f>VLOOKUP($A263,'S49'!$C:$BQ,39,0)</f>
        <v>#N/A</v>
      </c>
      <c r="AW263" s="107" t="e">
        <f>VLOOKUP($A263,'S49'!$C:$BQ,40,0)</f>
        <v>#N/A</v>
      </c>
      <c r="AX263" s="107" t="e">
        <f>VLOOKUP($A263,'S49'!$C:$BQ,22,0)</f>
        <v>#N/A</v>
      </c>
      <c r="AY263" s="115" t="e">
        <f>VLOOKUP($A263,'S49'!$C:$BQ,29,0)</f>
        <v>#N/A</v>
      </c>
      <c r="AZ263" s="115" t="e">
        <f>VLOOKUP($A263,'S49'!$C:$BQ,30,0)</f>
        <v>#N/A</v>
      </c>
      <c r="BA263" s="115" t="e">
        <f>VLOOKUP($A263,'S49'!$C:$BQ,52,0)</f>
        <v>#N/A</v>
      </c>
      <c r="BB263" s="115" t="e">
        <f>VLOOKUP($A263,'S49'!$C:$BQ,59,0)</f>
        <v>#N/A</v>
      </c>
      <c r="BC263" s="115" t="e">
        <f>VLOOKUP($A263,'S49'!$C:$BQ,60,0)</f>
        <v>#N/A</v>
      </c>
      <c r="BD263" s="107" t="e">
        <f>VLOOKUP($A263,'S50'!$C:$BQ,32,0)</f>
        <v>#N/A</v>
      </c>
      <c r="BE263" s="107" t="e">
        <f>VLOOKUP($A263,'S50'!$C:$BQ,39,0)</f>
        <v>#N/A</v>
      </c>
      <c r="BF263" s="107" t="e">
        <f>VLOOKUP($A263,'S50'!$C:$BQ,40,0)</f>
        <v>#N/A</v>
      </c>
      <c r="BG263" s="107" t="e">
        <f>VLOOKUP($A263,'S50'!$C:$BQ,22,0)</f>
        <v>#N/A</v>
      </c>
      <c r="BH263" s="115" t="e">
        <f>VLOOKUP($A263,'S50'!$C:$BQ,29,0)</f>
        <v>#N/A</v>
      </c>
      <c r="BI263" s="115" t="e">
        <f>VLOOKUP($A263,'S50'!$C:$BQ,30,0)</f>
        <v>#N/A</v>
      </c>
      <c r="BJ263" s="115" t="e">
        <f>VLOOKUP($A263,'S50'!$C:$BQ,52,0)</f>
        <v>#N/A</v>
      </c>
      <c r="BK263" s="115" t="e">
        <f>VLOOKUP($A263,'S50'!$C:$BQ,59,0)</f>
        <v>#N/A</v>
      </c>
      <c r="BL263" s="115" t="e">
        <f>VLOOKUP($A263,'S50'!$C:$BQ,60,0)</f>
        <v>#N/A</v>
      </c>
    </row>
    <row r="264" spans="1:64" x14ac:dyDescent="0.2">
      <c r="A264" s="106" t="s">
        <v>337</v>
      </c>
      <c r="B264" s="107">
        <f>VLOOKUP($A264,'S0 remplacer avec S44'!$C:$BQ,32,0)</f>
        <v>13.8</v>
      </c>
      <c r="C264" s="107">
        <f>VLOOKUP($A264,'S0 remplacer avec S44'!$C:$BQ,39,0)</f>
        <v>91</v>
      </c>
      <c r="D264" s="107">
        <f>VLOOKUP($A264,'S0 remplacer avec S44'!$C:$BQ,40,0)</f>
        <v>112</v>
      </c>
      <c r="E264" s="107">
        <f>VLOOKUP($A264,'S0 remplacer avec S44'!$C:$BQ,22,0)</f>
        <v>186.24148</v>
      </c>
      <c r="F264" s="115">
        <f>VLOOKUP($A264,'S0 remplacer avec S44'!$C:$BQ,29,0)</f>
        <v>765</v>
      </c>
      <c r="G264" s="115">
        <f>VLOOKUP($A264,'S0 remplacer avec S44'!$C:$BQ,30,0)</f>
        <v>955</v>
      </c>
      <c r="H264" s="115">
        <f>VLOOKUP($A264,'S0 remplacer avec S44'!$C:$BQ,52,0)</f>
        <v>1</v>
      </c>
      <c r="I264" s="115">
        <f>VLOOKUP($A264,'S0 remplacer avec S44'!$C:$BQ,59,0)</f>
        <v>53</v>
      </c>
      <c r="J264" s="115">
        <f>VLOOKUP($A264,'S0 remplacer avec S44'!$C:$BQ,60,0)</f>
        <v>63</v>
      </c>
      <c r="K264" s="107" t="e">
        <f>VLOOKUP($A264,'S45'!$C:$BQ,32,0)</f>
        <v>#N/A</v>
      </c>
      <c r="L264" s="107" t="e">
        <f>VLOOKUP($A264,'S45'!$C:$BQ,39,0)</f>
        <v>#N/A</v>
      </c>
      <c r="M264" s="107" t="e">
        <f>VLOOKUP($A264,'S45'!$C:$BQ,40,0)</f>
        <v>#N/A</v>
      </c>
      <c r="N264" s="107" t="e">
        <f>VLOOKUP($A264,'S45'!$C:$BQ,22,0)</f>
        <v>#N/A</v>
      </c>
      <c r="O264" s="115" t="e">
        <f>VLOOKUP($A264,'S45'!$C:$BQ,29,0)</f>
        <v>#N/A</v>
      </c>
      <c r="P264" s="115" t="e">
        <f>VLOOKUP($A264,'S45'!$C:$BQ,30,0)</f>
        <v>#N/A</v>
      </c>
      <c r="Q264" s="115" t="e">
        <f>VLOOKUP($A264,'S45'!$C:$BQ,52,0)</f>
        <v>#N/A</v>
      </c>
      <c r="R264" s="115" t="e">
        <f>VLOOKUP($A264,'S45'!$C:$BQ,59,0)</f>
        <v>#N/A</v>
      </c>
      <c r="S264" s="115" t="e">
        <f>VLOOKUP($A264,'S45'!$C:$BQ,60,0)</f>
        <v>#N/A</v>
      </c>
      <c r="T264" s="107" t="e">
        <f>VLOOKUP($A264,'S46'!$C:$BQ,32,0)</f>
        <v>#N/A</v>
      </c>
      <c r="U264" s="107" t="e">
        <f>VLOOKUP($A264,'S46'!$C:$BQ,39,0)</f>
        <v>#N/A</v>
      </c>
      <c r="V264" s="107" t="e">
        <f>VLOOKUP($A264,'S46'!$C:$BQ,40,0)</f>
        <v>#N/A</v>
      </c>
      <c r="W264" s="107" t="e">
        <f>VLOOKUP($A264,'S46'!$C:$BQ,22,0)</f>
        <v>#N/A</v>
      </c>
      <c r="X264" s="115" t="e">
        <f>VLOOKUP($A264,'S46'!$C:$BQ,29,0)</f>
        <v>#N/A</v>
      </c>
      <c r="Y264" s="115" t="e">
        <f>VLOOKUP($A264,'S46'!$C:$BQ,30,0)</f>
        <v>#N/A</v>
      </c>
      <c r="Z264" s="115" t="e">
        <f>VLOOKUP($A264,'S46'!$C:$BQ,52,0)</f>
        <v>#N/A</v>
      </c>
      <c r="AA264" s="115" t="e">
        <f>VLOOKUP($A264,'S46'!$C:$BQ,59,0)</f>
        <v>#N/A</v>
      </c>
      <c r="AB264" s="115" t="e">
        <f>VLOOKUP($A264,'S46'!$C:$BQ,60,0)</f>
        <v>#N/A</v>
      </c>
      <c r="AC264" s="107" t="e">
        <f>VLOOKUP($A264,'S47'!$C:$BQ,32,0)</f>
        <v>#N/A</v>
      </c>
      <c r="AD264" s="107" t="e">
        <f>VLOOKUP($A264,'S47'!$C:$BQ,39,0)</f>
        <v>#N/A</v>
      </c>
      <c r="AE264" s="107" t="e">
        <f>VLOOKUP($A264,'S47'!$C:$BQ,40,0)</f>
        <v>#N/A</v>
      </c>
      <c r="AF264" s="107" t="e">
        <f>VLOOKUP($A264,'S47'!$C:$BQ,22,0)</f>
        <v>#N/A</v>
      </c>
      <c r="AG264" s="115" t="e">
        <f>VLOOKUP($A264,'S47'!$C:$BQ,29,0)</f>
        <v>#N/A</v>
      </c>
      <c r="AH264" s="115" t="e">
        <f>VLOOKUP($A264,'S47'!$C:$BQ,30,0)</f>
        <v>#N/A</v>
      </c>
      <c r="AI264" s="115" t="e">
        <f>VLOOKUP($A264,'S47'!$C:$BQ,52,0)</f>
        <v>#N/A</v>
      </c>
      <c r="AJ264" s="115" t="e">
        <f>VLOOKUP($A264,'S47'!$C:$BQ,59,0)</f>
        <v>#N/A</v>
      </c>
      <c r="AK264" s="115" t="e">
        <f>VLOOKUP($A264,'S47'!$C:$BQ,60,0)</f>
        <v>#N/A</v>
      </c>
      <c r="AL264" s="107" t="e">
        <f>VLOOKUP($A264,'S48'!$C:$BQ,32,0)</f>
        <v>#N/A</v>
      </c>
      <c r="AM264" s="107" t="e">
        <f>VLOOKUP($A264,'S48'!$C:$BQ,39,0)</f>
        <v>#N/A</v>
      </c>
      <c r="AN264" s="107" t="e">
        <f>VLOOKUP($A264,'S48'!$C:$BQ,40,0)</f>
        <v>#N/A</v>
      </c>
      <c r="AO264" s="107" t="e">
        <f>VLOOKUP($A264,'S48'!$C:$BQ,22,0)</f>
        <v>#N/A</v>
      </c>
      <c r="AP264" s="115" t="e">
        <f>VLOOKUP($A264,'S48'!$C:$BQ,29,0)</f>
        <v>#N/A</v>
      </c>
      <c r="AQ264" s="115" t="e">
        <f>VLOOKUP($A264,'S48'!$C:$BQ,30,0)</f>
        <v>#N/A</v>
      </c>
      <c r="AR264" s="115" t="e">
        <f>VLOOKUP($A264,'S48'!$C:$BQ,52,0)</f>
        <v>#N/A</v>
      </c>
      <c r="AS264" s="115" t="e">
        <f>VLOOKUP($A264,'S48'!$C:$BQ,59,0)</f>
        <v>#N/A</v>
      </c>
      <c r="AT264" s="115" t="e">
        <f>VLOOKUP($A264,'S48'!$C:$BQ,60,0)</f>
        <v>#N/A</v>
      </c>
      <c r="AU264" s="107" t="e">
        <f>VLOOKUP($A264,'S49'!$C:$BQ,32,0)</f>
        <v>#N/A</v>
      </c>
      <c r="AV264" s="107" t="e">
        <f>VLOOKUP($A264,'S49'!$C:$BQ,39,0)</f>
        <v>#N/A</v>
      </c>
      <c r="AW264" s="107" t="e">
        <f>VLOOKUP($A264,'S49'!$C:$BQ,40,0)</f>
        <v>#N/A</v>
      </c>
      <c r="AX264" s="107" t="e">
        <f>VLOOKUP($A264,'S49'!$C:$BQ,22,0)</f>
        <v>#N/A</v>
      </c>
      <c r="AY264" s="115" t="e">
        <f>VLOOKUP($A264,'S49'!$C:$BQ,29,0)</f>
        <v>#N/A</v>
      </c>
      <c r="AZ264" s="115" t="e">
        <f>VLOOKUP($A264,'S49'!$C:$BQ,30,0)</f>
        <v>#N/A</v>
      </c>
      <c r="BA264" s="115" t="e">
        <f>VLOOKUP($A264,'S49'!$C:$BQ,52,0)</f>
        <v>#N/A</v>
      </c>
      <c r="BB264" s="115" t="e">
        <f>VLOOKUP($A264,'S49'!$C:$BQ,59,0)</f>
        <v>#N/A</v>
      </c>
      <c r="BC264" s="115" t="e">
        <f>VLOOKUP($A264,'S49'!$C:$BQ,60,0)</f>
        <v>#N/A</v>
      </c>
      <c r="BD264" s="107" t="e">
        <f>VLOOKUP($A264,'S50'!$C:$BQ,32,0)</f>
        <v>#N/A</v>
      </c>
      <c r="BE264" s="107" t="e">
        <f>VLOOKUP($A264,'S50'!$C:$BQ,39,0)</f>
        <v>#N/A</v>
      </c>
      <c r="BF264" s="107" t="e">
        <f>VLOOKUP($A264,'S50'!$C:$BQ,40,0)</f>
        <v>#N/A</v>
      </c>
      <c r="BG264" s="107" t="e">
        <f>VLOOKUP($A264,'S50'!$C:$BQ,22,0)</f>
        <v>#N/A</v>
      </c>
      <c r="BH264" s="115" t="e">
        <f>VLOOKUP($A264,'S50'!$C:$BQ,29,0)</f>
        <v>#N/A</v>
      </c>
      <c r="BI264" s="115" t="e">
        <f>VLOOKUP($A264,'S50'!$C:$BQ,30,0)</f>
        <v>#N/A</v>
      </c>
      <c r="BJ264" s="115" t="e">
        <f>VLOOKUP($A264,'S50'!$C:$BQ,52,0)</f>
        <v>#N/A</v>
      </c>
      <c r="BK264" s="115" t="e">
        <f>VLOOKUP($A264,'S50'!$C:$BQ,59,0)</f>
        <v>#N/A</v>
      </c>
      <c r="BL264" s="115" t="e">
        <f>VLOOKUP($A264,'S50'!$C:$BQ,60,0)</f>
        <v>#N/A</v>
      </c>
    </row>
    <row r="265" spans="1:64" x14ac:dyDescent="0.2">
      <c r="A265" s="106" t="s">
        <v>338</v>
      </c>
      <c r="B265" s="107">
        <f>VLOOKUP($A265,'S0 remplacer avec S44'!$C:$BQ,32,0)</f>
        <v>143.19999999999999</v>
      </c>
      <c r="C265" s="107">
        <f>VLOOKUP($A265,'S0 remplacer avec S44'!$C:$BQ,39,0)</f>
        <v>0</v>
      </c>
      <c r="D265" s="107">
        <f>VLOOKUP($A265,'S0 remplacer avec S44'!$C:$BQ,40,0)</f>
        <v>2</v>
      </c>
      <c r="E265" s="107">
        <f>VLOOKUP($A265,'S0 remplacer avec S44'!$C:$BQ,22,0)</f>
        <v>1349.2245250000001</v>
      </c>
      <c r="F265" s="115">
        <f>VLOOKUP($A265,'S0 remplacer avec S44'!$C:$BQ,29,0)</f>
        <v>0</v>
      </c>
      <c r="G265" s="115">
        <f>VLOOKUP($A265,'S0 remplacer avec S44'!$C:$BQ,30,0)</f>
        <v>0</v>
      </c>
      <c r="H265" s="115">
        <f>VLOOKUP($A265,'S0 remplacer avec S44'!$C:$BQ,52,0)</f>
        <v>126</v>
      </c>
      <c r="I265" s="115">
        <f>VLOOKUP($A265,'S0 remplacer avec S44'!$C:$BQ,59,0)</f>
        <v>0</v>
      </c>
      <c r="J265" s="115">
        <f>VLOOKUP($A265,'S0 remplacer avec S44'!$C:$BQ,60,0)</f>
        <v>0</v>
      </c>
      <c r="K265" s="107" t="e">
        <f>VLOOKUP($A265,'S45'!$C:$BQ,32,0)</f>
        <v>#N/A</v>
      </c>
      <c r="L265" s="107" t="e">
        <f>VLOOKUP($A265,'S45'!$C:$BQ,39,0)</f>
        <v>#N/A</v>
      </c>
      <c r="M265" s="107" t="e">
        <f>VLOOKUP($A265,'S45'!$C:$BQ,40,0)</f>
        <v>#N/A</v>
      </c>
      <c r="N265" s="107" t="e">
        <f>VLOOKUP($A265,'S45'!$C:$BQ,22,0)</f>
        <v>#N/A</v>
      </c>
      <c r="O265" s="115" t="e">
        <f>VLOOKUP($A265,'S45'!$C:$BQ,29,0)</f>
        <v>#N/A</v>
      </c>
      <c r="P265" s="115" t="e">
        <f>VLOOKUP($A265,'S45'!$C:$BQ,30,0)</f>
        <v>#N/A</v>
      </c>
      <c r="Q265" s="115" t="e">
        <f>VLOOKUP($A265,'S45'!$C:$BQ,52,0)</f>
        <v>#N/A</v>
      </c>
      <c r="R265" s="115" t="e">
        <f>VLOOKUP($A265,'S45'!$C:$BQ,59,0)</f>
        <v>#N/A</v>
      </c>
      <c r="S265" s="115" t="e">
        <f>VLOOKUP($A265,'S45'!$C:$BQ,60,0)</f>
        <v>#N/A</v>
      </c>
      <c r="T265" s="107" t="e">
        <f>VLOOKUP($A265,'S46'!$C:$BQ,32,0)</f>
        <v>#N/A</v>
      </c>
      <c r="U265" s="107" t="e">
        <f>VLOOKUP($A265,'S46'!$C:$BQ,39,0)</f>
        <v>#N/A</v>
      </c>
      <c r="V265" s="107" t="e">
        <f>VLOOKUP($A265,'S46'!$C:$BQ,40,0)</f>
        <v>#N/A</v>
      </c>
      <c r="W265" s="107" t="e">
        <f>VLOOKUP($A265,'S46'!$C:$BQ,22,0)</f>
        <v>#N/A</v>
      </c>
      <c r="X265" s="115" t="e">
        <f>VLOOKUP($A265,'S46'!$C:$BQ,29,0)</f>
        <v>#N/A</v>
      </c>
      <c r="Y265" s="115" t="e">
        <f>VLOOKUP($A265,'S46'!$C:$BQ,30,0)</f>
        <v>#N/A</v>
      </c>
      <c r="Z265" s="115" t="e">
        <f>VLOOKUP($A265,'S46'!$C:$BQ,52,0)</f>
        <v>#N/A</v>
      </c>
      <c r="AA265" s="115" t="e">
        <f>VLOOKUP($A265,'S46'!$C:$BQ,59,0)</f>
        <v>#N/A</v>
      </c>
      <c r="AB265" s="115" t="e">
        <f>VLOOKUP($A265,'S46'!$C:$BQ,60,0)</f>
        <v>#N/A</v>
      </c>
      <c r="AC265" s="107" t="e">
        <f>VLOOKUP($A265,'S47'!$C:$BQ,32,0)</f>
        <v>#N/A</v>
      </c>
      <c r="AD265" s="107" t="e">
        <f>VLOOKUP($A265,'S47'!$C:$BQ,39,0)</f>
        <v>#N/A</v>
      </c>
      <c r="AE265" s="107" t="e">
        <f>VLOOKUP($A265,'S47'!$C:$BQ,40,0)</f>
        <v>#N/A</v>
      </c>
      <c r="AF265" s="107" t="e">
        <f>VLOOKUP($A265,'S47'!$C:$BQ,22,0)</f>
        <v>#N/A</v>
      </c>
      <c r="AG265" s="115" t="e">
        <f>VLOOKUP($A265,'S47'!$C:$BQ,29,0)</f>
        <v>#N/A</v>
      </c>
      <c r="AH265" s="115" t="e">
        <f>VLOOKUP($A265,'S47'!$C:$BQ,30,0)</f>
        <v>#N/A</v>
      </c>
      <c r="AI265" s="115" t="e">
        <f>VLOOKUP($A265,'S47'!$C:$BQ,52,0)</f>
        <v>#N/A</v>
      </c>
      <c r="AJ265" s="115" t="e">
        <f>VLOOKUP($A265,'S47'!$C:$BQ,59,0)</f>
        <v>#N/A</v>
      </c>
      <c r="AK265" s="115" t="e">
        <f>VLOOKUP($A265,'S47'!$C:$BQ,60,0)</f>
        <v>#N/A</v>
      </c>
      <c r="AL265" s="107" t="e">
        <f>VLOOKUP($A265,'S48'!$C:$BQ,32,0)</f>
        <v>#N/A</v>
      </c>
      <c r="AM265" s="107" t="e">
        <f>VLOOKUP($A265,'S48'!$C:$BQ,39,0)</f>
        <v>#N/A</v>
      </c>
      <c r="AN265" s="107" t="e">
        <f>VLOOKUP($A265,'S48'!$C:$BQ,40,0)</f>
        <v>#N/A</v>
      </c>
      <c r="AO265" s="107" t="e">
        <f>VLOOKUP($A265,'S48'!$C:$BQ,22,0)</f>
        <v>#N/A</v>
      </c>
      <c r="AP265" s="115" t="e">
        <f>VLOOKUP($A265,'S48'!$C:$BQ,29,0)</f>
        <v>#N/A</v>
      </c>
      <c r="AQ265" s="115" t="e">
        <f>VLOOKUP($A265,'S48'!$C:$BQ,30,0)</f>
        <v>#N/A</v>
      </c>
      <c r="AR265" s="115" t="e">
        <f>VLOOKUP($A265,'S48'!$C:$BQ,52,0)</f>
        <v>#N/A</v>
      </c>
      <c r="AS265" s="115" t="e">
        <f>VLOOKUP($A265,'S48'!$C:$BQ,59,0)</f>
        <v>#N/A</v>
      </c>
      <c r="AT265" s="115" t="e">
        <f>VLOOKUP($A265,'S48'!$C:$BQ,60,0)</f>
        <v>#N/A</v>
      </c>
      <c r="AU265" s="107" t="e">
        <f>VLOOKUP($A265,'S49'!$C:$BQ,32,0)</f>
        <v>#N/A</v>
      </c>
      <c r="AV265" s="107" t="e">
        <f>VLOOKUP($A265,'S49'!$C:$BQ,39,0)</f>
        <v>#N/A</v>
      </c>
      <c r="AW265" s="107" t="e">
        <f>VLOOKUP($A265,'S49'!$C:$BQ,40,0)</f>
        <v>#N/A</v>
      </c>
      <c r="AX265" s="107" t="e">
        <f>VLOOKUP($A265,'S49'!$C:$BQ,22,0)</f>
        <v>#N/A</v>
      </c>
      <c r="AY265" s="115" t="e">
        <f>VLOOKUP($A265,'S49'!$C:$BQ,29,0)</f>
        <v>#N/A</v>
      </c>
      <c r="AZ265" s="115" t="e">
        <f>VLOOKUP($A265,'S49'!$C:$BQ,30,0)</f>
        <v>#N/A</v>
      </c>
      <c r="BA265" s="115" t="e">
        <f>VLOOKUP($A265,'S49'!$C:$BQ,52,0)</f>
        <v>#N/A</v>
      </c>
      <c r="BB265" s="115" t="e">
        <f>VLOOKUP($A265,'S49'!$C:$BQ,59,0)</f>
        <v>#N/A</v>
      </c>
      <c r="BC265" s="115" t="e">
        <f>VLOOKUP($A265,'S49'!$C:$BQ,60,0)</f>
        <v>#N/A</v>
      </c>
      <c r="BD265" s="107" t="e">
        <f>VLOOKUP($A265,'S50'!$C:$BQ,32,0)</f>
        <v>#N/A</v>
      </c>
      <c r="BE265" s="107" t="e">
        <f>VLOOKUP($A265,'S50'!$C:$BQ,39,0)</f>
        <v>#N/A</v>
      </c>
      <c r="BF265" s="107" t="e">
        <f>VLOOKUP($A265,'S50'!$C:$BQ,40,0)</f>
        <v>#N/A</v>
      </c>
      <c r="BG265" s="107" t="e">
        <f>VLOOKUP($A265,'S50'!$C:$BQ,22,0)</f>
        <v>#N/A</v>
      </c>
      <c r="BH265" s="115" t="e">
        <f>VLOOKUP($A265,'S50'!$C:$BQ,29,0)</f>
        <v>#N/A</v>
      </c>
      <c r="BI265" s="115" t="e">
        <f>VLOOKUP($A265,'S50'!$C:$BQ,30,0)</f>
        <v>#N/A</v>
      </c>
      <c r="BJ265" s="115" t="e">
        <f>VLOOKUP($A265,'S50'!$C:$BQ,52,0)</f>
        <v>#N/A</v>
      </c>
      <c r="BK265" s="115" t="e">
        <f>VLOOKUP($A265,'S50'!$C:$BQ,59,0)</f>
        <v>#N/A</v>
      </c>
      <c r="BL265" s="115" t="e">
        <f>VLOOKUP($A265,'S50'!$C:$BQ,60,0)</f>
        <v>#N/A</v>
      </c>
    </row>
    <row r="266" spans="1:64" x14ac:dyDescent="0.2">
      <c r="A266" s="106" t="s">
        <v>339</v>
      </c>
      <c r="B266" s="107">
        <f>VLOOKUP($A266,'S0 remplacer avec S44'!$C:$BQ,32,0)</f>
        <v>202.6</v>
      </c>
      <c r="C266" s="107">
        <f>VLOOKUP($A266,'S0 remplacer avec S44'!$C:$BQ,39,0)</f>
        <v>71</v>
      </c>
      <c r="D266" s="107">
        <f>VLOOKUP($A266,'S0 remplacer avec S44'!$C:$BQ,40,0)</f>
        <v>125</v>
      </c>
      <c r="E266" s="107">
        <f>VLOOKUP($A266,'S0 remplacer avec S44'!$C:$BQ,22,0)</f>
        <v>2258.2131949999998</v>
      </c>
      <c r="F266" s="115">
        <f>VLOOKUP($A266,'S0 remplacer avec S44'!$C:$BQ,29,0)</f>
        <v>223</v>
      </c>
      <c r="G266" s="115">
        <f>VLOOKUP($A266,'S0 remplacer avec S44'!$C:$BQ,30,0)</f>
        <v>719</v>
      </c>
      <c r="H266" s="115">
        <f>VLOOKUP($A266,'S0 remplacer avec S44'!$C:$BQ,52,0)</f>
        <v>149.80000000000001</v>
      </c>
      <c r="I266" s="115">
        <f>VLOOKUP($A266,'S0 remplacer avec S44'!$C:$BQ,59,0)</f>
        <v>0</v>
      </c>
      <c r="J266" s="115">
        <f>VLOOKUP($A266,'S0 remplacer avec S44'!$C:$BQ,60,0)</f>
        <v>17</v>
      </c>
      <c r="K266" s="107" t="e">
        <f>VLOOKUP($A266,'S45'!$C:$BQ,32,0)</f>
        <v>#N/A</v>
      </c>
      <c r="L266" s="107" t="e">
        <f>VLOOKUP($A266,'S45'!$C:$BQ,39,0)</f>
        <v>#N/A</v>
      </c>
      <c r="M266" s="107" t="e">
        <f>VLOOKUP($A266,'S45'!$C:$BQ,40,0)</f>
        <v>#N/A</v>
      </c>
      <c r="N266" s="107" t="e">
        <f>VLOOKUP($A266,'S45'!$C:$BQ,22,0)</f>
        <v>#N/A</v>
      </c>
      <c r="O266" s="115" t="e">
        <f>VLOOKUP($A266,'S45'!$C:$BQ,29,0)</f>
        <v>#N/A</v>
      </c>
      <c r="P266" s="115" t="e">
        <f>VLOOKUP($A266,'S45'!$C:$BQ,30,0)</f>
        <v>#N/A</v>
      </c>
      <c r="Q266" s="115" t="e">
        <f>VLOOKUP($A266,'S45'!$C:$BQ,52,0)</f>
        <v>#N/A</v>
      </c>
      <c r="R266" s="115" t="e">
        <f>VLOOKUP($A266,'S45'!$C:$BQ,59,0)</f>
        <v>#N/A</v>
      </c>
      <c r="S266" s="115" t="e">
        <f>VLOOKUP($A266,'S45'!$C:$BQ,60,0)</f>
        <v>#N/A</v>
      </c>
      <c r="T266" s="107" t="e">
        <f>VLOOKUP($A266,'S46'!$C:$BQ,32,0)</f>
        <v>#N/A</v>
      </c>
      <c r="U266" s="107" t="e">
        <f>VLOOKUP($A266,'S46'!$C:$BQ,39,0)</f>
        <v>#N/A</v>
      </c>
      <c r="V266" s="107" t="e">
        <f>VLOOKUP($A266,'S46'!$C:$BQ,40,0)</f>
        <v>#N/A</v>
      </c>
      <c r="W266" s="107" t="e">
        <f>VLOOKUP($A266,'S46'!$C:$BQ,22,0)</f>
        <v>#N/A</v>
      </c>
      <c r="X266" s="115" t="e">
        <f>VLOOKUP($A266,'S46'!$C:$BQ,29,0)</f>
        <v>#N/A</v>
      </c>
      <c r="Y266" s="115" t="e">
        <f>VLOOKUP($A266,'S46'!$C:$BQ,30,0)</f>
        <v>#N/A</v>
      </c>
      <c r="Z266" s="115" t="e">
        <f>VLOOKUP($A266,'S46'!$C:$BQ,52,0)</f>
        <v>#N/A</v>
      </c>
      <c r="AA266" s="115" t="e">
        <f>VLOOKUP($A266,'S46'!$C:$BQ,59,0)</f>
        <v>#N/A</v>
      </c>
      <c r="AB266" s="115" t="e">
        <f>VLOOKUP($A266,'S46'!$C:$BQ,60,0)</f>
        <v>#N/A</v>
      </c>
      <c r="AC266" s="107" t="e">
        <f>VLOOKUP($A266,'S47'!$C:$BQ,32,0)</f>
        <v>#N/A</v>
      </c>
      <c r="AD266" s="107" t="e">
        <f>VLOOKUP($A266,'S47'!$C:$BQ,39,0)</f>
        <v>#N/A</v>
      </c>
      <c r="AE266" s="107" t="e">
        <f>VLOOKUP($A266,'S47'!$C:$BQ,40,0)</f>
        <v>#N/A</v>
      </c>
      <c r="AF266" s="107" t="e">
        <f>VLOOKUP($A266,'S47'!$C:$BQ,22,0)</f>
        <v>#N/A</v>
      </c>
      <c r="AG266" s="115" t="e">
        <f>VLOOKUP($A266,'S47'!$C:$BQ,29,0)</f>
        <v>#N/A</v>
      </c>
      <c r="AH266" s="115" t="e">
        <f>VLOOKUP($A266,'S47'!$C:$BQ,30,0)</f>
        <v>#N/A</v>
      </c>
      <c r="AI266" s="115" t="e">
        <f>VLOOKUP($A266,'S47'!$C:$BQ,52,0)</f>
        <v>#N/A</v>
      </c>
      <c r="AJ266" s="115" t="e">
        <f>VLOOKUP($A266,'S47'!$C:$BQ,59,0)</f>
        <v>#N/A</v>
      </c>
      <c r="AK266" s="115" t="e">
        <f>VLOOKUP($A266,'S47'!$C:$BQ,60,0)</f>
        <v>#N/A</v>
      </c>
      <c r="AL266" s="107" t="e">
        <f>VLOOKUP($A266,'S48'!$C:$BQ,32,0)</f>
        <v>#N/A</v>
      </c>
      <c r="AM266" s="107" t="e">
        <f>VLOOKUP($A266,'S48'!$C:$BQ,39,0)</f>
        <v>#N/A</v>
      </c>
      <c r="AN266" s="107" t="e">
        <f>VLOOKUP($A266,'S48'!$C:$BQ,40,0)</f>
        <v>#N/A</v>
      </c>
      <c r="AO266" s="107" t="e">
        <f>VLOOKUP($A266,'S48'!$C:$BQ,22,0)</f>
        <v>#N/A</v>
      </c>
      <c r="AP266" s="115" t="e">
        <f>VLOOKUP($A266,'S48'!$C:$BQ,29,0)</f>
        <v>#N/A</v>
      </c>
      <c r="AQ266" s="115" t="e">
        <f>VLOOKUP($A266,'S48'!$C:$BQ,30,0)</f>
        <v>#N/A</v>
      </c>
      <c r="AR266" s="115" t="e">
        <f>VLOOKUP($A266,'S48'!$C:$BQ,52,0)</f>
        <v>#N/A</v>
      </c>
      <c r="AS266" s="115" t="e">
        <f>VLOOKUP($A266,'S48'!$C:$BQ,59,0)</f>
        <v>#N/A</v>
      </c>
      <c r="AT266" s="115" t="e">
        <f>VLOOKUP($A266,'S48'!$C:$BQ,60,0)</f>
        <v>#N/A</v>
      </c>
      <c r="AU266" s="107" t="e">
        <f>VLOOKUP($A266,'S49'!$C:$BQ,32,0)</f>
        <v>#N/A</v>
      </c>
      <c r="AV266" s="107" t="e">
        <f>VLOOKUP($A266,'S49'!$C:$BQ,39,0)</f>
        <v>#N/A</v>
      </c>
      <c r="AW266" s="107" t="e">
        <f>VLOOKUP($A266,'S49'!$C:$BQ,40,0)</f>
        <v>#N/A</v>
      </c>
      <c r="AX266" s="107" t="e">
        <f>VLOOKUP($A266,'S49'!$C:$BQ,22,0)</f>
        <v>#N/A</v>
      </c>
      <c r="AY266" s="115" t="e">
        <f>VLOOKUP($A266,'S49'!$C:$BQ,29,0)</f>
        <v>#N/A</v>
      </c>
      <c r="AZ266" s="115" t="e">
        <f>VLOOKUP($A266,'S49'!$C:$BQ,30,0)</f>
        <v>#N/A</v>
      </c>
      <c r="BA266" s="115" t="e">
        <f>VLOOKUP($A266,'S49'!$C:$BQ,52,0)</f>
        <v>#N/A</v>
      </c>
      <c r="BB266" s="115" t="e">
        <f>VLOOKUP($A266,'S49'!$C:$BQ,59,0)</f>
        <v>#N/A</v>
      </c>
      <c r="BC266" s="115" t="e">
        <f>VLOOKUP($A266,'S49'!$C:$BQ,60,0)</f>
        <v>#N/A</v>
      </c>
      <c r="BD266" s="107" t="e">
        <f>VLOOKUP($A266,'S50'!$C:$BQ,32,0)</f>
        <v>#N/A</v>
      </c>
      <c r="BE266" s="107" t="e">
        <f>VLOOKUP($A266,'S50'!$C:$BQ,39,0)</f>
        <v>#N/A</v>
      </c>
      <c r="BF266" s="107" t="e">
        <f>VLOOKUP($A266,'S50'!$C:$BQ,40,0)</f>
        <v>#N/A</v>
      </c>
      <c r="BG266" s="107" t="e">
        <f>VLOOKUP($A266,'S50'!$C:$BQ,22,0)</f>
        <v>#N/A</v>
      </c>
      <c r="BH266" s="115" t="e">
        <f>VLOOKUP($A266,'S50'!$C:$BQ,29,0)</f>
        <v>#N/A</v>
      </c>
      <c r="BI266" s="115" t="e">
        <f>VLOOKUP($A266,'S50'!$C:$BQ,30,0)</f>
        <v>#N/A</v>
      </c>
      <c r="BJ266" s="115" t="e">
        <f>VLOOKUP($A266,'S50'!$C:$BQ,52,0)</f>
        <v>#N/A</v>
      </c>
      <c r="BK266" s="115" t="e">
        <f>VLOOKUP($A266,'S50'!$C:$BQ,59,0)</f>
        <v>#N/A</v>
      </c>
      <c r="BL266" s="115" t="e">
        <f>VLOOKUP($A266,'S50'!$C:$BQ,60,0)</f>
        <v>#N/A</v>
      </c>
    </row>
    <row r="267" spans="1:64" x14ac:dyDescent="0.2">
      <c r="A267" s="106" t="s">
        <v>342</v>
      </c>
      <c r="B267" s="107">
        <f>VLOOKUP($A267,'S0 remplacer avec S44'!$C:$BQ,32,0)</f>
        <v>123.8</v>
      </c>
      <c r="C267" s="107">
        <f>VLOOKUP($A267,'S0 remplacer avec S44'!$C:$BQ,39,0)</f>
        <v>93</v>
      </c>
      <c r="D267" s="107">
        <f>VLOOKUP($A267,'S0 remplacer avec S44'!$C:$BQ,40,0)</f>
        <v>137</v>
      </c>
      <c r="E267" s="107">
        <f>VLOOKUP($A267,'S0 remplacer avec S44'!$C:$BQ,22,0)</f>
        <v>1355.8727799999999</v>
      </c>
      <c r="F267" s="115">
        <f>VLOOKUP($A267,'S0 remplacer avec S44'!$C:$BQ,29,0)</f>
        <v>614</v>
      </c>
      <c r="G267" s="115">
        <f>VLOOKUP($A267,'S0 remplacer avec S44'!$C:$BQ,30,0)</f>
        <v>1008</v>
      </c>
      <c r="H267" s="115">
        <f>VLOOKUP($A267,'S0 remplacer avec S44'!$C:$BQ,52,0)</f>
        <v>92.6</v>
      </c>
      <c r="I267" s="115">
        <f>VLOOKUP($A267,'S0 remplacer avec S44'!$C:$BQ,59,0)</f>
        <v>18</v>
      </c>
      <c r="J267" s="115">
        <f>VLOOKUP($A267,'S0 remplacer avec S44'!$C:$BQ,60,0)</f>
        <v>40</v>
      </c>
      <c r="K267" s="107" t="e">
        <f>VLOOKUP($A267,'S45'!$C:$BQ,32,0)</f>
        <v>#N/A</v>
      </c>
      <c r="L267" s="107" t="e">
        <f>VLOOKUP($A267,'S45'!$C:$BQ,39,0)</f>
        <v>#N/A</v>
      </c>
      <c r="M267" s="107" t="e">
        <f>VLOOKUP($A267,'S45'!$C:$BQ,40,0)</f>
        <v>#N/A</v>
      </c>
      <c r="N267" s="107" t="e">
        <f>VLOOKUP($A267,'S45'!$C:$BQ,22,0)</f>
        <v>#N/A</v>
      </c>
      <c r="O267" s="115" t="e">
        <f>VLOOKUP($A267,'S45'!$C:$BQ,29,0)</f>
        <v>#N/A</v>
      </c>
      <c r="P267" s="115" t="e">
        <f>VLOOKUP($A267,'S45'!$C:$BQ,30,0)</f>
        <v>#N/A</v>
      </c>
      <c r="Q267" s="115" t="e">
        <f>VLOOKUP($A267,'S45'!$C:$BQ,52,0)</f>
        <v>#N/A</v>
      </c>
      <c r="R267" s="115" t="e">
        <f>VLOOKUP($A267,'S45'!$C:$BQ,59,0)</f>
        <v>#N/A</v>
      </c>
      <c r="S267" s="115" t="e">
        <f>VLOOKUP($A267,'S45'!$C:$BQ,60,0)</f>
        <v>#N/A</v>
      </c>
      <c r="T267" s="107" t="e">
        <f>VLOOKUP($A267,'S46'!$C:$BQ,32,0)</f>
        <v>#N/A</v>
      </c>
      <c r="U267" s="107" t="e">
        <f>VLOOKUP($A267,'S46'!$C:$BQ,39,0)</f>
        <v>#N/A</v>
      </c>
      <c r="V267" s="107" t="e">
        <f>VLOOKUP($A267,'S46'!$C:$BQ,40,0)</f>
        <v>#N/A</v>
      </c>
      <c r="W267" s="107" t="e">
        <f>VLOOKUP($A267,'S46'!$C:$BQ,22,0)</f>
        <v>#N/A</v>
      </c>
      <c r="X267" s="115" t="e">
        <f>VLOOKUP($A267,'S46'!$C:$BQ,29,0)</f>
        <v>#N/A</v>
      </c>
      <c r="Y267" s="115" t="e">
        <f>VLOOKUP($A267,'S46'!$C:$BQ,30,0)</f>
        <v>#N/A</v>
      </c>
      <c r="Z267" s="115" t="e">
        <f>VLOOKUP($A267,'S46'!$C:$BQ,52,0)</f>
        <v>#N/A</v>
      </c>
      <c r="AA267" s="115" t="e">
        <f>VLOOKUP($A267,'S46'!$C:$BQ,59,0)</f>
        <v>#N/A</v>
      </c>
      <c r="AB267" s="115" t="e">
        <f>VLOOKUP($A267,'S46'!$C:$BQ,60,0)</f>
        <v>#N/A</v>
      </c>
      <c r="AC267" s="107" t="e">
        <f>VLOOKUP($A267,'S47'!$C:$BQ,32,0)</f>
        <v>#N/A</v>
      </c>
      <c r="AD267" s="107" t="e">
        <f>VLOOKUP($A267,'S47'!$C:$BQ,39,0)</f>
        <v>#N/A</v>
      </c>
      <c r="AE267" s="107" t="e">
        <f>VLOOKUP($A267,'S47'!$C:$BQ,40,0)</f>
        <v>#N/A</v>
      </c>
      <c r="AF267" s="107" t="e">
        <f>VLOOKUP($A267,'S47'!$C:$BQ,22,0)</f>
        <v>#N/A</v>
      </c>
      <c r="AG267" s="115" t="e">
        <f>VLOOKUP($A267,'S47'!$C:$BQ,29,0)</f>
        <v>#N/A</v>
      </c>
      <c r="AH267" s="115" t="e">
        <f>VLOOKUP($A267,'S47'!$C:$BQ,30,0)</f>
        <v>#N/A</v>
      </c>
      <c r="AI267" s="115" t="e">
        <f>VLOOKUP($A267,'S47'!$C:$BQ,52,0)</f>
        <v>#N/A</v>
      </c>
      <c r="AJ267" s="115" t="e">
        <f>VLOOKUP($A267,'S47'!$C:$BQ,59,0)</f>
        <v>#N/A</v>
      </c>
      <c r="AK267" s="115" t="e">
        <f>VLOOKUP($A267,'S47'!$C:$BQ,60,0)</f>
        <v>#N/A</v>
      </c>
      <c r="AL267" s="107" t="e">
        <f>VLOOKUP($A267,'S48'!$C:$BQ,32,0)</f>
        <v>#N/A</v>
      </c>
      <c r="AM267" s="107" t="e">
        <f>VLOOKUP($A267,'S48'!$C:$BQ,39,0)</f>
        <v>#N/A</v>
      </c>
      <c r="AN267" s="107" t="e">
        <f>VLOOKUP($A267,'S48'!$C:$BQ,40,0)</f>
        <v>#N/A</v>
      </c>
      <c r="AO267" s="107" t="e">
        <f>VLOOKUP($A267,'S48'!$C:$BQ,22,0)</f>
        <v>#N/A</v>
      </c>
      <c r="AP267" s="115" t="e">
        <f>VLOOKUP($A267,'S48'!$C:$BQ,29,0)</f>
        <v>#N/A</v>
      </c>
      <c r="AQ267" s="115" t="e">
        <f>VLOOKUP($A267,'S48'!$C:$BQ,30,0)</f>
        <v>#N/A</v>
      </c>
      <c r="AR267" s="115" t="e">
        <f>VLOOKUP($A267,'S48'!$C:$BQ,52,0)</f>
        <v>#N/A</v>
      </c>
      <c r="AS267" s="115" t="e">
        <f>VLOOKUP($A267,'S48'!$C:$BQ,59,0)</f>
        <v>#N/A</v>
      </c>
      <c r="AT267" s="115" t="e">
        <f>VLOOKUP($A267,'S48'!$C:$BQ,60,0)</f>
        <v>#N/A</v>
      </c>
      <c r="AU267" s="107" t="e">
        <f>VLOOKUP($A267,'S49'!$C:$BQ,32,0)</f>
        <v>#N/A</v>
      </c>
      <c r="AV267" s="107" t="e">
        <f>VLOOKUP($A267,'S49'!$C:$BQ,39,0)</f>
        <v>#N/A</v>
      </c>
      <c r="AW267" s="107" t="e">
        <f>VLOOKUP($A267,'S49'!$C:$BQ,40,0)</f>
        <v>#N/A</v>
      </c>
      <c r="AX267" s="107" t="e">
        <f>VLOOKUP($A267,'S49'!$C:$BQ,22,0)</f>
        <v>#N/A</v>
      </c>
      <c r="AY267" s="115" t="e">
        <f>VLOOKUP($A267,'S49'!$C:$BQ,29,0)</f>
        <v>#N/A</v>
      </c>
      <c r="AZ267" s="115" t="e">
        <f>VLOOKUP($A267,'S49'!$C:$BQ,30,0)</f>
        <v>#N/A</v>
      </c>
      <c r="BA267" s="115" t="e">
        <f>VLOOKUP($A267,'S49'!$C:$BQ,52,0)</f>
        <v>#N/A</v>
      </c>
      <c r="BB267" s="115" t="e">
        <f>VLOOKUP($A267,'S49'!$C:$BQ,59,0)</f>
        <v>#N/A</v>
      </c>
      <c r="BC267" s="115" t="e">
        <f>VLOOKUP($A267,'S49'!$C:$BQ,60,0)</f>
        <v>#N/A</v>
      </c>
      <c r="BD267" s="107" t="e">
        <f>VLOOKUP($A267,'S50'!$C:$BQ,32,0)</f>
        <v>#N/A</v>
      </c>
      <c r="BE267" s="107" t="e">
        <f>VLOOKUP($A267,'S50'!$C:$BQ,39,0)</f>
        <v>#N/A</v>
      </c>
      <c r="BF267" s="107" t="e">
        <f>VLOOKUP($A267,'S50'!$C:$BQ,40,0)</f>
        <v>#N/A</v>
      </c>
      <c r="BG267" s="107" t="e">
        <f>VLOOKUP($A267,'S50'!$C:$BQ,22,0)</f>
        <v>#N/A</v>
      </c>
      <c r="BH267" s="115" t="e">
        <f>VLOOKUP($A267,'S50'!$C:$BQ,29,0)</f>
        <v>#N/A</v>
      </c>
      <c r="BI267" s="115" t="e">
        <f>VLOOKUP($A267,'S50'!$C:$BQ,30,0)</f>
        <v>#N/A</v>
      </c>
      <c r="BJ267" s="115" t="e">
        <f>VLOOKUP($A267,'S50'!$C:$BQ,52,0)</f>
        <v>#N/A</v>
      </c>
      <c r="BK267" s="115" t="e">
        <f>VLOOKUP($A267,'S50'!$C:$BQ,59,0)</f>
        <v>#N/A</v>
      </c>
      <c r="BL267" s="115" t="e">
        <f>VLOOKUP($A267,'S50'!$C:$BQ,60,0)</f>
        <v>#N/A</v>
      </c>
    </row>
    <row r="268" spans="1:64" x14ac:dyDescent="0.2">
      <c r="A268" s="106" t="s">
        <v>343</v>
      </c>
      <c r="B268" s="107">
        <f>VLOOKUP($A268,'S0 remplacer avec S44'!$C:$BQ,32,0)</f>
        <v>150.9</v>
      </c>
      <c r="C268" s="107">
        <f>VLOOKUP($A268,'S0 remplacer avec S44'!$C:$BQ,39,0)</f>
        <v>19</v>
      </c>
      <c r="D268" s="107">
        <f>VLOOKUP($A268,'S0 remplacer avec S44'!$C:$BQ,40,0)</f>
        <v>53</v>
      </c>
      <c r="E268" s="107">
        <f>VLOOKUP($A268,'S0 remplacer avec S44'!$C:$BQ,22,0)</f>
        <v>1813.68958</v>
      </c>
      <c r="F268" s="115">
        <f>VLOOKUP($A268,'S0 remplacer avec S44'!$C:$BQ,29,0)</f>
        <v>0</v>
      </c>
      <c r="G268" s="115">
        <f>VLOOKUP($A268,'S0 remplacer avec S44'!$C:$BQ,30,0)</f>
        <v>34</v>
      </c>
      <c r="H268" s="115">
        <f>VLOOKUP($A268,'S0 remplacer avec S44'!$C:$BQ,52,0)</f>
        <v>94.4</v>
      </c>
      <c r="I268" s="115">
        <f>VLOOKUP($A268,'S0 remplacer avec S44'!$C:$BQ,59,0)</f>
        <v>0</v>
      </c>
      <c r="J268" s="115">
        <f>VLOOKUP($A268,'S0 remplacer avec S44'!$C:$BQ,60,0)</f>
        <v>9</v>
      </c>
      <c r="K268" s="107" t="e">
        <f>VLOOKUP($A268,'S45'!$C:$BQ,32,0)</f>
        <v>#N/A</v>
      </c>
      <c r="L268" s="107" t="e">
        <f>VLOOKUP($A268,'S45'!$C:$BQ,39,0)</f>
        <v>#N/A</v>
      </c>
      <c r="M268" s="107" t="e">
        <f>VLOOKUP($A268,'S45'!$C:$BQ,40,0)</f>
        <v>#N/A</v>
      </c>
      <c r="N268" s="107" t="e">
        <f>VLOOKUP($A268,'S45'!$C:$BQ,22,0)</f>
        <v>#N/A</v>
      </c>
      <c r="O268" s="115" t="e">
        <f>VLOOKUP($A268,'S45'!$C:$BQ,29,0)</f>
        <v>#N/A</v>
      </c>
      <c r="P268" s="115" t="e">
        <f>VLOOKUP($A268,'S45'!$C:$BQ,30,0)</f>
        <v>#N/A</v>
      </c>
      <c r="Q268" s="115" t="e">
        <f>VLOOKUP($A268,'S45'!$C:$BQ,52,0)</f>
        <v>#N/A</v>
      </c>
      <c r="R268" s="115" t="e">
        <f>VLOOKUP($A268,'S45'!$C:$BQ,59,0)</f>
        <v>#N/A</v>
      </c>
      <c r="S268" s="115" t="e">
        <f>VLOOKUP($A268,'S45'!$C:$BQ,60,0)</f>
        <v>#N/A</v>
      </c>
      <c r="T268" s="107" t="e">
        <f>VLOOKUP($A268,'S46'!$C:$BQ,32,0)</f>
        <v>#N/A</v>
      </c>
      <c r="U268" s="107" t="e">
        <f>VLOOKUP($A268,'S46'!$C:$BQ,39,0)</f>
        <v>#N/A</v>
      </c>
      <c r="V268" s="107" t="e">
        <f>VLOOKUP($A268,'S46'!$C:$BQ,40,0)</f>
        <v>#N/A</v>
      </c>
      <c r="W268" s="107" t="e">
        <f>VLOOKUP($A268,'S46'!$C:$BQ,22,0)</f>
        <v>#N/A</v>
      </c>
      <c r="X268" s="115" t="e">
        <f>VLOOKUP($A268,'S46'!$C:$BQ,29,0)</f>
        <v>#N/A</v>
      </c>
      <c r="Y268" s="115" t="e">
        <f>VLOOKUP($A268,'S46'!$C:$BQ,30,0)</f>
        <v>#N/A</v>
      </c>
      <c r="Z268" s="115" t="e">
        <f>VLOOKUP($A268,'S46'!$C:$BQ,52,0)</f>
        <v>#N/A</v>
      </c>
      <c r="AA268" s="115" t="e">
        <f>VLOOKUP($A268,'S46'!$C:$BQ,59,0)</f>
        <v>#N/A</v>
      </c>
      <c r="AB268" s="115" t="e">
        <f>VLOOKUP($A268,'S46'!$C:$BQ,60,0)</f>
        <v>#N/A</v>
      </c>
      <c r="AC268" s="107" t="e">
        <f>VLOOKUP($A268,'S47'!$C:$BQ,32,0)</f>
        <v>#N/A</v>
      </c>
      <c r="AD268" s="107" t="e">
        <f>VLOOKUP($A268,'S47'!$C:$BQ,39,0)</f>
        <v>#N/A</v>
      </c>
      <c r="AE268" s="107" t="e">
        <f>VLOOKUP($A268,'S47'!$C:$BQ,40,0)</f>
        <v>#N/A</v>
      </c>
      <c r="AF268" s="107" t="e">
        <f>VLOOKUP($A268,'S47'!$C:$BQ,22,0)</f>
        <v>#N/A</v>
      </c>
      <c r="AG268" s="115" t="e">
        <f>VLOOKUP($A268,'S47'!$C:$BQ,29,0)</f>
        <v>#N/A</v>
      </c>
      <c r="AH268" s="115" t="e">
        <f>VLOOKUP($A268,'S47'!$C:$BQ,30,0)</f>
        <v>#N/A</v>
      </c>
      <c r="AI268" s="115" t="e">
        <f>VLOOKUP($A268,'S47'!$C:$BQ,52,0)</f>
        <v>#N/A</v>
      </c>
      <c r="AJ268" s="115" t="e">
        <f>VLOOKUP($A268,'S47'!$C:$BQ,59,0)</f>
        <v>#N/A</v>
      </c>
      <c r="AK268" s="115" t="e">
        <f>VLOOKUP($A268,'S47'!$C:$BQ,60,0)</f>
        <v>#N/A</v>
      </c>
      <c r="AL268" s="107" t="e">
        <f>VLOOKUP($A268,'S48'!$C:$BQ,32,0)</f>
        <v>#N/A</v>
      </c>
      <c r="AM268" s="107" t="e">
        <f>VLOOKUP($A268,'S48'!$C:$BQ,39,0)</f>
        <v>#N/A</v>
      </c>
      <c r="AN268" s="107" t="e">
        <f>VLOOKUP($A268,'S48'!$C:$BQ,40,0)</f>
        <v>#N/A</v>
      </c>
      <c r="AO268" s="107" t="e">
        <f>VLOOKUP($A268,'S48'!$C:$BQ,22,0)</f>
        <v>#N/A</v>
      </c>
      <c r="AP268" s="115" t="e">
        <f>VLOOKUP($A268,'S48'!$C:$BQ,29,0)</f>
        <v>#N/A</v>
      </c>
      <c r="AQ268" s="115" t="e">
        <f>VLOOKUP($A268,'S48'!$C:$BQ,30,0)</f>
        <v>#N/A</v>
      </c>
      <c r="AR268" s="115" t="e">
        <f>VLOOKUP($A268,'S48'!$C:$BQ,52,0)</f>
        <v>#N/A</v>
      </c>
      <c r="AS268" s="115" t="e">
        <f>VLOOKUP($A268,'S48'!$C:$BQ,59,0)</f>
        <v>#N/A</v>
      </c>
      <c r="AT268" s="115" t="e">
        <f>VLOOKUP($A268,'S48'!$C:$BQ,60,0)</f>
        <v>#N/A</v>
      </c>
      <c r="AU268" s="107" t="e">
        <f>VLOOKUP($A268,'S49'!$C:$BQ,32,0)</f>
        <v>#N/A</v>
      </c>
      <c r="AV268" s="107" t="e">
        <f>VLOOKUP($A268,'S49'!$C:$BQ,39,0)</f>
        <v>#N/A</v>
      </c>
      <c r="AW268" s="107" t="e">
        <f>VLOOKUP($A268,'S49'!$C:$BQ,40,0)</f>
        <v>#N/A</v>
      </c>
      <c r="AX268" s="107" t="e">
        <f>VLOOKUP($A268,'S49'!$C:$BQ,22,0)</f>
        <v>#N/A</v>
      </c>
      <c r="AY268" s="115" t="e">
        <f>VLOOKUP($A268,'S49'!$C:$BQ,29,0)</f>
        <v>#N/A</v>
      </c>
      <c r="AZ268" s="115" t="e">
        <f>VLOOKUP($A268,'S49'!$C:$BQ,30,0)</f>
        <v>#N/A</v>
      </c>
      <c r="BA268" s="115" t="e">
        <f>VLOOKUP($A268,'S49'!$C:$BQ,52,0)</f>
        <v>#N/A</v>
      </c>
      <c r="BB268" s="115" t="e">
        <f>VLOOKUP($A268,'S49'!$C:$BQ,59,0)</f>
        <v>#N/A</v>
      </c>
      <c r="BC268" s="115" t="e">
        <f>VLOOKUP($A268,'S49'!$C:$BQ,60,0)</f>
        <v>#N/A</v>
      </c>
      <c r="BD268" s="107" t="e">
        <f>VLOOKUP($A268,'S50'!$C:$BQ,32,0)</f>
        <v>#N/A</v>
      </c>
      <c r="BE268" s="107" t="e">
        <f>VLOOKUP($A268,'S50'!$C:$BQ,39,0)</f>
        <v>#N/A</v>
      </c>
      <c r="BF268" s="107" t="e">
        <f>VLOOKUP($A268,'S50'!$C:$BQ,40,0)</f>
        <v>#N/A</v>
      </c>
      <c r="BG268" s="107" t="e">
        <f>VLOOKUP($A268,'S50'!$C:$BQ,22,0)</f>
        <v>#N/A</v>
      </c>
      <c r="BH268" s="115" t="e">
        <f>VLOOKUP($A268,'S50'!$C:$BQ,29,0)</f>
        <v>#N/A</v>
      </c>
      <c r="BI268" s="115" t="e">
        <f>VLOOKUP($A268,'S50'!$C:$BQ,30,0)</f>
        <v>#N/A</v>
      </c>
      <c r="BJ268" s="115" t="e">
        <f>VLOOKUP($A268,'S50'!$C:$BQ,52,0)</f>
        <v>#N/A</v>
      </c>
      <c r="BK268" s="115" t="e">
        <f>VLOOKUP($A268,'S50'!$C:$BQ,59,0)</f>
        <v>#N/A</v>
      </c>
      <c r="BL268" s="115" t="e">
        <f>VLOOKUP($A268,'S50'!$C:$BQ,60,0)</f>
        <v>#N/A</v>
      </c>
    </row>
    <row r="269" spans="1:64" x14ac:dyDescent="0.2">
      <c r="A269" s="106" t="s">
        <v>344</v>
      </c>
      <c r="B269" s="107">
        <f>VLOOKUP($A269,'S0 remplacer avec S44'!$C:$BQ,32,0)</f>
        <v>52.7</v>
      </c>
      <c r="C269" s="107">
        <f>VLOOKUP($A269,'S0 remplacer avec S44'!$C:$BQ,39,0)</f>
        <v>11</v>
      </c>
      <c r="D269" s="107">
        <f>VLOOKUP($A269,'S0 remplacer avec S44'!$C:$BQ,40,0)</f>
        <v>23</v>
      </c>
      <c r="E269" s="107">
        <f>VLOOKUP($A269,'S0 remplacer avec S44'!$C:$BQ,22,0)</f>
        <v>350.08732500000002</v>
      </c>
      <c r="F269" s="115">
        <f>VLOOKUP($A269,'S0 remplacer avec S44'!$C:$BQ,29,0)</f>
        <v>223</v>
      </c>
      <c r="G269" s="115">
        <f>VLOOKUP($A269,'S0 remplacer avec S44'!$C:$BQ,30,0)</f>
        <v>338</v>
      </c>
      <c r="H269" s="115">
        <f>VLOOKUP($A269,'S0 remplacer avec S44'!$C:$BQ,52,0)</f>
        <v>47.2</v>
      </c>
      <c r="I269" s="115">
        <f>VLOOKUP($A269,'S0 remplacer avec S44'!$C:$BQ,59,0)</f>
        <v>0</v>
      </c>
      <c r="J269" s="115">
        <f>VLOOKUP($A269,'S0 remplacer avec S44'!$C:$BQ,60,0)</f>
        <v>0</v>
      </c>
      <c r="K269" s="107" t="e">
        <f>VLOOKUP($A269,'S45'!$C:$BQ,32,0)</f>
        <v>#N/A</v>
      </c>
      <c r="L269" s="107" t="e">
        <f>VLOOKUP($A269,'S45'!$C:$BQ,39,0)</f>
        <v>#N/A</v>
      </c>
      <c r="M269" s="107" t="e">
        <f>VLOOKUP($A269,'S45'!$C:$BQ,40,0)</f>
        <v>#N/A</v>
      </c>
      <c r="N269" s="107" t="e">
        <f>VLOOKUP($A269,'S45'!$C:$BQ,22,0)</f>
        <v>#N/A</v>
      </c>
      <c r="O269" s="115" t="e">
        <f>VLOOKUP($A269,'S45'!$C:$BQ,29,0)</f>
        <v>#N/A</v>
      </c>
      <c r="P269" s="115" t="e">
        <f>VLOOKUP($A269,'S45'!$C:$BQ,30,0)</f>
        <v>#N/A</v>
      </c>
      <c r="Q269" s="115" t="e">
        <f>VLOOKUP($A269,'S45'!$C:$BQ,52,0)</f>
        <v>#N/A</v>
      </c>
      <c r="R269" s="115" t="e">
        <f>VLOOKUP($A269,'S45'!$C:$BQ,59,0)</f>
        <v>#N/A</v>
      </c>
      <c r="S269" s="115" t="e">
        <f>VLOOKUP($A269,'S45'!$C:$BQ,60,0)</f>
        <v>#N/A</v>
      </c>
      <c r="T269" s="107" t="e">
        <f>VLOOKUP($A269,'S46'!$C:$BQ,32,0)</f>
        <v>#N/A</v>
      </c>
      <c r="U269" s="107" t="e">
        <f>VLOOKUP($A269,'S46'!$C:$BQ,39,0)</f>
        <v>#N/A</v>
      </c>
      <c r="V269" s="107" t="e">
        <f>VLOOKUP($A269,'S46'!$C:$BQ,40,0)</f>
        <v>#N/A</v>
      </c>
      <c r="W269" s="107" t="e">
        <f>VLOOKUP($A269,'S46'!$C:$BQ,22,0)</f>
        <v>#N/A</v>
      </c>
      <c r="X269" s="115" t="e">
        <f>VLOOKUP($A269,'S46'!$C:$BQ,29,0)</f>
        <v>#N/A</v>
      </c>
      <c r="Y269" s="115" t="e">
        <f>VLOOKUP($A269,'S46'!$C:$BQ,30,0)</f>
        <v>#N/A</v>
      </c>
      <c r="Z269" s="115" t="e">
        <f>VLOOKUP($A269,'S46'!$C:$BQ,52,0)</f>
        <v>#N/A</v>
      </c>
      <c r="AA269" s="115" t="e">
        <f>VLOOKUP($A269,'S46'!$C:$BQ,59,0)</f>
        <v>#N/A</v>
      </c>
      <c r="AB269" s="115" t="e">
        <f>VLOOKUP($A269,'S46'!$C:$BQ,60,0)</f>
        <v>#N/A</v>
      </c>
      <c r="AC269" s="107" t="e">
        <f>VLOOKUP($A269,'S47'!$C:$BQ,32,0)</f>
        <v>#N/A</v>
      </c>
      <c r="AD269" s="107" t="e">
        <f>VLOOKUP($A269,'S47'!$C:$BQ,39,0)</f>
        <v>#N/A</v>
      </c>
      <c r="AE269" s="107" t="e">
        <f>VLOOKUP($A269,'S47'!$C:$BQ,40,0)</f>
        <v>#N/A</v>
      </c>
      <c r="AF269" s="107" t="e">
        <f>VLOOKUP($A269,'S47'!$C:$BQ,22,0)</f>
        <v>#N/A</v>
      </c>
      <c r="AG269" s="115" t="e">
        <f>VLOOKUP($A269,'S47'!$C:$BQ,29,0)</f>
        <v>#N/A</v>
      </c>
      <c r="AH269" s="115" t="e">
        <f>VLOOKUP($A269,'S47'!$C:$BQ,30,0)</f>
        <v>#N/A</v>
      </c>
      <c r="AI269" s="115" t="e">
        <f>VLOOKUP($A269,'S47'!$C:$BQ,52,0)</f>
        <v>#N/A</v>
      </c>
      <c r="AJ269" s="115" t="e">
        <f>VLOOKUP($A269,'S47'!$C:$BQ,59,0)</f>
        <v>#N/A</v>
      </c>
      <c r="AK269" s="115" t="e">
        <f>VLOOKUP($A269,'S47'!$C:$BQ,60,0)</f>
        <v>#N/A</v>
      </c>
      <c r="AL269" s="107" t="e">
        <f>VLOOKUP($A269,'S48'!$C:$BQ,32,0)</f>
        <v>#N/A</v>
      </c>
      <c r="AM269" s="107" t="e">
        <f>VLOOKUP($A269,'S48'!$C:$BQ,39,0)</f>
        <v>#N/A</v>
      </c>
      <c r="AN269" s="107" t="e">
        <f>VLOOKUP($A269,'S48'!$C:$BQ,40,0)</f>
        <v>#N/A</v>
      </c>
      <c r="AO269" s="107" t="e">
        <f>VLOOKUP($A269,'S48'!$C:$BQ,22,0)</f>
        <v>#N/A</v>
      </c>
      <c r="AP269" s="115" t="e">
        <f>VLOOKUP($A269,'S48'!$C:$BQ,29,0)</f>
        <v>#N/A</v>
      </c>
      <c r="AQ269" s="115" t="e">
        <f>VLOOKUP($A269,'S48'!$C:$BQ,30,0)</f>
        <v>#N/A</v>
      </c>
      <c r="AR269" s="115" t="e">
        <f>VLOOKUP($A269,'S48'!$C:$BQ,52,0)</f>
        <v>#N/A</v>
      </c>
      <c r="AS269" s="115" t="e">
        <f>VLOOKUP($A269,'S48'!$C:$BQ,59,0)</f>
        <v>#N/A</v>
      </c>
      <c r="AT269" s="115" t="e">
        <f>VLOOKUP($A269,'S48'!$C:$BQ,60,0)</f>
        <v>#N/A</v>
      </c>
      <c r="AU269" s="107" t="e">
        <f>VLOOKUP($A269,'S49'!$C:$BQ,32,0)</f>
        <v>#N/A</v>
      </c>
      <c r="AV269" s="107" t="e">
        <f>VLOOKUP($A269,'S49'!$C:$BQ,39,0)</f>
        <v>#N/A</v>
      </c>
      <c r="AW269" s="107" t="e">
        <f>VLOOKUP($A269,'S49'!$C:$BQ,40,0)</f>
        <v>#N/A</v>
      </c>
      <c r="AX269" s="107" t="e">
        <f>VLOOKUP($A269,'S49'!$C:$BQ,22,0)</f>
        <v>#N/A</v>
      </c>
      <c r="AY269" s="115" t="e">
        <f>VLOOKUP($A269,'S49'!$C:$BQ,29,0)</f>
        <v>#N/A</v>
      </c>
      <c r="AZ269" s="115" t="e">
        <f>VLOOKUP($A269,'S49'!$C:$BQ,30,0)</f>
        <v>#N/A</v>
      </c>
      <c r="BA269" s="115" t="e">
        <f>VLOOKUP($A269,'S49'!$C:$BQ,52,0)</f>
        <v>#N/A</v>
      </c>
      <c r="BB269" s="115" t="e">
        <f>VLOOKUP($A269,'S49'!$C:$BQ,59,0)</f>
        <v>#N/A</v>
      </c>
      <c r="BC269" s="115" t="e">
        <f>VLOOKUP($A269,'S49'!$C:$BQ,60,0)</f>
        <v>#N/A</v>
      </c>
      <c r="BD269" s="107" t="e">
        <f>VLOOKUP($A269,'S50'!$C:$BQ,32,0)</f>
        <v>#N/A</v>
      </c>
      <c r="BE269" s="107" t="e">
        <f>VLOOKUP($A269,'S50'!$C:$BQ,39,0)</f>
        <v>#N/A</v>
      </c>
      <c r="BF269" s="107" t="e">
        <f>VLOOKUP($A269,'S50'!$C:$BQ,40,0)</f>
        <v>#N/A</v>
      </c>
      <c r="BG269" s="107" t="e">
        <f>VLOOKUP($A269,'S50'!$C:$BQ,22,0)</f>
        <v>#N/A</v>
      </c>
      <c r="BH269" s="115" t="e">
        <f>VLOOKUP($A269,'S50'!$C:$BQ,29,0)</f>
        <v>#N/A</v>
      </c>
      <c r="BI269" s="115" t="e">
        <f>VLOOKUP($A269,'S50'!$C:$BQ,30,0)</f>
        <v>#N/A</v>
      </c>
      <c r="BJ269" s="115" t="e">
        <f>VLOOKUP($A269,'S50'!$C:$BQ,52,0)</f>
        <v>#N/A</v>
      </c>
      <c r="BK269" s="115" t="e">
        <f>VLOOKUP($A269,'S50'!$C:$BQ,59,0)</f>
        <v>#N/A</v>
      </c>
      <c r="BL269" s="115" t="e">
        <f>VLOOKUP($A269,'S50'!$C:$BQ,60,0)</f>
        <v>#N/A</v>
      </c>
    </row>
    <row r="270" spans="1:64" x14ac:dyDescent="0.2">
      <c r="A270" s="106" t="s">
        <v>345</v>
      </c>
      <c r="B270" s="107">
        <f>VLOOKUP($A270,'S0 remplacer avec S44'!$C:$BQ,32,0)</f>
        <v>76.2</v>
      </c>
      <c r="C270" s="107">
        <f>VLOOKUP($A270,'S0 remplacer avec S44'!$C:$BQ,39,0)</f>
        <v>90</v>
      </c>
      <c r="D270" s="107">
        <f>VLOOKUP($A270,'S0 remplacer avec S44'!$C:$BQ,40,0)</f>
        <v>123</v>
      </c>
      <c r="E270" s="107">
        <f>VLOOKUP($A270,'S0 remplacer avec S44'!$C:$BQ,22,0)</f>
        <v>1338.5396599999999</v>
      </c>
      <c r="F270" s="115">
        <f>VLOOKUP($A270,'S0 remplacer avec S44'!$C:$BQ,29,0)</f>
        <v>166</v>
      </c>
      <c r="G270" s="115">
        <f>VLOOKUP($A270,'S0 remplacer avec S44'!$C:$BQ,30,0)</f>
        <v>467</v>
      </c>
      <c r="H270" s="115">
        <f>VLOOKUP($A270,'S0 remplacer avec S44'!$C:$BQ,52,0)</f>
        <v>42.6</v>
      </c>
      <c r="I270" s="115">
        <f>VLOOKUP($A270,'S0 remplacer avec S44'!$C:$BQ,59,0)</f>
        <v>42</v>
      </c>
      <c r="J270" s="115">
        <f>VLOOKUP($A270,'S0 remplacer avec S44'!$C:$BQ,60,0)</f>
        <v>59</v>
      </c>
      <c r="K270" s="107" t="e">
        <f>VLOOKUP($A270,'S45'!$C:$BQ,32,0)</f>
        <v>#N/A</v>
      </c>
      <c r="L270" s="107" t="e">
        <f>VLOOKUP($A270,'S45'!$C:$BQ,39,0)</f>
        <v>#N/A</v>
      </c>
      <c r="M270" s="107" t="e">
        <f>VLOOKUP($A270,'S45'!$C:$BQ,40,0)</f>
        <v>#N/A</v>
      </c>
      <c r="N270" s="107" t="e">
        <f>VLOOKUP($A270,'S45'!$C:$BQ,22,0)</f>
        <v>#N/A</v>
      </c>
      <c r="O270" s="115" t="e">
        <f>VLOOKUP($A270,'S45'!$C:$BQ,29,0)</f>
        <v>#N/A</v>
      </c>
      <c r="P270" s="115" t="e">
        <f>VLOOKUP($A270,'S45'!$C:$BQ,30,0)</f>
        <v>#N/A</v>
      </c>
      <c r="Q270" s="115" t="e">
        <f>VLOOKUP($A270,'S45'!$C:$BQ,52,0)</f>
        <v>#N/A</v>
      </c>
      <c r="R270" s="115" t="e">
        <f>VLOOKUP($A270,'S45'!$C:$BQ,59,0)</f>
        <v>#N/A</v>
      </c>
      <c r="S270" s="115" t="e">
        <f>VLOOKUP($A270,'S45'!$C:$BQ,60,0)</f>
        <v>#N/A</v>
      </c>
      <c r="T270" s="107" t="e">
        <f>VLOOKUP($A270,'S46'!$C:$BQ,32,0)</f>
        <v>#N/A</v>
      </c>
      <c r="U270" s="107" t="e">
        <f>VLOOKUP($A270,'S46'!$C:$BQ,39,0)</f>
        <v>#N/A</v>
      </c>
      <c r="V270" s="107" t="e">
        <f>VLOOKUP($A270,'S46'!$C:$BQ,40,0)</f>
        <v>#N/A</v>
      </c>
      <c r="W270" s="107" t="e">
        <f>VLOOKUP($A270,'S46'!$C:$BQ,22,0)</f>
        <v>#N/A</v>
      </c>
      <c r="X270" s="115" t="e">
        <f>VLOOKUP($A270,'S46'!$C:$BQ,29,0)</f>
        <v>#N/A</v>
      </c>
      <c r="Y270" s="115" t="e">
        <f>VLOOKUP($A270,'S46'!$C:$BQ,30,0)</f>
        <v>#N/A</v>
      </c>
      <c r="Z270" s="115" t="e">
        <f>VLOOKUP($A270,'S46'!$C:$BQ,52,0)</f>
        <v>#N/A</v>
      </c>
      <c r="AA270" s="115" t="e">
        <f>VLOOKUP($A270,'S46'!$C:$BQ,59,0)</f>
        <v>#N/A</v>
      </c>
      <c r="AB270" s="115" t="e">
        <f>VLOOKUP($A270,'S46'!$C:$BQ,60,0)</f>
        <v>#N/A</v>
      </c>
      <c r="AC270" s="107" t="e">
        <f>VLOOKUP($A270,'S47'!$C:$BQ,32,0)</f>
        <v>#N/A</v>
      </c>
      <c r="AD270" s="107" t="e">
        <f>VLOOKUP($A270,'S47'!$C:$BQ,39,0)</f>
        <v>#N/A</v>
      </c>
      <c r="AE270" s="107" t="e">
        <f>VLOOKUP($A270,'S47'!$C:$BQ,40,0)</f>
        <v>#N/A</v>
      </c>
      <c r="AF270" s="107" t="e">
        <f>VLOOKUP($A270,'S47'!$C:$BQ,22,0)</f>
        <v>#N/A</v>
      </c>
      <c r="AG270" s="115" t="e">
        <f>VLOOKUP($A270,'S47'!$C:$BQ,29,0)</f>
        <v>#N/A</v>
      </c>
      <c r="AH270" s="115" t="e">
        <f>VLOOKUP($A270,'S47'!$C:$BQ,30,0)</f>
        <v>#N/A</v>
      </c>
      <c r="AI270" s="115" t="e">
        <f>VLOOKUP($A270,'S47'!$C:$BQ,52,0)</f>
        <v>#N/A</v>
      </c>
      <c r="AJ270" s="115" t="e">
        <f>VLOOKUP($A270,'S47'!$C:$BQ,59,0)</f>
        <v>#N/A</v>
      </c>
      <c r="AK270" s="115" t="e">
        <f>VLOOKUP($A270,'S47'!$C:$BQ,60,0)</f>
        <v>#N/A</v>
      </c>
      <c r="AL270" s="107" t="e">
        <f>VLOOKUP($A270,'S48'!$C:$BQ,32,0)</f>
        <v>#N/A</v>
      </c>
      <c r="AM270" s="107" t="e">
        <f>VLOOKUP($A270,'S48'!$C:$BQ,39,0)</f>
        <v>#N/A</v>
      </c>
      <c r="AN270" s="107" t="e">
        <f>VLOOKUP($A270,'S48'!$C:$BQ,40,0)</f>
        <v>#N/A</v>
      </c>
      <c r="AO270" s="107" t="e">
        <f>VLOOKUP($A270,'S48'!$C:$BQ,22,0)</f>
        <v>#N/A</v>
      </c>
      <c r="AP270" s="115" t="e">
        <f>VLOOKUP($A270,'S48'!$C:$BQ,29,0)</f>
        <v>#N/A</v>
      </c>
      <c r="AQ270" s="115" t="e">
        <f>VLOOKUP($A270,'S48'!$C:$BQ,30,0)</f>
        <v>#N/A</v>
      </c>
      <c r="AR270" s="115" t="e">
        <f>VLOOKUP($A270,'S48'!$C:$BQ,52,0)</f>
        <v>#N/A</v>
      </c>
      <c r="AS270" s="115" t="e">
        <f>VLOOKUP($A270,'S48'!$C:$BQ,59,0)</f>
        <v>#N/A</v>
      </c>
      <c r="AT270" s="115" t="e">
        <f>VLOOKUP($A270,'S48'!$C:$BQ,60,0)</f>
        <v>#N/A</v>
      </c>
      <c r="AU270" s="107" t="e">
        <f>VLOOKUP($A270,'S49'!$C:$BQ,32,0)</f>
        <v>#N/A</v>
      </c>
      <c r="AV270" s="107" t="e">
        <f>VLOOKUP($A270,'S49'!$C:$BQ,39,0)</f>
        <v>#N/A</v>
      </c>
      <c r="AW270" s="107" t="e">
        <f>VLOOKUP($A270,'S49'!$C:$BQ,40,0)</f>
        <v>#N/A</v>
      </c>
      <c r="AX270" s="107" t="e">
        <f>VLOOKUP($A270,'S49'!$C:$BQ,22,0)</f>
        <v>#N/A</v>
      </c>
      <c r="AY270" s="115" t="e">
        <f>VLOOKUP($A270,'S49'!$C:$BQ,29,0)</f>
        <v>#N/A</v>
      </c>
      <c r="AZ270" s="115" t="e">
        <f>VLOOKUP($A270,'S49'!$C:$BQ,30,0)</f>
        <v>#N/A</v>
      </c>
      <c r="BA270" s="115" t="e">
        <f>VLOOKUP($A270,'S49'!$C:$BQ,52,0)</f>
        <v>#N/A</v>
      </c>
      <c r="BB270" s="115" t="e">
        <f>VLOOKUP($A270,'S49'!$C:$BQ,59,0)</f>
        <v>#N/A</v>
      </c>
      <c r="BC270" s="115" t="e">
        <f>VLOOKUP($A270,'S49'!$C:$BQ,60,0)</f>
        <v>#N/A</v>
      </c>
      <c r="BD270" s="107" t="e">
        <f>VLOOKUP($A270,'S50'!$C:$BQ,32,0)</f>
        <v>#N/A</v>
      </c>
      <c r="BE270" s="107" t="e">
        <f>VLOOKUP($A270,'S50'!$C:$BQ,39,0)</f>
        <v>#N/A</v>
      </c>
      <c r="BF270" s="107" t="e">
        <f>VLOOKUP($A270,'S50'!$C:$BQ,40,0)</f>
        <v>#N/A</v>
      </c>
      <c r="BG270" s="107" t="e">
        <f>VLOOKUP($A270,'S50'!$C:$BQ,22,0)</f>
        <v>#N/A</v>
      </c>
      <c r="BH270" s="115" t="e">
        <f>VLOOKUP($A270,'S50'!$C:$BQ,29,0)</f>
        <v>#N/A</v>
      </c>
      <c r="BI270" s="115" t="e">
        <f>VLOOKUP($A270,'S50'!$C:$BQ,30,0)</f>
        <v>#N/A</v>
      </c>
      <c r="BJ270" s="115" t="e">
        <f>VLOOKUP($A270,'S50'!$C:$BQ,52,0)</f>
        <v>#N/A</v>
      </c>
      <c r="BK270" s="115" t="e">
        <f>VLOOKUP($A270,'S50'!$C:$BQ,59,0)</f>
        <v>#N/A</v>
      </c>
      <c r="BL270" s="115" t="e">
        <f>VLOOKUP($A270,'S50'!$C:$BQ,60,0)</f>
        <v>#N/A</v>
      </c>
    </row>
    <row r="271" spans="1:64" x14ac:dyDescent="0.2">
      <c r="A271" s="106" t="s">
        <v>346</v>
      </c>
      <c r="B271" s="107">
        <f>VLOOKUP($A271,'S0 remplacer avec S44'!$C:$BQ,32,0)</f>
        <v>168.4</v>
      </c>
      <c r="C271" s="107">
        <f>VLOOKUP($A271,'S0 remplacer avec S44'!$C:$BQ,39,0)</f>
        <v>116</v>
      </c>
      <c r="D271" s="107">
        <f>VLOOKUP($A271,'S0 remplacer avec S44'!$C:$BQ,40,0)</f>
        <v>172</v>
      </c>
      <c r="E271" s="107">
        <f>VLOOKUP($A271,'S0 remplacer avec S44'!$C:$BQ,22,0)</f>
        <v>2270.2101600000001</v>
      </c>
      <c r="F271" s="115">
        <f>VLOOKUP($A271,'S0 remplacer avec S44'!$C:$BQ,29,0)</f>
        <v>310</v>
      </c>
      <c r="G271" s="115">
        <f>VLOOKUP($A271,'S0 remplacer avec S44'!$C:$BQ,30,0)</f>
        <v>825</v>
      </c>
      <c r="H271" s="115">
        <f>VLOOKUP($A271,'S0 remplacer avec S44'!$C:$BQ,52,0)</f>
        <v>121.4</v>
      </c>
      <c r="I271" s="115">
        <f>VLOOKUP($A271,'S0 remplacer avec S44'!$C:$BQ,59,0)</f>
        <v>23</v>
      </c>
      <c r="J271" s="115">
        <f>VLOOKUP($A271,'S0 remplacer avec S44'!$C:$BQ,60,0)</f>
        <v>52</v>
      </c>
      <c r="K271" s="107" t="e">
        <f>VLOOKUP($A271,'S45'!$C:$BQ,32,0)</f>
        <v>#N/A</v>
      </c>
      <c r="L271" s="107" t="e">
        <f>VLOOKUP($A271,'S45'!$C:$BQ,39,0)</f>
        <v>#N/A</v>
      </c>
      <c r="M271" s="107" t="e">
        <f>VLOOKUP($A271,'S45'!$C:$BQ,40,0)</f>
        <v>#N/A</v>
      </c>
      <c r="N271" s="107" t="e">
        <f>VLOOKUP($A271,'S45'!$C:$BQ,22,0)</f>
        <v>#N/A</v>
      </c>
      <c r="O271" s="115" t="e">
        <f>VLOOKUP($A271,'S45'!$C:$BQ,29,0)</f>
        <v>#N/A</v>
      </c>
      <c r="P271" s="115" t="e">
        <f>VLOOKUP($A271,'S45'!$C:$BQ,30,0)</f>
        <v>#N/A</v>
      </c>
      <c r="Q271" s="115" t="e">
        <f>VLOOKUP($A271,'S45'!$C:$BQ,52,0)</f>
        <v>#N/A</v>
      </c>
      <c r="R271" s="115" t="e">
        <f>VLOOKUP($A271,'S45'!$C:$BQ,59,0)</f>
        <v>#N/A</v>
      </c>
      <c r="S271" s="115" t="e">
        <f>VLOOKUP($A271,'S45'!$C:$BQ,60,0)</f>
        <v>#N/A</v>
      </c>
      <c r="T271" s="107" t="e">
        <f>VLOOKUP($A271,'S46'!$C:$BQ,32,0)</f>
        <v>#N/A</v>
      </c>
      <c r="U271" s="107" t="e">
        <f>VLOOKUP($A271,'S46'!$C:$BQ,39,0)</f>
        <v>#N/A</v>
      </c>
      <c r="V271" s="107" t="e">
        <f>VLOOKUP($A271,'S46'!$C:$BQ,40,0)</f>
        <v>#N/A</v>
      </c>
      <c r="W271" s="107" t="e">
        <f>VLOOKUP($A271,'S46'!$C:$BQ,22,0)</f>
        <v>#N/A</v>
      </c>
      <c r="X271" s="115" t="e">
        <f>VLOOKUP($A271,'S46'!$C:$BQ,29,0)</f>
        <v>#N/A</v>
      </c>
      <c r="Y271" s="115" t="e">
        <f>VLOOKUP($A271,'S46'!$C:$BQ,30,0)</f>
        <v>#N/A</v>
      </c>
      <c r="Z271" s="115" t="e">
        <f>VLOOKUP($A271,'S46'!$C:$BQ,52,0)</f>
        <v>#N/A</v>
      </c>
      <c r="AA271" s="115" t="e">
        <f>VLOOKUP($A271,'S46'!$C:$BQ,59,0)</f>
        <v>#N/A</v>
      </c>
      <c r="AB271" s="115" t="e">
        <f>VLOOKUP($A271,'S46'!$C:$BQ,60,0)</f>
        <v>#N/A</v>
      </c>
      <c r="AC271" s="107" t="e">
        <f>VLOOKUP($A271,'S47'!$C:$BQ,32,0)</f>
        <v>#N/A</v>
      </c>
      <c r="AD271" s="107" t="e">
        <f>VLOOKUP($A271,'S47'!$C:$BQ,39,0)</f>
        <v>#N/A</v>
      </c>
      <c r="AE271" s="107" t="e">
        <f>VLOOKUP($A271,'S47'!$C:$BQ,40,0)</f>
        <v>#N/A</v>
      </c>
      <c r="AF271" s="107" t="e">
        <f>VLOOKUP($A271,'S47'!$C:$BQ,22,0)</f>
        <v>#N/A</v>
      </c>
      <c r="AG271" s="115" t="e">
        <f>VLOOKUP($A271,'S47'!$C:$BQ,29,0)</f>
        <v>#N/A</v>
      </c>
      <c r="AH271" s="115" t="e">
        <f>VLOOKUP($A271,'S47'!$C:$BQ,30,0)</f>
        <v>#N/A</v>
      </c>
      <c r="AI271" s="115" t="e">
        <f>VLOOKUP($A271,'S47'!$C:$BQ,52,0)</f>
        <v>#N/A</v>
      </c>
      <c r="AJ271" s="115" t="e">
        <f>VLOOKUP($A271,'S47'!$C:$BQ,59,0)</f>
        <v>#N/A</v>
      </c>
      <c r="AK271" s="115" t="e">
        <f>VLOOKUP($A271,'S47'!$C:$BQ,60,0)</f>
        <v>#N/A</v>
      </c>
      <c r="AL271" s="107" t="e">
        <f>VLOOKUP($A271,'S48'!$C:$BQ,32,0)</f>
        <v>#N/A</v>
      </c>
      <c r="AM271" s="107" t="e">
        <f>VLOOKUP($A271,'S48'!$C:$BQ,39,0)</f>
        <v>#N/A</v>
      </c>
      <c r="AN271" s="107" t="e">
        <f>VLOOKUP($A271,'S48'!$C:$BQ,40,0)</f>
        <v>#N/A</v>
      </c>
      <c r="AO271" s="107" t="e">
        <f>VLOOKUP($A271,'S48'!$C:$BQ,22,0)</f>
        <v>#N/A</v>
      </c>
      <c r="AP271" s="115" t="e">
        <f>VLOOKUP($A271,'S48'!$C:$BQ,29,0)</f>
        <v>#N/A</v>
      </c>
      <c r="AQ271" s="115" t="e">
        <f>VLOOKUP($A271,'S48'!$C:$BQ,30,0)</f>
        <v>#N/A</v>
      </c>
      <c r="AR271" s="115" t="e">
        <f>VLOOKUP($A271,'S48'!$C:$BQ,52,0)</f>
        <v>#N/A</v>
      </c>
      <c r="AS271" s="115" t="e">
        <f>VLOOKUP($A271,'S48'!$C:$BQ,59,0)</f>
        <v>#N/A</v>
      </c>
      <c r="AT271" s="115" t="e">
        <f>VLOOKUP($A271,'S48'!$C:$BQ,60,0)</f>
        <v>#N/A</v>
      </c>
      <c r="AU271" s="107" t="e">
        <f>VLOOKUP($A271,'S49'!$C:$BQ,32,0)</f>
        <v>#N/A</v>
      </c>
      <c r="AV271" s="107" t="e">
        <f>VLOOKUP($A271,'S49'!$C:$BQ,39,0)</f>
        <v>#N/A</v>
      </c>
      <c r="AW271" s="107" t="e">
        <f>VLOOKUP($A271,'S49'!$C:$BQ,40,0)</f>
        <v>#N/A</v>
      </c>
      <c r="AX271" s="107" t="e">
        <f>VLOOKUP($A271,'S49'!$C:$BQ,22,0)</f>
        <v>#N/A</v>
      </c>
      <c r="AY271" s="115" t="e">
        <f>VLOOKUP($A271,'S49'!$C:$BQ,29,0)</f>
        <v>#N/A</v>
      </c>
      <c r="AZ271" s="115" t="e">
        <f>VLOOKUP($A271,'S49'!$C:$BQ,30,0)</f>
        <v>#N/A</v>
      </c>
      <c r="BA271" s="115" t="e">
        <f>VLOOKUP($A271,'S49'!$C:$BQ,52,0)</f>
        <v>#N/A</v>
      </c>
      <c r="BB271" s="115" t="e">
        <f>VLOOKUP($A271,'S49'!$C:$BQ,59,0)</f>
        <v>#N/A</v>
      </c>
      <c r="BC271" s="115" t="e">
        <f>VLOOKUP($A271,'S49'!$C:$BQ,60,0)</f>
        <v>#N/A</v>
      </c>
      <c r="BD271" s="107" t="e">
        <f>VLOOKUP($A271,'S50'!$C:$BQ,32,0)</f>
        <v>#N/A</v>
      </c>
      <c r="BE271" s="107" t="e">
        <f>VLOOKUP($A271,'S50'!$C:$BQ,39,0)</f>
        <v>#N/A</v>
      </c>
      <c r="BF271" s="107" t="e">
        <f>VLOOKUP($A271,'S50'!$C:$BQ,40,0)</f>
        <v>#N/A</v>
      </c>
      <c r="BG271" s="107" t="e">
        <f>VLOOKUP($A271,'S50'!$C:$BQ,22,0)</f>
        <v>#N/A</v>
      </c>
      <c r="BH271" s="115" t="e">
        <f>VLOOKUP($A271,'S50'!$C:$BQ,29,0)</f>
        <v>#N/A</v>
      </c>
      <c r="BI271" s="115" t="e">
        <f>VLOOKUP($A271,'S50'!$C:$BQ,30,0)</f>
        <v>#N/A</v>
      </c>
      <c r="BJ271" s="115" t="e">
        <f>VLOOKUP($A271,'S50'!$C:$BQ,52,0)</f>
        <v>#N/A</v>
      </c>
      <c r="BK271" s="115" t="e">
        <f>VLOOKUP($A271,'S50'!$C:$BQ,59,0)</f>
        <v>#N/A</v>
      </c>
      <c r="BL271" s="115" t="e">
        <f>VLOOKUP($A271,'S50'!$C:$BQ,60,0)</f>
        <v>#N/A</v>
      </c>
    </row>
    <row r="272" spans="1:64" x14ac:dyDescent="0.2">
      <c r="A272" s="106" t="s">
        <v>347</v>
      </c>
      <c r="B272" s="107">
        <f>VLOOKUP($A272,'S0 remplacer avec S44'!$C:$BQ,32,0)</f>
        <v>477.15</v>
      </c>
      <c r="C272" s="107">
        <f>VLOOKUP($A272,'S0 remplacer avec S44'!$C:$BQ,39,0)</f>
        <v>70</v>
      </c>
      <c r="D272" s="107">
        <f>VLOOKUP($A272,'S0 remplacer avec S44'!$C:$BQ,40,0)</f>
        <v>179</v>
      </c>
      <c r="E272" s="107">
        <f>VLOOKUP($A272,'S0 remplacer avec S44'!$C:$BQ,22,0)</f>
        <v>4043.9040599999998</v>
      </c>
      <c r="F272" s="115">
        <f>VLOOKUP($A272,'S0 remplacer avec S44'!$C:$BQ,29,0)</f>
        <v>928</v>
      </c>
      <c r="G272" s="115">
        <f>VLOOKUP($A272,'S0 remplacer avec S44'!$C:$BQ,30,0)</f>
        <v>1922</v>
      </c>
      <c r="H272" s="115">
        <f>VLOOKUP($A272,'S0 remplacer avec S44'!$C:$BQ,52,0)</f>
        <v>525.79999999999995</v>
      </c>
      <c r="I272" s="115">
        <f>VLOOKUP($A272,'S0 remplacer avec S44'!$C:$BQ,59,0)</f>
        <v>0</v>
      </c>
      <c r="J272" s="115">
        <f>VLOOKUP($A272,'S0 remplacer avec S44'!$C:$BQ,60,0)</f>
        <v>0</v>
      </c>
      <c r="K272" s="107" t="e">
        <f>VLOOKUP($A272,'S45'!$C:$BQ,32,0)</f>
        <v>#N/A</v>
      </c>
      <c r="L272" s="107" t="e">
        <f>VLOOKUP($A272,'S45'!$C:$BQ,39,0)</f>
        <v>#N/A</v>
      </c>
      <c r="M272" s="107" t="e">
        <f>VLOOKUP($A272,'S45'!$C:$BQ,40,0)</f>
        <v>#N/A</v>
      </c>
      <c r="N272" s="107" t="e">
        <f>VLOOKUP($A272,'S45'!$C:$BQ,22,0)</f>
        <v>#N/A</v>
      </c>
      <c r="O272" s="115" t="e">
        <f>VLOOKUP($A272,'S45'!$C:$BQ,29,0)</f>
        <v>#N/A</v>
      </c>
      <c r="P272" s="115" t="e">
        <f>VLOOKUP($A272,'S45'!$C:$BQ,30,0)</f>
        <v>#N/A</v>
      </c>
      <c r="Q272" s="115" t="e">
        <f>VLOOKUP($A272,'S45'!$C:$BQ,52,0)</f>
        <v>#N/A</v>
      </c>
      <c r="R272" s="115" t="e">
        <f>VLOOKUP($A272,'S45'!$C:$BQ,59,0)</f>
        <v>#N/A</v>
      </c>
      <c r="S272" s="115" t="e">
        <f>VLOOKUP($A272,'S45'!$C:$BQ,60,0)</f>
        <v>#N/A</v>
      </c>
      <c r="T272" s="107" t="e">
        <f>VLOOKUP($A272,'S46'!$C:$BQ,32,0)</f>
        <v>#N/A</v>
      </c>
      <c r="U272" s="107" t="e">
        <f>VLOOKUP($A272,'S46'!$C:$BQ,39,0)</f>
        <v>#N/A</v>
      </c>
      <c r="V272" s="107" t="e">
        <f>VLOOKUP($A272,'S46'!$C:$BQ,40,0)</f>
        <v>#N/A</v>
      </c>
      <c r="W272" s="107" t="e">
        <f>VLOOKUP($A272,'S46'!$C:$BQ,22,0)</f>
        <v>#N/A</v>
      </c>
      <c r="X272" s="115" t="e">
        <f>VLOOKUP($A272,'S46'!$C:$BQ,29,0)</f>
        <v>#N/A</v>
      </c>
      <c r="Y272" s="115" t="e">
        <f>VLOOKUP($A272,'S46'!$C:$BQ,30,0)</f>
        <v>#N/A</v>
      </c>
      <c r="Z272" s="115" t="e">
        <f>VLOOKUP($A272,'S46'!$C:$BQ,52,0)</f>
        <v>#N/A</v>
      </c>
      <c r="AA272" s="115" t="e">
        <f>VLOOKUP($A272,'S46'!$C:$BQ,59,0)</f>
        <v>#N/A</v>
      </c>
      <c r="AB272" s="115" t="e">
        <f>VLOOKUP($A272,'S46'!$C:$BQ,60,0)</f>
        <v>#N/A</v>
      </c>
      <c r="AC272" s="107" t="e">
        <f>VLOOKUP($A272,'S47'!$C:$BQ,32,0)</f>
        <v>#N/A</v>
      </c>
      <c r="AD272" s="107" t="e">
        <f>VLOOKUP($A272,'S47'!$C:$BQ,39,0)</f>
        <v>#N/A</v>
      </c>
      <c r="AE272" s="107" t="e">
        <f>VLOOKUP($A272,'S47'!$C:$BQ,40,0)</f>
        <v>#N/A</v>
      </c>
      <c r="AF272" s="107" t="e">
        <f>VLOOKUP($A272,'S47'!$C:$BQ,22,0)</f>
        <v>#N/A</v>
      </c>
      <c r="AG272" s="115" t="e">
        <f>VLOOKUP($A272,'S47'!$C:$BQ,29,0)</f>
        <v>#N/A</v>
      </c>
      <c r="AH272" s="115" t="e">
        <f>VLOOKUP($A272,'S47'!$C:$BQ,30,0)</f>
        <v>#N/A</v>
      </c>
      <c r="AI272" s="115" t="e">
        <f>VLOOKUP($A272,'S47'!$C:$BQ,52,0)</f>
        <v>#N/A</v>
      </c>
      <c r="AJ272" s="115" t="e">
        <f>VLOOKUP($A272,'S47'!$C:$BQ,59,0)</f>
        <v>#N/A</v>
      </c>
      <c r="AK272" s="115" t="e">
        <f>VLOOKUP($A272,'S47'!$C:$BQ,60,0)</f>
        <v>#N/A</v>
      </c>
      <c r="AL272" s="107" t="e">
        <f>VLOOKUP($A272,'S48'!$C:$BQ,32,0)</f>
        <v>#N/A</v>
      </c>
      <c r="AM272" s="107" t="e">
        <f>VLOOKUP($A272,'S48'!$C:$BQ,39,0)</f>
        <v>#N/A</v>
      </c>
      <c r="AN272" s="107" t="e">
        <f>VLOOKUP($A272,'S48'!$C:$BQ,40,0)</f>
        <v>#N/A</v>
      </c>
      <c r="AO272" s="107" t="e">
        <f>VLOOKUP($A272,'S48'!$C:$BQ,22,0)</f>
        <v>#N/A</v>
      </c>
      <c r="AP272" s="115" t="e">
        <f>VLOOKUP($A272,'S48'!$C:$BQ,29,0)</f>
        <v>#N/A</v>
      </c>
      <c r="AQ272" s="115" t="e">
        <f>VLOOKUP($A272,'S48'!$C:$BQ,30,0)</f>
        <v>#N/A</v>
      </c>
      <c r="AR272" s="115" t="e">
        <f>VLOOKUP($A272,'S48'!$C:$BQ,52,0)</f>
        <v>#N/A</v>
      </c>
      <c r="AS272" s="115" t="e">
        <f>VLOOKUP($A272,'S48'!$C:$BQ,59,0)</f>
        <v>#N/A</v>
      </c>
      <c r="AT272" s="115" t="e">
        <f>VLOOKUP($A272,'S48'!$C:$BQ,60,0)</f>
        <v>#N/A</v>
      </c>
      <c r="AU272" s="107" t="e">
        <f>VLOOKUP($A272,'S49'!$C:$BQ,32,0)</f>
        <v>#N/A</v>
      </c>
      <c r="AV272" s="107" t="e">
        <f>VLOOKUP($A272,'S49'!$C:$BQ,39,0)</f>
        <v>#N/A</v>
      </c>
      <c r="AW272" s="107" t="e">
        <f>VLOOKUP($A272,'S49'!$C:$BQ,40,0)</f>
        <v>#N/A</v>
      </c>
      <c r="AX272" s="107" t="e">
        <f>VLOOKUP($A272,'S49'!$C:$BQ,22,0)</f>
        <v>#N/A</v>
      </c>
      <c r="AY272" s="115" t="e">
        <f>VLOOKUP($A272,'S49'!$C:$BQ,29,0)</f>
        <v>#N/A</v>
      </c>
      <c r="AZ272" s="115" t="e">
        <f>VLOOKUP($A272,'S49'!$C:$BQ,30,0)</f>
        <v>#N/A</v>
      </c>
      <c r="BA272" s="115" t="e">
        <f>VLOOKUP($A272,'S49'!$C:$BQ,52,0)</f>
        <v>#N/A</v>
      </c>
      <c r="BB272" s="115" t="e">
        <f>VLOOKUP($A272,'S49'!$C:$BQ,59,0)</f>
        <v>#N/A</v>
      </c>
      <c r="BC272" s="115" t="e">
        <f>VLOOKUP($A272,'S49'!$C:$BQ,60,0)</f>
        <v>#N/A</v>
      </c>
      <c r="BD272" s="107" t="e">
        <f>VLOOKUP($A272,'S50'!$C:$BQ,32,0)</f>
        <v>#N/A</v>
      </c>
      <c r="BE272" s="107" t="e">
        <f>VLOOKUP($A272,'S50'!$C:$BQ,39,0)</f>
        <v>#N/A</v>
      </c>
      <c r="BF272" s="107" t="e">
        <f>VLOOKUP($A272,'S50'!$C:$BQ,40,0)</f>
        <v>#N/A</v>
      </c>
      <c r="BG272" s="107" t="e">
        <f>VLOOKUP($A272,'S50'!$C:$BQ,22,0)</f>
        <v>#N/A</v>
      </c>
      <c r="BH272" s="115" t="e">
        <f>VLOOKUP($A272,'S50'!$C:$BQ,29,0)</f>
        <v>#N/A</v>
      </c>
      <c r="BI272" s="115" t="e">
        <f>VLOOKUP($A272,'S50'!$C:$BQ,30,0)</f>
        <v>#N/A</v>
      </c>
      <c r="BJ272" s="115" t="e">
        <f>VLOOKUP($A272,'S50'!$C:$BQ,52,0)</f>
        <v>#N/A</v>
      </c>
      <c r="BK272" s="115" t="e">
        <f>VLOOKUP($A272,'S50'!$C:$BQ,59,0)</f>
        <v>#N/A</v>
      </c>
      <c r="BL272" s="115" t="e">
        <f>VLOOKUP($A272,'S50'!$C:$BQ,60,0)</f>
        <v>#N/A</v>
      </c>
    </row>
    <row r="273" spans="1:64" x14ac:dyDescent="0.2">
      <c r="A273" s="106" t="s">
        <v>348</v>
      </c>
      <c r="B273" s="107">
        <f>VLOOKUP($A273,'S0 remplacer avec S44'!$C:$BQ,32,0)</f>
        <v>99.7</v>
      </c>
      <c r="C273" s="107">
        <f>VLOOKUP($A273,'S0 remplacer avec S44'!$C:$BQ,39,0)</f>
        <v>20</v>
      </c>
      <c r="D273" s="107">
        <f>VLOOKUP($A273,'S0 remplacer avec S44'!$C:$BQ,40,0)</f>
        <v>44</v>
      </c>
      <c r="E273" s="107">
        <f>VLOOKUP($A273,'S0 remplacer avec S44'!$C:$BQ,22,0)</f>
        <v>967.82832499999995</v>
      </c>
      <c r="F273" s="115">
        <f>VLOOKUP($A273,'S0 remplacer avec S44'!$C:$BQ,29,0)</f>
        <v>121</v>
      </c>
      <c r="G273" s="115">
        <f>VLOOKUP($A273,'S0 remplacer avec S44'!$C:$BQ,30,0)</f>
        <v>338</v>
      </c>
      <c r="H273" s="115">
        <f>VLOOKUP($A273,'S0 remplacer avec S44'!$C:$BQ,52,0)</f>
        <v>82.4</v>
      </c>
      <c r="I273" s="115">
        <f>VLOOKUP($A273,'S0 remplacer avec S44'!$C:$BQ,59,0)</f>
        <v>0</v>
      </c>
      <c r="J273" s="115">
        <f>VLOOKUP($A273,'S0 remplacer avec S44'!$C:$BQ,60,0)</f>
        <v>0</v>
      </c>
      <c r="K273" s="107" t="e">
        <f>VLOOKUP($A273,'S45'!$C:$BQ,32,0)</f>
        <v>#N/A</v>
      </c>
      <c r="L273" s="107" t="e">
        <f>VLOOKUP($A273,'S45'!$C:$BQ,39,0)</f>
        <v>#N/A</v>
      </c>
      <c r="M273" s="107" t="e">
        <f>VLOOKUP($A273,'S45'!$C:$BQ,40,0)</f>
        <v>#N/A</v>
      </c>
      <c r="N273" s="107" t="e">
        <f>VLOOKUP($A273,'S45'!$C:$BQ,22,0)</f>
        <v>#N/A</v>
      </c>
      <c r="O273" s="115" t="e">
        <f>VLOOKUP($A273,'S45'!$C:$BQ,29,0)</f>
        <v>#N/A</v>
      </c>
      <c r="P273" s="115" t="e">
        <f>VLOOKUP($A273,'S45'!$C:$BQ,30,0)</f>
        <v>#N/A</v>
      </c>
      <c r="Q273" s="115" t="e">
        <f>VLOOKUP($A273,'S45'!$C:$BQ,52,0)</f>
        <v>#N/A</v>
      </c>
      <c r="R273" s="115" t="e">
        <f>VLOOKUP($A273,'S45'!$C:$BQ,59,0)</f>
        <v>#N/A</v>
      </c>
      <c r="S273" s="115" t="e">
        <f>VLOOKUP($A273,'S45'!$C:$BQ,60,0)</f>
        <v>#N/A</v>
      </c>
      <c r="T273" s="107" t="e">
        <f>VLOOKUP($A273,'S46'!$C:$BQ,32,0)</f>
        <v>#N/A</v>
      </c>
      <c r="U273" s="107" t="e">
        <f>VLOOKUP($A273,'S46'!$C:$BQ,39,0)</f>
        <v>#N/A</v>
      </c>
      <c r="V273" s="107" t="e">
        <f>VLOOKUP($A273,'S46'!$C:$BQ,40,0)</f>
        <v>#N/A</v>
      </c>
      <c r="W273" s="107" t="e">
        <f>VLOOKUP($A273,'S46'!$C:$BQ,22,0)</f>
        <v>#N/A</v>
      </c>
      <c r="X273" s="115" t="e">
        <f>VLOOKUP($A273,'S46'!$C:$BQ,29,0)</f>
        <v>#N/A</v>
      </c>
      <c r="Y273" s="115" t="e">
        <f>VLOOKUP($A273,'S46'!$C:$BQ,30,0)</f>
        <v>#N/A</v>
      </c>
      <c r="Z273" s="115" t="e">
        <f>VLOOKUP($A273,'S46'!$C:$BQ,52,0)</f>
        <v>#N/A</v>
      </c>
      <c r="AA273" s="115" t="e">
        <f>VLOOKUP($A273,'S46'!$C:$BQ,59,0)</f>
        <v>#N/A</v>
      </c>
      <c r="AB273" s="115" t="e">
        <f>VLOOKUP($A273,'S46'!$C:$BQ,60,0)</f>
        <v>#N/A</v>
      </c>
      <c r="AC273" s="107" t="e">
        <f>VLOOKUP($A273,'S47'!$C:$BQ,32,0)</f>
        <v>#N/A</v>
      </c>
      <c r="AD273" s="107" t="e">
        <f>VLOOKUP($A273,'S47'!$C:$BQ,39,0)</f>
        <v>#N/A</v>
      </c>
      <c r="AE273" s="107" t="e">
        <f>VLOOKUP($A273,'S47'!$C:$BQ,40,0)</f>
        <v>#N/A</v>
      </c>
      <c r="AF273" s="107" t="e">
        <f>VLOOKUP($A273,'S47'!$C:$BQ,22,0)</f>
        <v>#N/A</v>
      </c>
      <c r="AG273" s="115" t="e">
        <f>VLOOKUP($A273,'S47'!$C:$BQ,29,0)</f>
        <v>#N/A</v>
      </c>
      <c r="AH273" s="115" t="e">
        <f>VLOOKUP($A273,'S47'!$C:$BQ,30,0)</f>
        <v>#N/A</v>
      </c>
      <c r="AI273" s="115" t="e">
        <f>VLOOKUP($A273,'S47'!$C:$BQ,52,0)</f>
        <v>#N/A</v>
      </c>
      <c r="AJ273" s="115" t="e">
        <f>VLOOKUP($A273,'S47'!$C:$BQ,59,0)</f>
        <v>#N/A</v>
      </c>
      <c r="AK273" s="115" t="e">
        <f>VLOOKUP($A273,'S47'!$C:$BQ,60,0)</f>
        <v>#N/A</v>
      </c>
      <c r="AL273" s="107" t="e">
        <f>VLOOKUP($A273,'S48'!$C:$BQ,32,0)</f>
        <v>#N/A</v>
      </c>
      <c r="AM273" s="107" t="e">
        <f>VLOOKUP($A273,'S48'!$C:$BQ,39,0)</f>
        <v>#N/A</v>
      </c>
      <c r="AN273" s="107" t="e">
        <f>VLOOKUP($A273,'S48'!$C:$BQ,40,0)</f>
        <v>#N/A</v>
      </c>
      <c r="AO273" s="107" t="e">
        <f>VLOOKUP($A273,'S48'!$C:$BQ,22,0)</f>
        <v>#N/A</v>
      </c>
      <c r="AP273" s="115" t="e">
        <f>VLOOKUP($A273,'S48'!$C:$BQ,29,0)</f>
        <v>#N/A</v>
      </c>
      <c r="AQ273" s="115" t="e">
        <f>VLOOKUP($A273,'S48'!$C:$BQ,30,0)</f>
        <v>#N/A</v>
      </c>
      <c r="AR273" s="115" t="e">
        <f>VLOOKUP($A273,'S48'!$C:$BQ,52,0)</f>
        <v>#N/A</v>
      </c>
      <c r="AS273" s="115" t="e">
        <f>VLOOKUP($A273,'S48'!$C:$BQ,59,0)</f>
        <v>#N/A</v>
      </c>
      <c r="AT273" s="115" t="e">
        <f>VLOOKUP($A273,'S48'!$C:$BQ,60,0)</f>
        <v>#N/A</v>
      </c>
      <c r="AU273" s="107" t="e">
        <f>VLOOKUP($A273,'S49'!$C:$BQ,32,0)</f>
        <v>#N/A</v>
      </c>
      <c r="AV273" s="107" t="e">
        <f>VLOOKUP($A273,'S49'!$C:$BQ,39,0)</f>
        <v>#N/A</v>
      </c>
      <c r="AW273" s="107" t="e">
        <f>VLOOKUP($A273,'S49'!$C:$BQ,40,0)</f>
        <v>#N/A</v>
      </c>
      <c r="AX273" s="107" t="e">
        <f>VLOOKUP($A273,'S49'!$C:$BQ,22,0)</f>
        <v>#N/A</v>
      </c>
      <c r="AY273" s="115" t="e">
        <f>VLOOKUP($A273,'S49'!$C:$BQ,29,0)</f>
        <v>#N/A</v>
      </c>
      <c r="AZ273" s="115" t="e">
        <f>VLOOKUP($A273,'S49'!$C:$BQ,30,0)</f>
        <v>#N/A</v>
      </c>
      <c r="BA273" s="115" t="e">
        <f>VLOOKUP($A273,'S49'!$C:$BQ,52,0)</f>
        <v>#N/A</v>
      </c>
      <c r="BB273" s="115" t="e">
        <f>VLOOKUP($A273,'S49'!$C:$BQ,59,0)</f>
        <v>#N/A</v>
      </c>
      <c r="BC273" s="115" t="e">
        <f>VLOOKUP($A273,'S49'!$C:$BQ,60,0)</f>
        <v>#N/A</v>
      </c>
      <c r="BD273" s="107" t="e">
        <f>VLOOKUP($A273,'S50'!$C:$BQ,32,0)</f>
        <v>#N/A</v>
      </c>
      <c r="BE273" s="107" t="e">
        <f>VLOOKUP($A273,'S50'!$C:$BQ,39,0)</f>
        <v>#N/A</v>
      </c>
      <c r="BF273" s="107" t="e">
        <f>VLOOKUP($A273,'S50'!$C:$BQ,40,0)</f>
        <v>#N/A</v>
      </c>
      <c r="BG273" s="107" t="e">
        <f>VLOOKUP($A273,'S50'!$C:$BQ,22,0)</f>
        <v>#N/A</v>
      </c>
      <c r="BH273" s="115" t="e">
        <f>VLOOKUP($A273,'S50'!$C:$BQ,29,0)</f>
        <v>#N/A</v>
      </c>
      <c r="BI273" s="115" t="e">
        <f>VLOOKUP($A273,'S50'!$C:$BQ,30,0)</f>
        <v>#N/A</v>
      </c>
      <c r="BJ273" s="115" t="e">
        <f>VLOOKUP($A273,'S50'!$C:$BQ,52,0)</f>
        <v>#N/A</v>
      </c>
      <c r="BK273" s="115" t="e">
        <f>VLOOKUP($A273,'S50'!$C:$BQ,59,0)</f>
        <v>#N/A</v>
      </c>
      <c r="BL273" s="115" t="e">
        <f>VLOOKUP($A273,'S50'!$C:$BQ,60,0)</f>
        <v>#N/A</v>
      </c>
    </row>
    <row r="274" spans="1:64" x14ac:dyDescent="0.2">
      <c r="A274" s="106" t="s">
        <v>349</v>
      </c>
      <c r="B274" s="107">
        <f>VLOOKUP($A274,'S0 remplacer avec S44'!$C:$BQ,32,0)</f>
        <v>138.80000000000001</v>
      </c>
      <c r="C274" s="107">
        <f>VLOOKUP($A274,'S0 remplacer avec S44'!$C:$BQ,39,0)</f>
        <v>0</v>
      </c>
      <c r="D274" s="107">
        <f>VLOOKUP($A274,'S0 remplacer avec S44'!$C:$BQ,40,0)</f>
        <v>2</v>
      </c>
      <c r="E274" s="107">
        <f>VLOOKUP($A274,'S0 remplacer avec S44'!$C:$BQ,22,0)</f>
        <v>1735.630355</v>
      </c>
      <c r="F274" s="115">
        <f>VLOOKUP($A274,'S0 remplacer avec S44'!$C:$BQ,29,0)</f>
        <v>0</v>
      </c>
      <c r="G274" s="115">
        <f>VLOOKUP($A274,'S0 remplacer avec S44'!$C:$BQ,30,0)</f>
        <v>0</v>
      </c>
      <c r="H274" s="115">
        <f>VLOOKUP($A274,'S0 remplacer avec S44'!$C:$BQ,52,0)</f>
        <v>105.8</v>
      </c>
      <c r="I274" s="115">
        <f>VLOOKUP($A274,'S0 remplacer avec S44'!$C:$BQ,59,0)</f>
        <v>0</v>
      </c>
      <c r="J274" s="115">
        <f>VLOOKUP($A274,'S0 remplacer avec S44'!$C:$BQ,60,0)</f>
        <v>0</v>
      </c>
      <c r="K274" s="107" t="e">
        <f>VLOOKUP($A274,'S45'!$C:$BQ,32,0)</f>
        <v>#N/A</v>
      </c>
      <c r="L274" s="107" t="e">
        <f>VLOOKUP($A274,'S45'!$C:$BQ,39,0)</f>
        <v>#N/A</v>
      </c>
      <c r="M274" s="107" t="e">
        <f>VLOOKUP($A274,'S45'!$C:$BQ,40,0)</f>
        <v>#N/A</v>
      </c>
      <c r="N274" s="107" t="e">
        <f>VLOOKUP($A274,'S45'!$C:$BQ,22,0)</f>
        <v>#N/A</v>
      </c>
      <c r="O274" s="115" t="e">
        <f>VLOOKUP($A274,'S45'!$C:$BQ,29,0)</f>
        <v>#N/A</v>
      </c>
      <c r="P274" s="115" t="e">
        <f>VLOOKUP($A274,'S45'!$C:$BQ,30,0)</f>
        <v>#N/A</v>
      </c>
      <c r="Q274" s="115" t="e">
        <f>VLOOKUP($A274,'S45'!$C:$BQ,52,0)</f>
        <v>#N/A</v>
      </c>
      <c r="R274" s="115" t="e">
        <f>VLOOKUP($A274,'S45'!$C:$BQ,59,0)</f>
        <v>#N/A</v>
      </c>
      <c r="S274" s="115" t="e">
        <f>VLOOKUP($A274,'S45'!$C:$BQ,60,0)</f>
        <v>#N/A</v>
      </c>
      <c r="T274" s="107" t="e">
        <f>VLOOKUP($A274,'S46'!$C:$BQ,32,0)</f>
        <v>#N/A</v>
      </c>
      <c r="U274" s="107" t="e">
        <f>VLOOKUP($A274,'S46'!$C:$BQ,39,0)</f>
        <v>#N/A</v>
      </c>
      <c r="V274" s="107" t="e">
        <f>VLOOKUP($A274,'S46'!$C:$BQ,40,0)</f>
        <v>#N/A</v>
      </c>
      <c r="W274" s="107" t="e">
        <f>VLOOKUP($A274,'S46'!$C:$BQ,22,0)</f>
        <v>#N/A</v>
      </c>
      <c r="X274" s="115" t="e">
        <f>VLOOKUP($A274,'S46'!$C:$BQ,29,0)</f>
        <v>#N/A</v>
      </c>
      <c r="Y274" s="115" t="e">
        <f>VLOOKUP($A274,'S46'!$C:$BQ,30,0)</f>
        <v>#N/A</v>
      </c>
      <c r="Z274" s="115" t="e">
        <f>VLOOKUP($A274,'S46'!$C:$BQ,52,0)</f>
        <v>#N/A</v>
      </c>
      <c r="AA274" s="115" t="e">
        <f>VLOOKUP($A274,'S46'!$C:$BQ,59,0)</f>
        <v>#N/A</v>
      </c>
      <c r="AB274" s="115" t="e">
        <f>VLOOKUP($A274,'S46'!$C:$BQ,60,0)</f>
        <v>#N/A</v>
      </c>
      <c r="AC274" s="107" t="e">
        <f>VLOOKUP($A274,'S47'!$C:$BQ,32,0)</f>
        <v>#N/A</v>
      </c>
      <c r="AD274" s="107" t="e">
        <f>VLOOKUP($A274,'S47'!$C:$BQ,39,0)</f>
        <v>#N/A</v>
      </c>
      <c r="AE274" s="107" t="e">
        <f>VLOOKUP($A274,'S47'!$C:$BQ,40,0)</f>
        <v>#N/A</v>
      </c>
      <c r="AF274" s="107" t="e">
        <f>VLOOKUP($A274,'S47'!$C:$BQ,22,0)</f>
        <v>#N/A</v>
      </c>
      <c r="AG274" s="115" t="e">
        <f>VLOOKUP($A274,'S47'!$C:$BQ,29,0)</f>
        <v>#N/A</v>
      </c>
      <c r="AH274" s="115" t="e">
        <f>VLOOKUP($A274,'S47'!$C:$BQ,30,0)</f>
        <v>#N/A</v>
      </c>
      <c r="AI274" s="115" t="e">
        <f>VLOOKUP($A274,'S47'!$C:$BQ,52,0)</f>
        <v>#N/A</v>
      </c>
      <c r="AJ274" s="115" t="e">
        <f>VLOOKUP($A274,'S47'!$C:$BQ,59,0)</f>
        <v>#N/A</v>
      </c>
      <c r="AK274" s="115" t="e">
        <f>VLOOKUP($A274,'S47'!$C:$BQ,60,0)</f>
        <v>#N/A</v>
      </c>
      <c r="AL274" s="107" t="e">
        <f>VLOOKUP($A274,'S48'!$C:$BQ,32,0)</f>
        <v>#N/A</v>
      </c>
      <c r="AM274" s="107" t="e">
        <f>VLOOKUP($A274,'S48'!$C:$BQ,39,0)</f>
        <v>#N/A</v>
      </c>
      <c r="AN274" s="107" t="e">
        <f>VLOOKUP($A274,'S48'!$C:$BQ,40,0)</f>
        <v>#N/A</v>
      </c>
      <c r="AO274" s="107" t="e">
        <f>VLOOKUP($A274,'S48'!$C:$BQ,22,0)</f>
        <v>#N/A</v>
      </c>
      <c r="AP274" s="115" t="e">
        <f>VLOOKUP($A274,'S48'!$C:$BQ,29,0)</f>
        <v>#N/A</v>
      </c>
      <c r="AQ274" s="115" t="e">
        <f>VLOOKUP($A274,'S48'!$C:$BQ,30,0)</f>
        <v>#N/A</v>
      </c>
      <c r="AR274" s="115" t="e">
        <f>VLOOKUP($A274,'S48'!$C:$BQ,52,0)</f>
        <v>#N/A</v>
      </c>
      <c r="AS274" s="115" t="e">
        <f>VLOOKUP($A274,'S48'!$C:$BQ,59,0)</f>
        <v>#N/A</v>
      </c>
      <c r="AT274" s="115" t="e">
        <f>VLOOKUP($A274,'S48'!$C:$BQ,60,0)</f>
        <v>#N/A</v>
      </c>
      <c r="AU274" s="107" t="e">
        <f>VLOOKUP($A274,'S49'!$C:$BQ,32,0)</f>
        <v>#N/A</v>
      </c>
      <c r="AV274" s="107" t="e">
        <f>VLOOKUP($A274,'S49'!$C:$BQ,39,0)</f>
        <v>#N/A</v>
      </c>
      <c r="AW274" s="107" t="e">
        <f>VLOOKUP($A274,'S49'!$C:$BQ,40,0)</f>
        <v>#N/A</v>
      </c>
      <c r="AX274" s="107" t="e">
        <f>VLOOKUP($A274,'S49'!$C:$BQ,22,0)</f>
        <v>#N/A</v>
      </c>
      <c r="AY274" s="115" t="e">
        <f>VLOOKUP($A274,'S49'!$C:$BQ,29,0)</f>
        <v>#N/A</v>
      </c>
      <c r="AZ274" s="115" t="e">
        <f>VLOOKUP($A274,'S49'!$C:$BQ,30,0)</f>
        <v>#N/A</v>
      </c>
      <c r="BA274" s="115" t="e">
        <f>VLOOKUP($A274,'S49'!$C:$BQ,52,0)</f>
        <v>#N/A</v>
      </c>
      <c r="BB274" s="115" t="e">
        <f>VLOOKUP($A274,'S49'!$C:$BQ,59,0)</f>
        <v>#N/A</v>
      </c>
      <c r="BC274" s="115" t="e">
        <f>VLOOKUP($A274,'S49'!$C:$BQ,60,0)</f>
        <v>#N/A</v>
      </c>
      <c r="BD274" s="107" t="e">
        <f>VLOOKUP($A274,'S50'!$C:$BQ,32,0)</f>
        <v>#N/A</v>
      </c>
      <c r="BE274" s="107" t="e">
        <f>VLOOKUP($A274,'S50'!$C:$BQ,39,0)</f>
        <v>#N/A</v>
      </c>
      <c r="BF274" s="107" t="e">
        <f>VLOOKUP($A274,'S50'!$C:$BQ,40,0)</f>
        <v>#N/A</v>
      </c>
      <c r="BG274" s="107" t="e">
        <f>VLOOKUP($A274,'S50'!$C:$BQ,22,0)</f>
        <v>#N/A</v>
      </c>
      <c r="BH274" s="115" t="e">
        <f>VLOOKUP($A274,'S50'!$C:$BQ,29,0)</f>
        <v>#N/A</v>
      </c>
      <c r="BI274" s="115" t="e">
        <f>VLOOKUP($A274,'S50'!$C:$BQ,30,0)</f>
        <v>#N/A</v>
      </c>
      <c r="BJ274" s="115" t="e">
        <f>VLOOKUP($A274,'S50'!$C:$BQ,52,0)</f>
        <v>#N/A</v>
      </c>
      <c r="BK274" s="115" t="e">
        <f>VLOOKUP($A274,'S50'!$C:$BQ,59,0)</f>
        <v>#N/A</v>
      </c>
      <c r="BL274" s="115" t="e">
        <f>VLOOKUP($A274,'S50'!$C:$BQ,60,0)</f>
        <v>#N/A</v>
      </c>
    </row>
    <row r="275" spans="1:64" x14ac:dyDescent="0.2">
      <c r="A275" s="106" t="s">
        <v>350</v>
      </c>
      <c r="B275" s="107">
        <f>VLOOKUP($A275,'S0 remplacer avec S44'!$C:$BQ,32,0)</f>
        <v>154.5</v>
      </c>
      <c r="C275" s="107">
        <f>VLOOKUP($A275,'S0 remplacer avec S44'!$C:$BQ,39,0)</f>
        <v>102</v>
      </c>
      <c r="D275" s="107">
        <f>VLOOKUP($A275,'S0 remplacer avec S44'!$C:$BQ,40,0)</f>
        <v>153</v>
      </c>
      <c r="E275" s="107">
        <f>VLOOKUP($A275,'S0 remplacer avec S44'!$C:$BQ,22,0)</f>
        <v>1466.93417</v>
      </c>
      <c r="F275" s="115">
        <f>VLOOKUP($A275,'S0 remplacer avec S44'!$C:$BQ,29,0)</f>
        <v>863</v>
      </c>
      <c r="G275" s="115">
        <f>VLOOKUP($A275,'S0 remplacer avec S44'!$C:$BQ,30,0)</f>
        <v>1329</v>
      </c>
      <c r="H275" s="115">
        <f>VLOOKUP($A275,'S0 remplacer avec S44'!$C:$BQ,52,0)</f>
        <v>138.4</v>
      </c>
      <c r="I275" s="115">
        <f>VLOOKUP($A275,'S0 remplacer avec S44'!$C:$BQ,59,0)</f>
        <v>0</v>
      </c>
      <c r="J275" s="115">
        <f>VLOOKUP($A275,'S0 remplacer avec S44'!$C:$BQ,60,0)</f>
        <v>18</v>
      </c>
      <c r="K275" s="107" t="e">
        <f>VLOOKUP($A275,'S45'!$C:$BQ,32,0)</f>
        <v>#N/A</v>
      </c>
      <c r="L275" s="107" t="e">
        <f>VLOOKUP($A275,'S45'!$C:$BQ,39,0)</f>
        <v>#N/A</v>
      </c>
      <c r="M275" s="107" t="e">
        <f>VLOOKUP($A275,'S45'!$C:$BQ,40,0)</f>
        <v>#N/A</v>
      </c>
      <c r="N275" s="107" t="e">
        <f>VLOOKUP($A275,'S45'!$C:$BQ,22,0)</f>
        <v>#N/A</v>
      </c>
      <c r="O275" s="115" t="e">
        <f>VLOOKUP($A275,'S45'!$C:$BQ,29,0)</f>
        <v>#N/A</v>
      </c>
      <c r="P275" s="115" t="e">
        <f>VLOOKUP($A275,'S45'!$C:$BQ,30,0)</f>
        <v>#N/A</v>
      </c>
      <c r="Q275" s="115" t="e">
        <f>VLOOKUP($A275,'S45'!$C:$BQ,52,0)</f>
        <v>#N/A</v>
      </c>
      <c r="R275" s="115" t="e">
        <f>VLOOKUP($A275,'S45'!$C:$BQ,59,0)</f>
        <v>#N/A</v>
      </c>
      <c r="S275" s="115" t="e">
        <f>VLOOKUP($A275,'S45'!$C:$BQ,60,0)</f>
        <v>#N/A</v>
      </c>
      <c r="T275" s="107" t="e">
        <f>VLOOKUP($A275,'S46'!$C:$BQ,32,0)</f>
        <v>#N/A</v>
      </c>
      <c r="U275" s="107" t="e">
        <f>VLOOKUP($A275,'S46'!$C:$BQ,39,0)</f>
        <v>#N/A</v>
      </c>
      <c r="V275" s="107" t="e">
        <f>VLOOKUP($A275,'S46'!$C:$BQ,40,0)</f>
        <v>#N/A</v>
      </c>
      <c r="W275" s="107" t="e">
        <f>VLOOKUP($A275,'S46'!$C:$BQ,22,0)</f>
        <v>#N/A</v>
      </c>
      <c r="X275" s="115" t="e">
        <f>VLOOKUP($A275,'S46'!$C:$BQ,29,0)</f>
        <v>#N/A</v>
      </c>
      <c r="Y275" s="115" t="e">
        <f>VLOOKUP($A275,'S46'!$C:$BQ,30,0)</f>
        <v>#N/A</v>
      </c>
      <c r="Z275" s="115" t="e">
        <f>VLOOKUP($A275,'S46'!$C:$BQ,52,0)</f>
        <v>#N/A</v>
      </c>
      <c r="AA275" s="115" t="e">
        <f>VLOOKUP($A275,'S46'!$C:$BQ,59,0)</f>
        <v>#N/A</v>
      </c>
      <c r="AB275" s="115" t="e">
        <f>VLOOKUP($A275,'S46'!$C:$BQ,60,0)</f>
        <v>#N/A</v>
      </c>
      <c r="AC275" s="107" t="e">
        <f>VLOOKUP($A275,'S47'!$C:$BQ,32,0)</f>
        <v>#N/A</v>
      </c>
      <c r="AD275" s="107" t="e">
        <f>VLOOKUP($A275,'S47'!$C:$BQ,39,0)</f>
        <v>#N/A</v>
      </c>
      <c r="AE275" s="107" t="e">
        <f>VLOOKUP($A275,'S47'!$C:$BQ,40,0)</f>
        <v>#N/A</v>
      </c>
      <c r="AF275" s="107" t="e">
        <f>VLOOKUP($A275,'S47'!$C:$BQ,22,0)</f>
        <v>#N/A</v>
      </c>
      <c r="AG275" s="115" t="e">
        <f>VLOOKUP($A275,'S47'!$C:$BQ,29,0)</f>
        <v>#N/A</v>
      </c>
      <c r="AH275" s="115" t="e">
        <f>VLOOKUP($A275,'S47'!$C:$BQ,30,0)</f>
        <v>#N/A</v>
      </c>
      <c r="AI275" s="115" t="e">
        <f>VLOOKUP($A275,'S47'!$C:$BQ,52,0)</f>
        <v>#N/A</v>
      </c>
      <c r="AJ275" s="115" t="e">
        <f>VLOOKUP($A275,'S47'!$C:$BQ,59,0)</f>
        <v>#N/A</v>
      </c>
      <c r="AK275" s="115" t="e">
        <f>VLOOKUP($A275,'S47'!$C:$BQ,60,0)</f>
        <v>#N/A</v>
      </c>
      <c r="AL275" s="107" t="e">
        <f>VLOOKUP($A275,'S48'!$C:$BQ,32,0)</f>
        <v>#N/A</v>
      </c>
      <c r="AM275" s="107" t="e">
        <f>VLOOKUP($A275,'S48'!$C:$BQ,39,0)</f>
        <v>#N/A</v>
      </c>
      <c r="AN275" s="107" t="e">
        <f>VLOOKUP($A275,'S48'!$C:$BQ,40,0)</f>
        <v>#N/A</v>
      </c>
      <c r="AO275" s="107" t="e">
        <f>VLOOKUP($A275,'S48'!$C:$BQ,22,0)</f>
        <v>#N/A</v>
      </c>
      <c r="AP275" s="115" t="e">
        <f>VLOOKUP($A275,'S48'!$C:$BQ,29,0)</f>
        <v>#N/A</v>
      </c>
      <c r="AQ275" s="115" t="e">
        <f>VLOOKUP($A275,'S48'!$C:$BQ,30,0)</f>
        <v>#N/A</v>
      </c>
      <c r="AR275" s="115" t="e">
        <f>VLOOKUP($A275,'S48'!$C:$BQ,52,0)</f>
        <v>#N/A</v>
      </c>
      <c r="AS275" s="115" t="e">
        <f>VLOOKUP($A275,'S48'!$C:$BQ,59,0)</f>
        <v>#N/A</v>
      </c>
      <c r="AT275" s="115" t="e">
        <f>VLOOKUP($A275,'S48'!$C:$BQ,60,0)</f>
        <v>#N/A</v>
      </c>
      <c r="AU275" s="107" t="e">
        <f>VLOOKUP($A275,'S49'!$C:$BQ,32,0)</f>
        <v>#N/A</v>
      </c>
      <c r="AV275" s="107" t="e">
        <f>VLOOKUP($A275,'S49'!$C:$BQ,39,0)</f>
        <v>#N/A</v>
      </c>
      <c r="AW275" s="107" t="e">
        <f>VLOOKUP($A275,'S49'!$C:$BQ,40,0)</f>
        <v>#N/A</v>
      </c>
      <c r="AX275" s="107" t="e">
        <f>VLOOKUP($A275,'S49'!$C:$BQ,22,0)</f>
        <v>#N/A</v>
      </c>
      <c r="AY275" s="115" t="e">
        <f>VLOOKUP($A275,'S49'!$C:$BQ,29,0)</f>
        <v>#N/A</v>
      </c>
      <c r="AZ275" s="115" t="e">
        <f>VLOOKUP($A275,'S49'!$C:$BQ,30,0)</f>
        <v>#N/A</v>
      </c>
      <c r="BA275" s="115" t="e">
        <f>VLOOKUP($A275,'S49'!$C:$BQ,52,0)</f>
        <v>#N/A</v>
      </c>
      <c r="BB275" s="115" t="e">
        <f>VLOOKUP($A275,'S49'!$C:$BQ,59,0)</f>
        <v>#N/A</v>
      </c>
      <c r="BC275" s="115" t="e">
        <f>VLOOKUP($A275,'S49'!$C:$BQ,60,0)</f>
        <v>#N/A</v>
      </c>
      <c r="BD275" s="107" t="e">
        <f>VLOOKUP($A275,'S50'!$C:$BQ,32,0)</f>
        <v>#N/A</v>
      </c>
      <c r="BE275" s="107" t="e">
        <f>VLOOKUP($A275,'S50'!$C:$BQ,39,0)</f>
        <v>#N/A</v>
      </c>
      <c r="BF275" s="107" t="e">
        <f>VLOOKUP($A275,'S50'!$C:$BQ,40,0)</f>
        <v>#N/A</v>
      </c>
      <c r="BG275" s="107" t="e">
        <f>VLOOKUP($A275,'S50'!$C:$BQ,22,0)</f>
        <v>#N/A</v>
      </c>
      <c r="BH275" s="115" t="e">
        <f>VLOOKUP($A275,'S50'!$C:$BQ,29,0)</f>
        <v>#N/A</v>
      </c>
      <c r="BI275" s="115" t="e">
        <f>VLOOKUP($A275,'S50'!$C:$BQ,30,0)</f>
        <v>#N/A</v>
      </c>
      <c r="BJ275" s="115" t="e">
        <f>VLOOKUP($A275,'S50'!$C:$BQ,52,0)</f>
        <v>#N/A</v>
      </c>
      <c r="BK275" s="115" t="e">
        <f>VLOOKUP($A275,'S50'!$C:$BQ,59,0)</f>
        <v>#N/A</v>
      </c>
      <c r="BL275" s="115" t="e">
        <f>VLOOKUP($A275,'S50'!$C:$BQ,60,0)</f>
        <v>#N/A</v>
      </c>
    </row>
    <row r="276" spans="1:64" x14ac:dyDescent="0.2">
      <c r="A276" s="106" t="s">
        <v>351</v>
      </c>
      <c r="B276" s="107">
        <f>VLOOKUP($A276,'S0 remplacer avec S44'!$C:$BQ,32,0)</f>
        <v>150.19999999999999</v>
      </c>
      <c r="C276" s="107">
        <f>VLOOKUP($A276,'S0 remplacer avec S44'!$C:$BQ,39,0)</f>
        <v>26</v>
      </c>
      <c r="D276" s="107">
        <f>VLOOKUP($A276,'S0 remplacer avec S44'!$C:$BQ,40,0)</f>
        <v>61</v>
      </c>
      <c r="E276" s="107">
        <f>VLOOKUP($A276,'S0 remplacer avec S44'!$C:$BQ,22,0)</f>
        <v>761.92287499999998</v>
      </c>
      <c r="F276" s="115">
        <f>VLOOKUP($A276,'S0 remplacer avec S44'!$C:$BQ,29,0)</f>
        <v>834</v>
      </c>
      <c r="G276" s="115">
        <f>VLOOKUP($A276,'S0 remplacer avec S44'!$C:$BQ,30,0)</f>
        <v>1153</v>
      </c>
      <c r="H276" s="115">
        <f>VLOOKUP($A276,'S0 remplacer avec S44'!$C:$BQ,52,0)</f>
        <v>78.8</v>
      </c>
      <c r="I276" s="115">
        <f>VLOOKUP($A276,'S0 remplacer avec S44'!$C:$BQ,59,0)</f>
        <v>11</v>
      </c>
      <c r="J276" s="115">
        <f>VLOOKUP($A276,'S0 remplacer avec S44'!$C:$BQ,60,0)</f>
        <v>29</v>
      </c>
      <c r="K276" s="107" t="e">
        <f>VLOOKUP($A276,'S45'!$C:$BQ,32,0)</f>
        <v>#N/A</v>
      </c>
      <c r="L276" s="107" t="e">
        <f>VLOOKUP($A276,'S45'!$C:$BQ,39,0)</f>
        <v>#N/A</v>
      </c>
      <c r="M276" s="107" t="e">
        <f>VLOOKUP($A276,'S45'!$C:$BQ,40,0)</f>
        <v>#N/A</v>
      </c>
      <c r="N276" s="107" t="e">
        <f>VLOOKUP($A276,'S45'!$C:$BQ,22,0)</f>
        <v>#N/A</v>
      </c>
      <c r="O276" s="115" t="e">
        <f>VLOOKUP($A276,'S45'!$C:$BQ,29,0)</f>
        <v>#N/A</v>
      </c>
      <c r="P276" s="115" t="e">
        <f>VLOOKUP($A276,'S45'!$C:$BQ,30,0)</f>
        <v>#N/A</v>
      </c>
      <c r="Q276" s="115" t="e">
        <f>VLOOKUP($A276,'S45'!$C:$BQ,52,0)</f>
        <v>#N/A</v>
      </c>
      <c r="R276" s="115" t="e">
        <f>VLOOKUP($A276,'S45'!$C:$BQ,59,0)</f>
        <v>#N/A</v>
      </c>
      <c r="S276" s="115" t="e">
        <f>VLOOKUP($A276,'S45'!$C:$BQ,60,0)</f>
        <v>#N/A</v>
      </c>
      <c r="T276" s="107" t="e">
        <f>VLOOKUP($A276,'S46'!$C:$BQ,32,0)</f>
        <v>#N/A</v>
      </c>
      <c r="U276" s="107" t="e">
        <f>VLOOKUP($A276,'S46'!$C:$BQ,39,0)</f>
        <v>#N/A</v>
      </c>
      <c r="V276" s="107" t="e">
        <f>VLOOKUP($A276,'S46'!$C:$BQ,40,0)</f>
        <v>#N/A</v>
      </c>
      <c r="W276" s="107" t="e">
        <f>VLOOKUP($A276,'S46'!$C:$BQ,22,0)</f>
        <v>#N/A</v>
      </c>
      <c r="X276" s="115" t="e">
        <f>VLOOKUP($A276,'S46'!$C:$BQ,29,0)</f>
        <v>#N/A</v>
      </c>
      <c r="Y276" s="115" t="e">
        <f>VLOOKUP($A276,'S46'!$C:$BQ,30,0)</f>
        <v>#N/A</v>
      </c>
      <c r="Z276" s="115" t="e">
        <f>VLOOKUP($A276,'S46'!$C:$BQ,52,0)</f>
        <v>#N/A</v>
      </c>
      <c r="AA276" s="115" t="e">
        <f>VLOOKUP($A276,'S46'!$C:$BQ,59,0)</f>
        <v>#N/A</v>
      </c>
      <c r="AB276" s="115" t="e">
        <f>VLOOKUP($A276,'S46'!$C:$BQ,60,0)</f>
        <v>#N/A</v>
      </c>
      <c r="AC276" s="107" t="e">
        <f>VLOOKUP($A276,'S47'!$C:$BQ,32,0)</f>
        <v>#N/A</v>
      </c>
      <c r="AD276" s="107" t="e">
        <f>VLOOKUP($A276,'S47'!$C:$BQ,39,0)</f>
        <v>#N/A</v>
      </c>
      <c r="AE276" s="107" t="e">
        <f>VLOOKUP($A276,'S47'!$C:$BQ,40,0)</f>
        <v>#N/A</v>
      </c>
      <c r="AF276" s="107" t="e">
        <f>VLOOKUP($A276,'S47'!$C:$BQ,22,0)</f>
        <v>#N/A</v>
      </c>
      <c r="AG276" s="115" t="e">
        <f>VLOOKUP($A276,'S47'!$C:$BQ,29,0)</f>
        <v>#N/A</v>
      </c>
      <c r="AH276" s="115" t="e">
        <f>VLOOKUP($A276,'S47'!$C:$BQ,30,0)</f>
        <v>#N/A</v>
      </c>
      <c r="AI276" s="115" t="e">
        <f>VLOOKUP($A276,'S47'!$C:$BQ,52,0)</f>
        <v>#N/A</v>
      </c>
      <c r="AJ276" s="115" t="e">
        <f>VLOOKUP($A276,'S47'!$C:$BQ,59,0)</f>
        <v>#N/A</v>
      </c>
      <c r="AK276" s="115" t="e">
        <f>VLOOKUP($A276,'S47'!$C:$BQ,60,0)</f>
        <v>#N/A</v>
      </c>
      <c r="AL276" s="107" t="e">
        <f>VLOOKUP($A276,'S48'!$C:$BQ,32,0)</f>
        <v>#N/A</v>
      </c>
      <c r="AM276" s="107" t="e">
        <f>VLOOKUP($A276,'S48'!$C:$BQ,39,0)</f>
        <v>#N/A</v>
      </c>
      <c r="AN276" s="107" t="e">
        <f>VLOOKUP($A276,'S48'!$C:$BQ,40,0)</f>
        <v>#N/A</v>
      </c>
      <c r="AO276" s="107" t="e">
        <f>VLOOKUP($A276,'S48'!$C:$BQ,22,0)</f>
        <v>#N/A</v>
      </c>
      <c r="AP276" s="115" t="e">
        <f>VLOOKUP($A276,'S48'!$C:$BQ,29,0)</f>
        <v>#N/A</v>
      </c>
      <c r="AQ276" s="115" t="e">
        <f>VLOOKUP($A276,'S48'!$C:$BQ,30,0)</f>
        <v>#N/A</v>
      </c>
      <c r="AR276" s="115" t="e">
        <f>VLOOKUP($A276,'S48'!$C:$BQ,52,0)</f>
        <v>#N/A</v>
      </c>
      <c r="AS276" s="115" t="e">
        <f>VLOOKUP($A276,'S48'!$C:$BQ,59,0)</f>
        <v>#N/A</v>
      </c>
      <c r="AT276" s="115" t="e">
        <f>VLOOKUP($A276,'S48'!$C:$BQ,60,0)</f>
        <v>#N/A</v>
      </c>
      <c r="AU276" s="107" t="e">
        <f>VLOOKUP($A276,'S49'!$C:$BQ,32,0)</f>
        <v>#N/A</v>
      </c>
      <c r="AV276" s="107" t="e">
        <f>VLOOKUP($A276,'S49'!$C:$BQ,39,0)</f>
        <v>#N/A</v>
      </c>
      <c r="AW276" s="107" t="e">
        <f>VLOOKUP($A276,'S49'!$C:$BQ,40,0)</f>
        <v>#N/A</v>
      </c>
      <c r="AX276" s="107" t="e">
        <f>VLOOKUP($A276,'S49'!$C:$BQ,22,0)</f>
        <v>#N/A</v>
      </c>
      <c r="AY276" s="115" t="e">
        <f>VLOOKUP($A276,'S49'!$C:$BQ,29,0)</f>
        <v>#N/A</v>
      </c>
      <c r="AZ276" s="115" t="e">
        <f>VLOOKUP($A276,'S49'!$C:$BQ,30,0)</f>
        <v>#N/A</v>
      </c>
      <c r="BA276" s="115" t="e">
        <f>VLOOKUP($A276,'S49'!$C:$BQ,52,0)</f>
        <v>#N/A</v>
      </c>
      <c r="BB276" s="115" t="e">
        <f>VLOOKUP($A276,'S49'!$C:$BQ,59,0)</f>
        <v>#N/A</v>
      </c>
      <c r="BC276" s="115" t="e">
        <f>VLOOKUP($A276,'S49'!$C:$BQ,60,0)</f>
        <v>#N/A</v>
      </c>
      <c r="BD276" s="107" t="e">
        <f>VLOOKUP($A276,'S50'!$C:$BQ,32,0)</f>
        <v>#N/A</v>
      </c>
      <c r="BE276" s="107" t="e">
        <f>VLOOKUP($A276,'S50'!$C:$BQ,39,0)</f>
        <v>#N/A</v>
      </c>
      <c r="BF276" s="107" t="e">
        <f>VLOOKUP($A276,'S50'!$C:$BQ,40,0)</f>
        <v>#N/A</v>
      </c>
      <c r="BG276" s="107" t="e">
        <f>VLOOKUP($A276,'S50'!$C:$BQ,22,0)</f>
        <v>#N/A</v>
      </c>
      <c r="BH276" s="115" t="e">
        <f>VLOOKUP($A276,'S50'!$C:$BQ,29,0)</f>
        <v>#N/A</v>
      </c>
      <c r="BI276" s="115" t="e">
        <f>VLOOKUP($A276,'S50'!$C:$BQ,30,0)</f>
        <v>#N/A</v>
      </c>
      <c r="BJ276" s="115" t="e">
        <f>VLOOKUP($A276,'S50'!$C:$BQ,52,0)</f>
        <v>#N/A</v>
      </c>
      <c r="BK276" s="115" t="e">
        <f>VLOOKUP($A276,'S50'!$C:$BQ,59,0)</f>
        <v>#N/A</v>
      </c>
      <c r="BL276" s="115" t="e">
        <f>VLOOKUP($A276,'S50'!$C:$BQ,60,0)</f>
        <v>#N/A</v>
      </c>
    </row>
    <row r="277" spans="1:64" x14ac:dyDescent="0.2">
      <c r="A277" s="106" t="s">
        <v>352</v>
      </c>
      <c r="B277" s="107">
        <f>VLOOKUP($A277,'S0 remplacer avec S44'!$C:$BQ,32,0)</f>
        <v>235.7</v>
      </c>
      <c r="C277" s="107">
        <f>VLOOKUP($A277,'S0 remplacer avec S44'!$C:$BQ,39,0)</f>
        <v>55</v>
      </c>
      <c r="D277" s="107">
        <f>VLOOKUP($A277,'S0 remplacer avec S44'!$C:$BQ,40,0)</f>
        <v>113</v>
      </c>
      <c r="E277" s="107">
        <f>VLOOKUP($A277,'S0 remplacer avec S44'!$C:$BQ,22,0)</f>
        <v>1691.0319</v>
      </c>
      <c r="F277" s="115">
        <f>VLOOKUP($A277,'S0 remplacer avec S44'!$C:$BQ,29,0)</f>
        <v>951</v>
      </c>
      <c r="G277" s="115">
        <f>VLOOKUP($A277,'S0 remplacer avec S44'!$C:$BQ,30,0)</f>
        <v>1479</v>
      </c>
      <c r="H277" s="115">
        <f>VLOOKUP($A277,'S0 remplacer avec S44'!$C:$BQ,52,0)</f>
        <v>117.2</v>
      </c>
      <c r="I277" s="115">
        <f>VLOOKUP($A277,'S0 remplacer avec S44'!$C:$BQ,59,0)</f>
        <v>31</v>
      </c>
      <c r="J277" s="115">
        <f>VLOOKUP($A277,'S0 remplacer avec S44'!$C:$BQ,60,0)</f>
        <v>60</v>
      </c>
      <c r="K277" s="107" t="e">
        <f>VLOOKUP($A277,'S45'!$C:$BQ,32,0)</f>
        <v>#N/A</v>
      </c>
      <c r="L277" s="107" t="e">
        <f>VLOOKUP($A277,'S45'!$C:$BQ,39,0)</f>
        <v>#N/A</v>
      </c>
      <c r="M277" s="107" t="e">
        <f>VLOOKUP($A277,'S45'!$C:$BQ,40,0)</f>
        <v>#N/A</v>
      </c>
      <c r="N277" s="107" t="e">
        <f>VLOOKUP($A277,'S45'!$C:$BQ,22,0)</f>
        <v>#N/A</v>
      </c>
      <c r="O277" s="115" t="e">
        <f>VLOOKUP($A277,'S45'!$C:$BQ,29,0)</f>
        <v>#N/A</v>
      </c>
      <c r="P277" s="115" t="e">
        <f>VLOOKUP($A277,'S45'!$C:$BQ,30,0)</f>
        <v>#N/A</v>
      </c>
      <c r="Q277" s="115" t="e">
        <f>VLOOKUP($A277,'S45'!$C:$BQ,52,0)</f>
        <v>#N/A</v>
      </c>
      <c r="R277" s="115" t="e">
        <f>VLOOKUP($A277,'S45'!$C:$BQ,59,0)</f>
        <v>#N/A</v>
      </c>
      <c r="S277" s="115" t="e">
        <f>VLOOKUP($A277,'S45'!$C:$BQ,60,0)</f>
        <v>#N/A</v>
      </c>
      <c r="T277" s="107" t="e">
        <f>VLOOKUP($A277,'S46'!$C:$BQ,32,0)</f>
        <v>#N/A</v>
      </c>
      <c r="U277" s="107" t="e">
        <f>VLOOKUP($A277,'S46'!$C:$BQ,39,0)</f>
        <v>#N/A</v>
      </c>
      <c r="V277" s="107" t="e">
        <f>VLOOKUP($A277,'S46'!$C:$BQ,40,0)</f>
        <v>#N/A</v>
      </c>
      <c r="W277" s="107" t="e">
        <f>VLOOKUP($A277,'S46'!$C:$BQ,22,0)</f>
        <v>#N/A</v>
      </c>
      <c r="X277" s="115" t="e">
        <f>VLOOKUP($A277,'S46'!$C:$BQ,29,0)</f>
        <v>#N/A</v>
      </c>
      <c r="Y277" s="115" t="e">
        <f>VLOOKUP($A277,'S46'!$C:$BQ,30,0)</f>
        <v>#N/A</v>
      </c>
      <c r="Z277" s="115" t="e">
        <f>VLOOKUP($A277,'S46'!$C:$BQ,52,0)</f>
        <v>#N/A</v>
      </c>
      <c r="AA277" s="115" t="e">
        <f>VLOOKUP($A277,'S46'!$C:$BQ,59,0)</f>
        <v>#N/A</v>
      </c>
      <c r="AB277" s="115" t="e">
        <f>VLOOKUP($A277,'S46'!$C:$BQ,60,0)</f>
        <v>#N/A</v>
      </c>
      <c r="AC277" s="107" t="e">
        <f>VLOOKUP($A277,'S47'!$C:$BQ,32,0)</f>
        <v>#N/A</v>
      </c>
      <c r="AD277" s="107" t="e">
        <f>VLOOKUP($A277,'S47'!$C:$BQ,39,0)</f>
        <v>#N/A</v>
      </c>
      <c r="AE277" s="107" t="e">
        <f>VLOOKUP($A277,'S47'!$C:$BQ,40,0)</f>
        <v>#N/A</v>
      </c>
      <c r="AF277" s="107" t="e">
        <f>VLOOKUP($A277,'S47'!$C:$BQ,22,0)</f>
        <v>#N/A</v>
      </c>
      <c r="AG277" s="115" t="e">
        <f>VLOOKUP($A277,'S47'!$C:$BQ,29,0)</f>
        <v>#N/A</v>
      </c>
      <c r="AH277" s="115" t="e">
        <f>VLOOKUP($A277,'S47'!$C:$BQ,30,0)</f>
        <v>#N/A</v>
      </c>
      <c r="AI277" s="115" t="e">
        <f>VLOOKUP($A277,'S47'!$C:$BQ,52,0)</f>
        <v>#N/A</v>
      </c>
      <c r="AJ277" s="115" t="e">
        <f>VLOOKUP($A277,'S47'!$C:$BQ,59,0)</f>
        <v>#N/A</v>
      </c>
      <c r="AK277" s="115" t="e">
        <f>VLOOKUP($A277,'S47'!$C:$BQ,60,0)</f>
        <v>#N/A</v>
      </c>
      <c r="AL277" s="107" t="e">
        <f>VLOOKUP($A277,'S48'!$C:$BQ,32,0)</f>
        <v>#N/A</v>
      </c>
      <c r="AM277" s="107" t="e">
        <f>VLOOKUP($A277,'S48'!$C:$BQ,39,0)</f>
        <v>#N/A</v>
      </c>
      <c r="AN277" s="107" t="e">
        <f>VLOOKUP($A277,'S48'!$C:$BQ,40,0)</f>
        <v>#N/A</v>
      </c>
      <c r="AO277" s="107" t="e">
        <f>VLOOKUP($A277,'S48'!$C:$BQ,22,0)</f>
        <v>#N/A</v>
      </c>
      <c r="AP277" s="115" t="e">
        <f>VLOOKUP($A277,'S48'!$C:$BQ,29,0)</f>
        <v>#N/A</v>
      </c>
      <c r="AQ277" s="115" t="e">
        <f>VLOOKUP($A277,'S48'!$C:$BQ,30,0)</f>
        <v>#N/A</v>
      </c>
      <c r="AR277" s="115" t="e">
        <f>VLOOKUP($A277,'S48'!$C:$BQ,52,0)</f>
        <v>#N/A</v>
      </c>
      <c r="AS277" s="115" t="e">
        <f>VLOOKUP($A277,'S48'!$C:$BQ,59,0)</f>
        <v>#N/A</v>
      </c>
      <c r="AT277" s="115" t="e">
        <f>VLOOKUP($A277,'S48'!$C:$BQ,60,0)</f>
        <v>#N/A</v>
      </c>
      <c r="AU277" s="107" t="e">
        <f>VLOOKUP($A277,'S49'!$C:$BQ,32,0)</f>
        <v>#N/A</v>
      </c>
      <c r="AV277" s="107" t="e">
        <f>VLOOKUP($A277,'S49'!$C:$BQ,39,0)</f>
        <v>#N/A</v>
      </c>
      <c r="AW277" s="107" t="e">
        <f>VLOOKUP($A277,'S49'!$C:$BQ,40,0)</f>
        <v>#N/A</v>
      </c>
      <c r="AX277" s="107" t="e">
        <f>VLOOKUP($A277,'S49'!$C:$BQ,22,0)</f>
        <v>#N/A</v>
      </c>
      <c r="AY277" s="115" t="e">
        <f>VLOOKUP($A277,'S49'!$C:$BQ,29,0)</f>
        <v>#N/A</v>
      </c>
      <c r="AZ277" s="115" t="e">
        <f>VLOOKUP($A277,'S49'!$C:$BQ,30,0)</f>
        <v>#N/A</v>
      </c>
      <c r="BA277" s="115" t="e">
        <f>VLOOKUP($A277,'S49'!$C:$BQ,52,0)</f>
        <v>#N/A</v>
      </c>
      <c r="BB277" s="115" t="e">
        <f>VLOOKUP($A277,'S49'!$C:$BQ,59,0)</f>
        <v>#N/A</v>
      </c>
      <c r="BC277" s="115" t="e">
        <f>VLOOKUP($A277,'S49'!$C:$BQ,60,0)</f>
        <v>#N/A</v>
      </c>
      <c r="BD277" s="107" t="e">
        <f>VLOOKUP($A277,'S50'!$C:$BQ,32,0)</f>
        <v>#N/A</v>
      </c>
      <c r="BE277" s="107" t="e">
        <f>VLOOKUP($A277,'S50'!$C:$BQ,39,0)</f>
        <v>#N/A</v>
      </c>
      <c r="BF277" s="107" t="e">
        <f>VLOOKUP($A277,'S50'!$C:$BQ,40,0)</f>
        <v>#N/A</v>
      </c>
      <c r="BG277" s="107" t="e">
        <f>VLOOKUP($A277,'S50'!$C:$BQ,22,0)</f>
        <v>#N/A</v>
      </c>
      <c r="BH277" s="115" t="e">
        <f>VLOOKUP($A277,'S50'!$C:$BQ,29,0)</f>
        <v>#N/A</v>
      </c>
      <c r="BI277" s="115" t="e">
        <f>VLOOKUP($A277,'S50'!$C:$BQ,30,0)</f>
        <v>#N/A</v>
      </c>
      <c r="BJ277" s="115" t="e">
        <f>VLOOKUP($A277,'S50'!$C:$BQ,52,0)</f>
        <v>#N/A</v>
      </c>
      <c r="BK277" s="115" t="e">
        <f>VLOOKUP($A277,'S50'!$C:$BQ,59,0)</f>
        <v>#N/A</v>
      </c>
      <c r="BL277" s="115" t="e">
        <f>VLOOKUP($A277,'S50'!$C:$BQ,60,0)</f>
        <v>#N/A</v>
      </c>
    </row>
    <row r="278" spans="1:64" x14ac:dyDescent="0.2">
      <c r="A278" s="106" t="s">
        <v>353</v>
      </c>
      <c r="B278" s="107">
        <f>VLOOKUP($A278,'S0 remplacer avec S44'!$C:$BQ,32,0)</f>
        <v>167.45</v>
      </c>
      <c r="C278" s="107">
        <f>VLOOKUP($A278,'S0 remplacer avec S44'!$C:$BQ,39,0)</f>
        <v>124</v>
      </c>
      <c r="D278" s="107">
        <f>VLOOKUP($A278,'S0 remplacer avec S44'!$C:$BQ,40,0)</f>
        <v>182</v>
      </c>
      <c r="E278" s="107">
        <f>VLOOKUP($A278,'S0 remplacer avec S44'!$C:$BQ,22,0)</f>
        <v>2472.6652250000002</v>
      </c>
      <c r="F278" s="115">
        <f>VLOOKUP($A278,'S0 remplacer avec S44'!$C:$BQ,29,0)</f>
        <v>173</v>
      </c>
      <c r="G278" s="115">
        <f>VLOOKUP($A278,'S0 remplacer avec S44'!$C:$BQ,30,0)</f>
        <v>702</v>
      </c>
      <c r="H278" s="115">
        <f>VLOOKUP($A278,'S0 remplacer avec S44'!$C:$BQ,52,0)</f>
        <v>148.19999999999999</v>
      </c>
      <c r="I278" s="115">
        <f>VLOOKUP($A278,'S0 remplacer avec S44'!$C:$BQ,59,0)</f>
        <v>0</v>
      </c>
      <c r="J278" s="115">
        <f>VLOOKUP($A278,'S0 remplacer avec S44'!$C:$BQ,60,0)</f>
        <v>30</v>
      </c>
      <c r="K278" s="107" t="e">
        <f>VLOOKUP($A278,'S45'!$C:$BQ,32,0)</f>
        <v>#N/A</v>
      </c>
      <c r="L278" s="107" t="e">
        <f>VLOOKUP($A278,'S45'!$C:$BQ,39,0)</f>
        <v>#N/A</v>
      </c>
      <c r="M278" s="107" t="e">
        <f>VLOOKUP($A278,'S45'!$C:$BQ,40,0)</f>
        <v>#N/A</v>
      </c>
      <c r="N278" s="107" t="e">
        <f>VLOOKUP($A278,'S45'!$C:$BQ,22,0)</f>
        <v>#N/A</v>
      </c>
      <c r="O278" s="115" t="e">
        <f>VLOOKUP($A278,'S45'!$C:$BQ,29,0)</f>
        <v>#N/A</v>
      </c>
      <c r="P278" s="115" t="e">
        <f>VLOOKUP($A278,'S45'!$C:$BQ,30,0)</f>
        <v>#N/A</v>
      </c>
      <c r="Q278" s="115" t="e">
        <f>VLOOKUP($A278,'S45'!$C:$BQ,52,0)</f>
        <v>#N/A</v>
      </c>
      <c r="R278" s="115" t="e">
        <f>VLOOKUP($A278,'S45'!$C:$BQ,59,0)</f>
        <v>#N/A</v>
      </c>
      <c r="S278" s="115" t="e">
        <f>VLOOKUP($A278,'S45'!$C:$BQ,60,0)</f>
        <v>#N/A</v>
      </c>
      <c r="T278" s="107" t="e">
        <f>VLOOKUP($A278,'S46'!$C:$BQ,32,0)</f>
        <v>#N/A</v>
      </c>
      <c r="U278" s="107" t="e">
        <f>VLOOKUP($A278,'S46'!$C:$BQ,39,0)</f>
        <v>#N/A</v>
      </c>
      <c r="V278" s="107" t="e">
        <f>VLOOKUP($A278,'S46'!$C:$BQ,40,0)</f>
        <v>#N/A</v>
      </c>
      <c r="W278" s="107" t="e">
        <f>VLOOKUP($A278,'S46'!$C:$BQ,22,0)</f>
        <v>#N/A</v>
      </c>
      <c r="X278" s="115" t="e">
        <f>VLOOKUP($A278,'S46'!$C:$BQ,29,0)</f>
        <v>#N/A</v>
      </c>
      <c r="Y278" s="115" t="e">
        <f>VLOOKUP($A278,'S46'!$C:$BQ,30,0)</f>
        <v>#N/A</v>
      </c>
      <c r="Z278" s="115" t="e">
        <f>VLOOKUP($A278,'S46'!$C:$BQ,52,0)</f>
        <v>#N/A</v>
      </c>
      <c r="AA278" s="115" t="e">
        <f>VLOOKUP($A278,'S46'!$C:$BQ,59,0)</f>
        <v>#N/A</v>
      </c>
      <c r="AB278" s="115" t="e">
        <f>VLOOKUP($A278,'S46'!$C:$BQ,60,0)</f>
        <v>#N/A</v>
      </c>
      <c r="AC278" s="107" t="e">
        <f>VLOOKUP($A278,'S47'!$C:$BQ,32,0)</f>
        <v>#N/A</v>
      </c>
      <c r="AD278" s="107" t="e">
        <f>VLOOKUP($A278,'S47'!$C:$BQ,39,0)</f>
        <v>#N/A</v>
      </c>
      <c r="AE278" s="107" t="e">
        <f>VLOOKUP($A278,'S47'!$C:$BQ,40,0)</f>
        <v>#N/A</v>
      </c>
      <c r="AF278" s="107" t="e">
        <f>VLOOKUP($A278,'S47'!$C:$BQ,22,0)</f>
        <v>#N/A</v>
      </c>
      <c r="AG278" s="115" t="e">
        <f>VLOOKUP($A278,'S47'!$C:$BQ,29,0)</f>
        <v>#N/A</v>
      </c>
      <c r="AH278" s="115" t="e">
        <f>VLOOKUP($A278,'S47'!$C:$BQ,30,0)</f>
        <v>#N/A</v>
      </c>
      <c r="AI278" s="115" t="e">
        <f>VLOOKUP($A278,'S47'!$C:$BQ,52,0)</f>
        <v>#N/A</v>
      </c>
      <c r="AJ278" s="115" t="e">
        <f>VLOOKUP($A278,'S47'!$C:$BQ,59,0)</f>
        <v>#N/A</v>
      </c>
      <c r="AK278" s="115" t="e">
        <f>VLOOKUP($A278,'S47'!$C:$BQ,60,0)</f>
        <v>#N/A</v>
      </c>
      <c r="AL278" s="107" t="e">
        <f>VLOOKUP($A278,'S48'!$C:$BQ,32,0)</f>
        <v>#N/A</v>
      </c>
      <c r="AM278" s="107" t="e">
        <f>VLOOKUP($A278,'S48'!$C:$BQ,39,0)</f>
        <v>#N/A</v>
      </c>
      <c r="AN278" s="107" t="e">
        <f>VLOOKUP($A278,'S48'!$C:$BQ,40,0)</f>
        <v>#N/A</v>
      </c>
      <c r="AO278" s="107" t="e">
        <f>VLOOKUP($A278,'S48'!$C:$BQ,22,0)</f>
        <v>#N/A</v>
      </c>
      <c r="AP278" s="115" t="e">
        <f>VLOOKUP($A278,'S48'!$C:$BQ,29,0)</f>
        <v>#N/A</v>
      </c>
      <c r="AQ278" s="115" t="e">
        <f>VLOOKUP($A278,'S48'!$C:$BQ,30,0)</f>
        <v>#N/A</v>
      </c>
      <c r="AR278" s="115" t="e">
        <f>VLOOKUP($A278,'S48'!$C:$BQ,52,0)</f>
        <v>#N/A</v>
      </c>
      <c r="AS278" s="115" t="e">
        <f>VLOOKUP($A278,'S48'!$C:$BQ,59,0)</f>
        <v>#N/A</v>
      </c>
      <c r="AT278" s="115" t="e">
        <f>VLOOKUP($A278,'S48'!$C:$BQ,60,0)</f>
        <v>#N/A</v>
      </c>
      <c r="AU278" s="107" t="e">
        <f>VLOOKUP($A278,'S49'!$C:$BQ,32,0)</f>
        <v>#N/A</v>
      </c>
      <c r="AV278" s="107" t="e">
        <f>VLOOKUP($A278,'S49'!$C:$BQ,39,0)</f>
        <v>#N/A</v>
      </c>
      <c r="AW278" s="107" t="e">
        <f>VLOOKUP($A278,'S49'!$C:$BQ,40,0)</f>
        <v>#N/A</v>
      </c>
      <c r="AX278" s="107" t="e">
        <f>VLOOKUP($A278,'S49'!$C:$BQ,22,0)</f>
        <v>#N/A</v>
      </c>
      <c r="AY278" s="115" t="e">
        <f>VLOOKUP($A278,'S49'!$C:$BQ,29,0)</f>
        <v>#N/A</v>
      </c>
      <c r="AZ278" s="115" t="e">
        <f>VLOOKUP($A278,'S49'!$C:$BQ,30,0)</f>
        <v>#N/A</v>
      </c>
      <c r="BA278" s="115" t="e">
        <f>VLOOKUP($A278,'S49'!$C:$BQ,52,0)</f>
        <v>#N/A</v>
      </c>
      <c r="BB278" s="115" t="e">
        <f>VLOOKUP($A278,'S49'!$C:$BQ,59,0)</f>
        <v>#N/A</v>
      </c>
      <c r="BC278" s="115" t="e">
        <f>VLOOKUP($A278,'S49'!$C:$BQ,60,0)</f>
        <v>#N/A</v>
      </c>
      <c r="BD278" s="107" t="e">
        <f>VLOOKUP($A278,'S50'!$C:$BQ,32,0)</f>
        <v>#N/A</v>
      </c>
      <c r="BE278" s="107" t="e">
        <f>VLOOKUP($A278,'S50'!$C:$BQ,39,0)</f>
        <v>#N/A</v>
      </c>
      <c r="BF278" s="107" t="e">
        <f>VLOOKUP($A278,'S50'!$C:$BQ,40,0)</f>
        <v>#N/A</v>
      </c>
      <c r="BG278" s="107" t="e">
        <f>VLOOKUP($A278,'S50'!$C:$BQ,22,0)</f>
        <v>#N/A</v>
      </c>
      <c r="BH278" s="115" t="e">
        <f>VLOOKUP($A278,'S50'!$C:$BQ,29,0)</f>
        <v>#N/A</v>
      </c>
      <c r="BI278" s="115" t="e">
        <f>VLOOKUP($A278,'S50'!$C:$BQ,30,0)</f>
        <v>#N/A</v>
      </c>
      <c r="BJ278" s="115" t="e">
        <f>VLOOKUP($A278,'S50'!$C:$BQ,52,0)</f>
        <v>#N/A</v>
      </c>
      <c r="BK278" s="115" t="e">
        <f>VLOOKUP($A278,'S50'!$C:$BQ,59,0)</f>
        <v>#N/A</v>
      </c>
      <c r="BL278" s="115" t="e">
        <f>VLOOKUP($A278,'S50'!$C:$BQ,60,0)</f>
        <v>#N/A</v>
      </c>
    </row>
    <row r="279" spans="1:64" x14ac:dyDescent="0.2">
      <c r="A279" s="106" t="s">
        <v>354</v>
      </c>
      <c r="B279" s="107">
        <f>VLOOKUP($A279,'S0 remplacer avec S44'!$C:$BQ,32,0)</f>
        <v>240.4</v>
      </c>
      <c r="C279" s="107">
        <f>VLOOKUP($A279,'S0 remplacer avec S44'!$C:$BQ,39,0)</f>
        <v>163</v>
      </c>
      <c r="D279" s="107">
        <f>VLOOKUP($A279,'S0 remplacer avec S44'!$C:$BQ,40,0)</f>
        <v>244</v>
      </c>
      <c r="E279" s="107">
        <f>VLOOKUP($A279,'S0 remplacer avec S44'!$C:$BQ,22,0)</f>
        <v>2489.0162500000001</v>
      </c>
      <c r="F279" s="115">
        <f>VLOOKUP($A279,'S0 remplacer avec S44'!$C:$BQ,29,0)</f>
        <v>1178</v>
      </c>
      <c r="G279" s="115">
        <f>VLOOKUP($A279,'S0 remplacer avec S44'!$C:$BQ,30,0)</f>
        <v>1911</v>
      </c>
      <c r="H279" s="115">
        <f>VLOOKUP($A279,'S0 remplacer avec S44'!$C:$BQ,52,0)</f>
        <v>230.8</v>
      </c>
      <c r="I279" s="115">
        <f>VLOOKUP($A279,'S0 remplacer avec S44'!$C:$BQ,59,0)</f>
        <v>0</v>
      </c>
      <c r="J279" s="115">
        <f>VLOOKUP($A279,'S0 remplacer avec S44'!$C:$BQ,60,0)</f>
        <v>15</v>
      </c>
      <c r="K279" s="107" t="e">
        <f>VLOOKUP($A279,'S45'!$C:$BQ,32,0)</f>
        <v>#N/A</v>
      </c>
      <c r="L279" s="107" t="e">
        <f>VLOOKUP($A279,'S45'!$C:$BQ,39,0)</f>
        <v>#N/A</v>
      </c>
      <c r="M279" s="107" t="e">
        <f>VLOOKUP($A279,'S45'!$C:$BQ,40,0)</f>
        <v>#N/A</v>
      </c>
      <c r="N279" s="107" t="e">
        <f>VLOOKUP($A279,'S45'!$C:$BQ,22,0)</f>
        <v>#N/A</v>
      </c>
      <c r="O279" s="115" t="e">
        <f>VLOOKUP($A279,'S45'!$C:$BQ,29,0)</f>
        <v>#N/A</v>
      </c>
      <c r="P279" s="115" t="e">
        <f>VLOOKUP($A279,'S45'!$C:$BQ,30,0)</f>
        <v>#N/A</v>
      </c>
      <c r="Q279" s="115" t="e">
        <f>VLOOKUP($A279,'S45'!$C:$BQ,52,0)</f>
        <v>#N/A</v>
      </c>
      <c r="R279" s="115" t="e">
        <f>VLOOKUP($A279,'S45'!$C:$BQ,59,0)</f>
        <v>#N/A</v>
      </c>
      <c r="S279" s="115" t="e">
        <f>VLOOKUP($A279,'S45'!$C:$BQ,60,0)</f>
        <v>#N/A</v>
      </c>
      <c r="T279" s="107" t="e">
        <f>VLOOKUP($A279,'S46'!$C:$BQ,32,0)</f>
        <v>#N/A</v>
      </c>
      <c r="U279" s="107" t="e">
        <f>VLOOKUP($A279,'S46'!$C:$BQ,39,0)</f>
        <v>#N/A</v>
      </c>
      <c r="V279" s="107" t="e">
        <f>VLOOKUP($A279,'S46'!$C:$BQ,40,0)</f>
        <v>#N/A</v>
      </c>
      <c r="W279" s="107" t="e">
        <f>VLOOKUP($A279,'S46'!$C:$BQ,22,0)</f>
        <v>#N/A</v>
      </c>
      <c r="X279" s="115" t="e">
        <f>VLOOKUP($A279,'S46'!$C:$BQ,29,0)</f>
        <v>#N/A</v>
      </c>
      <c r="Y279" s="115" t="e">
        <f>VLOOKUP($A279,'S46'!$C:$BQ,30,0)</f>
        <v>#N/A</v>
      </c>
      <c r="Z279" s="115" t="e">
        <f>VLOOKUP($A279,'S46'!$C:$BQ,52,0)</f>
        <v>#N/A</v>
      </c>
      <c r="AA279" s="115" t="e">
        <f>VLOOKUP($A279,'S46'!$C:$BQ,59,0)</f>
        <v>#N/A</v>
      </c>
      <c r="AB279" s="115" t="e">
        <f>VLOOKUP($A279,'S46'!$C:$BQ,60,0)</f>
        <v>#N/A</v>
      </c>
      <c r="AC279" s="107" t="e">
        <f>VLOOKUP($A279,'S47'!$C:$BQ,32,0)</f>
        <v>#N/A</v>
      </c>
      <c r="AD279" s="107" t="e">
        <f>VLOOKUP($A279,'S47'!$C:$BQ,39,0)</f>
        <v>#N/A</v>
      </c>
      <c r="AE279" s="107" t="e">
        <f>VLOOKUP($A279,'S47'!$C:$BQ,40,0)</f>
        <v>#N/A</v>
      </c>
      <c r="AF279" s="107" t="e">
        <f>VLOOKUP($A279,'S47'!$C:$BQ,22,0)</f>
        <v>#N/A</v>
      </c>
      <c r="AG279" s="115" t="e">
        <f>VLOOKUP($A279,'S47'!$C:$BQ,29,0)</f>
        <v>#N/A</v>
      </c>
      <c r="AH279" s="115" t="e">
        <f>VLOOKUP($A279,'S47'!$C:$BQ,30,0)</f>
        <v>#N/A</v>
      </c>
      <c r="AI279" s="115" t="e">
        <f>VLOOKUP($A279,'S47'!$C:$BQ,52,0)</f>
        <v>#N/A</v>
      </c>
      <c r="AJ279" s="115" t="e">
        <f>VLOOKUP($A279,'S47'!$C:$BQ,59,0)</f>
        <v>#N/A</v>
      </c>
      <c r="AK279" s="115" t="e">
        <f>VLOOKUP($A279,'S47'!$C:$BQ,60,0)</f>
        <v>#N/A</v>
      </c>
      <c r="AL279" s="107" t="e">
        <f>VLOOKUP($A279,'S48'!$C:$BQ,32,0)</f>
        <v>#N/A</v>
      </c>
      <c r="AM279" s="107" t="e">
        <f>VLOOKUP($A279,'S48'!$C:$BQ,39,0)</f>
        <v>#N/A</v>
      </c>
      <c r="AN279" s="107" t="e">
        <f>VLOOKUP($A279,'S48'!$C:$BQ,40,0)</f>
        <v>#N/A</v>
      </c>
      <c r="AO279" s="107" t="e">
        <f>VLOOKUP($A279,'S48'!$C:$BQ,22,0)</f>
        <v>#N/A</v>
      </c>
      <c r="AP279" s="115" t="e">
        <f>VLOOKUP($A279,'S48'!$C:$BQ,29,0)</f>
        <v>#N/A</v>
      </c>
      <c r="AQ279" s="115" t="e">
        <f>VLOOKUP($A279,'S48'!$C:$BQ,30,0)</f>
        <v>#N/A</v>
      </c>
      <c r="AR279" s="115" t="e">
        <f>VLOOKUP($A279,'S48'!$C:$BQ,52,0)</f>
        <v>#N/A</v>
      </c>
      <c r="AS279" s="115" t="e">
        <f>VLOOKUP($A279,'S48'!$C:$BQ,59,0)</f>
        <v>#N/A</v>
      </c>
      <c r="AT279" s="115" t="e">
        <f>VLOOKUP($A279,'S48'!$C:$BQ,60,0)</f>
        <v>#N/A</v>
      </c>
      <c r="AU279" s="107" t="e">
        <f>VLOOKUP($A279,'S49'!$C:$BQ,32,0)</f>
        <v>#N/A</v>
      </c>
      <c r="AV279" s="107" t="e">
        <f>VLOOKUP($A279,'S49'!$C:$BQ,39,0)</f>
        <v>#N/A</v>
      </c>
      <c r="AW279" s="107" t="e">
        <f>VLOOKUP($A279,'S49'!$C:$BQ,40,0)</f>
        <v>#N/A</v>
      </c>
      <c r="AX279" s="107" t="e">
        <f>VLOOKUP($A279,'S49'!$C:$BQ,22,0)</f>
        <v>#N/A</v>
      </c>
      <c r="AY279" s="115" t="e">
        <f>VLOOKUP($A279,'S49'!$C:$BQ,29,0)</f>
        <v>#N/A</v>
      </c>
      <c r="AZ279" s="115" t="e">
        <f>VLOOKUP($A279,'S49'!$C:$BQ,30,0)</f>
        <v>#N/A</v>
      </c>
      <c r="BA279" s="115" t="e">
        <f>VLOOKUP($A279,'S49'!$C:$BQ,52,0)</f>
        <v>#N/A</v>
      </c>
      <c r="BB279" s="115" t="e">
        <f>VLOOKUP($A279,'S49'!$C:$BQ,59,0)</f>
        <v>#N/A</v>
      </c>
      <c r="BC279" s="115" t="e">
        <f>VLOOKUP($A279,'S49'!$C:$BQ,60,0)</f>
        <v>#N/A</v>
      </c>
      <c r="BD279" s="107" t="e">
        <f>VLOOKUP($A279,'S50'!$C:$BQ,32,0)</f>
        <v>#N/A</v>
      </c>
      <c r="BE279" s="107" t="e">
        <f>VLOOKUP($A279,'S50'!$C:$BQ,39,0)</f>
        <v>#N/A</v>
      </c>
      <c r="BF279" s="107" t="e">
        <f>VLOOKUP($A279,'S50'!$C:$BQ,40,0)</f>
        <v>#N/A</v>
      </c>
      <c r="BG279" s="107" t="e">
        <f>VLOOKUP($A279,'S50'!$C:$BQ,22,0)</f>
        <v>#N/A</v>
      </c>
      <c r="BH279" s="115" t="e">
        <f>VLOOKUP($A279,'S50'!$C:$BQ,29,0)</f>
        <v>#N/A</v>
      </c>
      <c r="BI279" s="115" t="e">
        <f>VLOOKUP($A279,'S50'!$C:$BQ,30,0)</f>
        <v>#N/A</v>
      </c>
      <c r="BJ279" s="115" t="e">
        <f>VLOOKUP($A279,'S50'!$C:$BQ,52,0)</f>
        <v>#N/A</v>
      </c>
      <c r="BK279" s="115" t="e">
        <f>VLOOKUP($A279,'S50'!$C:$BQ,59,0)</f>
        <v>#N/A</v>
      </c>
      <c r="BL279" s="115" t="e">
        <f>VLOOKUP($A279,'S50'!$C:$BQ,60,0)</f>
        <v>#N/A</v>
      </c>
    </row>
    <row r="280" spans="1:64" x14ac:dyDescent="0.2">
      <c r="A280" s="106" t="s">
        <v>355</v>
      </c>
      <c r="B280" s="107">
        <f>VLOOKUP($A280,'S0 remplacer avec S44'!$C:$BQ,32,0)</f>
        <v>189.6</v>
      </c>
      <c r="C280" s="107">
        <f>VLOOKUP($A280,'S0 remplacer avec S44'!$C:$BQ,39,0)</f>
        <v>129</v>
      </c>
      <c r="D280" s="107">
        <f>VLOOKUP($A280,'S0 remplacer avec S44'!$C:$BQ,40,0)</f>
        <v>192</v>
      </c>
      <c r="E280" s="107">
        <f>VLOOKUP($A280,'S0 remplacer avec S44'!$C:$BQ,22,0)</f>
        <v>3040.14626</v>
      </c>
      <c r="F280" s="115">
        <f>VLOOKUP($A280,'S0 remplacer avec S44'!$C:$BQ,29,0)</f>
        <v>0</v>
      </c>
      <c r="G280" s="115">
        <f>VLOOKUP($A280,'S0 remplacer avec S44'!$C:$BQ,30,0)</f>
        <v>429</v>
      </c>
      <c r="H280" s="115">
        <f>VLOOKUP($A280,'S0 remplacer avec S44'!$C:$BQ,52,0)</f>
        <v>180.2</v>
      </c>
      <c r="I280" s="115">
        <f>VLOOKUP($A280,'S0 remplacer avec S44'!$C:$BQ,59,0)</f>
        <v>0</v>
      </c>
      <c r="J280" s="115">
        <f>VLOOKUP($A280,'S0 remplacer avec S44'!$C:$BQ,60,0)</f>
        <v>14</v>
      </c>
      <c r="K280" s="107" t="e">
        <f>VLOOKUP($A280,'S45'!$C:$BQ,32,0)</f>
        <v>#N/A</v>
      </c>
      <c r="L280" s="107" t="e">
        <f>VLOOKUP($A280,'S45'!$C:$BQ,39,0)</f>
        <v>#N/A</v>
      </c>
      <c r="M280" s="107" t="e">
        <f>VLOOKUP($A280,'S45'!$C:$BQ,40,0)</f>
        <v>#N/A</v>
      </c>
      <c r="N280" s="107" t="e">
        <f>VLOOKUP($A280,'S45'!$C:$BQ,22,0)</f>
        <v>#N/A</v>
      </c>
      <c r="O280" s="115" t="e">
        <f>VLOOKUP($A280,'S45'!$C:$BQ,29,0)</f>
        <v>#N/A</v>
      </c>
      <c r="P280" s="115" t="e">
        <f>VLOOKUP($A280,'S45'!$C:$BQ,30,0)</f>
        <v>#N/A</v>
      </c>
      <c r="Q280" s="115" t="e">
        <f>VLOOKUP($A280,'S45'!$C:$BQ,52,0)</f>
        <v>#N/A</v>
      </c>
      <c r="R280" s="115" t="e">
        <f>VLOOKUP($A280,'S45'!$C:$BQ,59,0)</f>
        <v>#N/A</v>
      </c>
      <c r="S280" s="115" t="e">
        <f>VLOOKUP($A280,'S45'!$C:$BQ,60,0)</f>
        <v>#N/A</v>
      </c>
      <c r="T280" s="107" t="e">
        <f>VLOOKUP($A280,'S46'!$C:$BQ,32,0)</f>
        <v>#N/A</v>
      </c>
      <c r="U280" s="107" t="e">
        <f>VLOOKUP($A280,'S46'!$C:$BQ,39,0)</f>
        <v>#N/A</v>
      </c>
      <c r="V280" s="107" t="e">
        <f>VLOOKUP($A280,'S46'!$C:$BQ,40,0)</f>
        <v>#N/A</v>
      </c>
      <c r="W280" s="107" t="e">
        <f>VLOOKUP($A280,'S46'!$C:$BQ,22,0)</f>
        <v>#N/A</v>
      </c>
      <c r="X280" s="115" t="e">
        <f>VLOOKUP($A280,'S46'!$C:$BQ,29,0)</f>
        <v>#N/A</v>
      </c>
      <c r="Y280" s="115" t="e">
        <f>VLOOKUP($A280,'S46'!$C:$BQ,30,0)</f>
        <v>#N/A</v>
      </c>
      <c r="Z280" s="115" t="e">
        <f>VLOOKUP($A280,'S46'!$C:$BQ,52,0)</f>
        <v>#N/A</v>
      </c>
      <c r="AA280" s="115" t="e">
        <f>VLOOKUP($A280,'S46'!$C:$BQ,59,0)</f>
        <v>#N/A</v>
      </c>
      <c r="AB280" s="115" t="e">
        <f>VLOOKUP($A280,'S46'!$C:$BQ,60,0)</f>
        <v>#N/A</v>
      </c>
      <c r="AC280" s="107" t="e">
        <f>VLOOKUP($A280,'S47'!$C:$BQ,32,0)</f>
        <v>#N/A</v>
      </c>
      <c r="AD280" s="107" t="e">
        <f>VLOOKUP($A280,'S47'!$C:$BQ,39,0)</f>
        <v>#N/A</v>
      </c>
      <c r="AE280" s="107" t="e">
        <f>VLOOKUP($A280,'S47'!$C:$BQ,40,0)</f>
        <v>#N/A</v>
      </c>
      <c r="AF280" s="107" t="e">
        <f>VLOOKUP($A280,'S47'!$C:$BQ,22,0)</f>
        <v>#N/A</v>
      </c>
      <c r="AG280" s="115" t="e">
        <f>VLOOKUP($A280,'S47'!$C:$BQ,29,0)</f>
        <v>#N/A</v>
      </c>
      <c r="AH280" s="115" t="e">
        <f>VLOOKUP($A280,'S47'!$C:$BQ,30,0)</f>
        <v>#N/A</v>
      </c>
      <c r="AI280" s="115" t="e">
        <f>VLOOKUP($A280,'S47'!$C:$BQ,52,0)</f>
        <v>#N/A</v>
      </c>
      <c r="AJ280" s="115" t="e">
        <f>VLOOKUP($A280,'S47'!$C:$BQ,59,0)</f>
        <v>#N/A</v>
      </c>
      <c r="AK280" s="115" t="e">
        <f>VLOOKUP($A280,'S47'!$C:$BQ,60,0)</f>
        <v>#N/A</v>
      </c>
      <c r="AL280" s="107" t="e">
        <f>VLOOKUP($A280,'S48'!$C:$BQ,32,0)</f>
        <v>#N/A</v>
      </c>
      <c r="AM280" s="107" t="e">
        <f>VLOOKUP($A280,'S48'!$C:$BQ,39,0)</f>
        <v>#N/A</v>
      </c>
      <c r="AN280" s="107" t="e">
        <f>VLOOKUP($A280,'S48'!$C:$BQ,40,0)</f>
        <v>#N/A</v>
      </c>
      <c r="AO280" s="107" t="e">
        <f>VLOOKUP($A280,'S48'!$C:$BQ,22,0)</f>
        <v>#N/A</v>
      </c>
      <c r="AP280" s="115" t="e">
        <f>VLOOKUP($A280,'S48'!$C:$BQ,29,0)</f>
        <v>#N/A</v>
      </c>
      <c r="AQ280" s="115" t="e">
        <f>VLOOKUP($A280,'S48'!$C:$BQ,30,0)</f>
        <v>#N/A</v>
      </c>
      <c r="AR280" s="115" t="e">
        <f>VLOOKUP($A280,'S48'!$C:$BQ,52,0)</f>
        <v>#N/A</v>
      </c>
      <c r="AS280" s="115" t="e">
        <f>VLOOKUP($A280,'S48'!$C:$BQ,59,0)</f>
        <v>#N/A</v>
      </c>
      <c r="AT280" s="115" t="e">
        <f>VLOOKUP($A280,'S48'!$C:$BQ,60,0)</f>
        <v>#N/A</v>
      </c>
      <c r="AU280" s="107" t="e">
        <f>VLOOKUP($A280,'S49'!$C:$BQ,32,0)</f>
        <v>#N/A</v>
      </c>
      <c r="AV280" s="107" t="e">
        <f>VLOOKUP($A280,'S49'!$C:$BQ,39,0)</f>
        <v>#N/A</v>
      </c>
      <c r="AW280" s="107" t="e">
        <f>VLOOKUP($A280,'S49'!$C:$BQ,40,0)</f>
        <v>#N/A</v>
      </c>
      <c r="AX280" s="107" t="e">
        <f>VLOOKUP($A280,'S49'!$C:$BQ,22,0)</f>
        <v>#N/A</v>
      </c>
      <c r="AY280" s="115" t="e">
        <f>VLOOKUP($A280,'S49'!$C:$BQ,29,0)</f>
        <v>#N/A</v>
      </c>
      <c r="AZ280" s="115" t="e">
        <f>VLOOKUP($A280,'S49'!$C:$BQ,30,0)</f>
        <v>#N/A</v>
      </c>
      <c r="BA280" s="115" t="e">
        <f>VLOOKUP($A280,'S49'!$C:$BQ,52,0)</f>
        <v>#N/A</v>
      </c>
      <c r="BB280" s="115" t="e">
        <f>VLOOKUP($A280,'S49'!$C:$BQ,59,0)</f>
        <v>#N/A</v>
      </c>
      <c r="BC280" s="115" t="e">
        <f>VLOOKUP($A280,'S49'!$C:$BQ,60,0)</f>
        <v>#N/A</v>
      </c>
      <c r="BD280" s="107" t="e">
        <f>VLOOKUP($A280,'S50'!$C:$BQ,32,0)</f>
        <v>#N/A</v>
      </c>
      <c r="BE280" s="107" t="e">
        <f>VLOOKUP($A280,'S50'!$C:$BQ,39,0)</f>
        <v>#N/A</v>
      </c>
      <c r="BF280" s="107" t="e">
        <f>VLOOKUP($A280,'S50'!$C:$BQ,40,0)</f>
        <v>#N/A</v>
      </c>
      <c r="BG280" s="107" t="e">
        <f>VLOOKUP($A280,'S50'!$C:$BQ,22,0)</f>
        <v>#N/A</v>
      </c>
      <c r="BH280" s="115" t="e">
        <f>VLOOKUP($A280,'S50'!$C:$BQ,29,0)</f>
        <v>#N/A</v>
      </c>
      <c r="BI280" s="115" t="e">
        <f>VLOOKUP($A280,'S50'!$C:$BQ,30,0)</f>
        <v>#N/A</v>
      </c>
      <c r="BJ280" s="115" t="e">
        <f>VLOOKUP($A280,'S50'!$C:$BQ,52,0)</f>
        <v>#N/A</v>
      </c>
      <c r="BK280" s="115" t="e">
        <f>VLOOKUP($A280,'S50'!$C:$BQ,59,0)</f>
        <v>#N/A</v>
      </c>
      <c r="BL280" s="115" t="e">
        <f>VLOOKUP($A280,'S50'!$C:$BQ,60,0)</f>
        <v>#N/A</v>
      </c>
    </row>
    <row r="281" spans="1:64" x14ac:dyDescent="0.2">
      <c r="A281" s="106" t="s">
        <v>356</v>
      </c>
      <c r="B281" s="107">
        <f>VLOOKUP($A281,'S0 remplacer avec S44'!$C:$BQ,32,0)</f>
        <v>204.3</v>
      </c>
      <c r="C281" s="107">
        <f>VLOOKUP($A281,'S0 remplacer avec S44'!$C:$BQ,39,0)</f>
        <v>2</v>
      </c>
      <c r="D281" s="107">
        <f>VLOOKUP($A281,'S0 remplacer avec S44'!$C:$BQ,40,0)</f>
        <v>43</v>
      </c>
      <c r="E281" s="107">
        <f>VLOOKUP($A281,'S0 remplacer avec S44'!$C:$BQ,22,0)</f>
        <v>1762.0960600000001</v>
      </c>
      <c r="F281" s="115">
        <f>VLOOKUP($A281,'S0 remplacer avec S44'!$C:$BQ,29,0)</f>
        <v>108</v>
      </c>
      <c r="G281" s="115">
        <f>VLOOKUP($A281,'S0 remplacer avec S44'!$C:$BQ,30,0)</f>
        <v>482</v>
      </c>
      <c r="H281" s="115">
        <f>VLOOKUP($A281,'S0 remplacer avec S44'!$C:$BQ,52,0)</f>
        <v>119.2</v>
      </c>
      <c r="I281" s="115">
        <f>VLOOKUP($A281,'S0 remplacer avec S44'!$C:$BQ,59,0)</f>
        <v>0</v>
      </c>
      <c r="J281" s="115">
        <f>VLOOKUP($A281,'S0 remplacer avec S44'!$C:$BQ,60,0)</f>
        <v>7</v>
      </c>
      <c r="K281" s="107" t="e">
        <f>VLOOKUP($A281,'S45'!$C:$BQ,32,0)</f>
        <v>#N/A</v>
      </c>
      <c r="L281" s="107" t="e">
        <f>VLOOKUP($A281,'S45'!$C:$BQ,39,0)</f>
        <v>#N/A</v>
      </c>
      <c r="M281" s="107" t="e">
        <f>VLOOKUP($A281,'S45'!$C:$BQ,40,0)</f>
        <v>#N/A</v>
      </c>
      <c r="N281" s="107" t="e">
        <f>VLOOKUP($A281,'S45'!$C:$BQ,22,0)</f>
        <v>#N/A</v>
      </c>
      <c r="O281" s="115" t="e">
        <f>VLOOKUP($A281,'S45'!$C:$BQ,29,0)</f>
        <v>#N/A</v>
      </c>
      <c r="P281" s="115" t="e">
        <f>VLOOKUP($A281,'S45'!$C:$BQ,30,0)</f>
        <v>#N/A</v>
      </c>
      <c r="Q281" s="115" t="e">
        <f>VLOOKUP($A281,'S45'!$C:$BQ,52,0)</f>
        <v>#N/A</v>
      </c>
      <c r="R281" s="115" t="e">
        <f>VLOOKUP($A281,'S45'!$C:$BQ,59,0)</f>
        <v>#N/A</v>
      </c>
      <c r="S281" s="115" t="e">
        <f>VLOOKUP($A281,'S45'!$C:$BQ,60,0)</f>
        <v>#N/A</v>
      </c>
      <c r="T281" s="107" t="e">
        <f>VLOOKUP($A281,'S46'!$C:$BQ,32,0)</f>
        <v>#N/A</v>
      </c>
      <c r="U281" s="107" t="e">
        <f>VLOOKUP($A281,'S46'!$C:$BQ,39,0)</f>
        <v>#N/A</v>
      </c>
      <c r="V281" s="107" t="e">
        <f>VLOOKUP($A281,'S46'!$C:$BQ,40,0)</f>
        <v>#N/A</v>
      </c>
      <c r="W281" s="107" t="e">
        <f>VLOOKUP($A281,'S46'!$C:$BQ,22,0)</f>
        <v>#N/A</v>
      </c>
      <c r="X281" s="115" t="e">
        <f>VLOOKUP($A281,'S46'!$C:$BQ,29,0)</f>
        <v>#N/A</v>
      </c>
      <c r="Y281" s="115" t="e">
        <f>VLOOKUP($A281,'S46'!$C:$BQ,30,0)</f>
        <v>#N/A</v>
      </c>
      <c r="Z281" s="115" t="e">
        <f>VLOOKUP($A281,'S46'!$C:$BQ,52,0)</f>
        <v>#N/A</v>
      </c>
      <c r="AA281" s="115" t="e">
        <f>VLOOKUP($A281,'S46'!$C:$BQ,59,0)</f>
        <v>#N/A</v>
      </c>
      <c r="AB281" s="115" t="e">
        <f>VLOOKUP($A281,'S46'!$C:$BQ,60,0)</f>
        <v>#N/A</v>
      </c>
      <c r="AC281" s="107" t="e">
        <f>VLOOKUP($A281,'S47'!$C:$BQ,32,0)</f>
        <v>#N/A</v>
      </c>
      <c r="AD281" s="107" t="e">
        <f>VLOOKUP($A281,'S47'!$C:$BQ,39,0)</f>
        <v>#N/A</v>
      </c>
      <c r="AE281" s="107" t="e">
        <f>VLOOKUP($A281,'S47'!$C:$BQ,40,0)</f>
        <v>#N/A</v>
      </c>
      <c r="AF281" s="107" t="e">
        <f>VLOOKUP($A281,'S47'!$C:$BQ,22,0)</f>
        <v>#N/A</v>
      </c>
      <c r="AG281" s="115" t="e">
        <f>VLOOKUP($A281,'S47'!$C:$BQ,29,0)</f>
        <v>#N/A</v>
      </c>
      <c r="AH281" s="115" t="e">
        <f>VLOOKUP($A281,'S47'!$C:$BQ,30,0)</f>
        <v>#N/A</v>
      </c>
      <c r="AI281" s="115" t="e">
        <f>VLOOKUP($A281,'S47'!$C:$BQ,52,0)</f>
        <v>#N/A</v>
      </c>
      <c r="AJ281" s="115" t="e">
        <f>VLOOKUP($A281,'S47'!$C:$BQ,59,0)</f>
        <v>#N/A</v>
      </c>
      <c r="AK281" s="115" t="e">
        <f>VLOOKUP($A281,'S47'!$C:$BQ,60,0)</f>
        <v>#N/A</v>
      </c>
      <c r="AL281" s="107" t="e">
        <f>VLOOKUP($A281,'S48'!$C:$BQ,32,0)</f>
        <v>#N/A</v>
      </c>
      <c r="AM281" s="107" t="e">
        <f>VLOOKUP($A281,'S48'!$C:$BQ,39,0)</f>
        <v>#N/A</v>
      </c>
      <c r="AN281" s="107" t="e">
        <f>VLOOKUP($A281,'S48'!$C:$BQ,40,0)</f>
        <v>#N/A</v>
      </c>
      <c r="AO281" s="107" t="e">
        <f>VLOOKUP($A281,'S48'!$C:$BQ,22,0)</f>
        <v>#N/A</v>
      </c>
      <c r="AP281" s="115" t="e">
        <f>VLOOKUP($A281,'S48'!$C:$BQ,29,0)</f>
        <v>#N/A</v>
      </c>
      <c r="AQ281" s="115" t="e">
        <f>VLOOKUP($A281,'S48'!$C:$BQ,30,0)</f>
        <v>#N/A</v>
      </c>
      <c r="AR281" s="115" t="e">
        <f>VLOOKUP($A281,'S48'!$C:$BQ,52,0)</f>
        <v>#N/A</v>
      </c>
      <c r="AS281" s="115" t="e">
        <f>VLOOKUP($A281,'S48'!$C:$BQ,59,0)</f>
        <v>#N/A</v>
      </c>
      <c r="AT281" s="115" t="e">
        <f>VLOOKUP($A281,'S48'!$C:$BQ,60,0)</f>
        <v>#N/A</v>
      </c>
      <c r="AU281" s="107" t="e">
        <f>VLOOKUP($A281,'S49'!$C:$BQ,32,0)</f>
        <v>#N/A</v>
      </c>
      <c r="AV281" s="107" t="e">
        <f>VLOOKUP($A281,'S49'!$C:$BQ,39,0)</f>
        <v>#N/A</v>
      </c>
      <c r="AW281" s="107" t="e">
        <f>VLOOKUP($A281,'S49'!$C:$BQ,40,0)</f>
        <v>#N/A</v>
      </c>
      <c r="AX281" s="107" t="e">
        <f>VLOOKUP($A281,'S49'!$C:$BQ,22,0)</f>
        <v>#N/A</v>
      </c>
      <c r="AY281" s="115" t="e">
        <f>VLOOKUP($A281,'S49'!$C:$BQ,29,0)</f>
        <v>#N/A</v>
      </c>
      <c r="AZ281" s="115" t="e">
        <f>VLOOKUP($A281,'S49'!$C:$BQ,30,0)</f>
        <v>#N/A</v>
      </c>
      <c r="BA281" s="115" t="e">
        <f>VLOOKUP($A281,'S49'!$C:$BQ,52,0)</f>
        <v>#N/A</v>
      </c>
      <c r="BB281" s="115" t="e">
        <f>VLOOKUP($A281,'S49'!$C:$BQ,59,0)</f>
        <v>#N/A</v>
      </c>
      <c r="BC281" s="115" t="e">
        <f>VLOOKUP($A281,'S49'!$C:$BQ,60,0)</f>
        <v>#N/A</v>
      </c>
      <c r="BD281" s="107" t="e">
        <f>VLOOKUP($A281,'S50'!$C:$BQ,32,0)</f>
        <v>#N/A</v>
      </c>
      <c r="BE281" s="107" t="e">
        <f>VLOOKUP($A281,'S50'!$C:$BQ,39,0)</f>
        <v>#N/A</v>
      </c>
      <c r="BF281" s="107" t="e">
        <f>VLOOKUP($A281,'S50'!$C:$BQ,40,0)</f>
        <v>#N/A</v>
      </c>
      <c r="BG281" s="107" t="e">
        <f>VLOOKUP($A281,'S50'!$C:$BQ,22,0)</f>
        <v>#N/A</v>
      </c>
      <c r="BH281" s="115" t="e">
        <f>VLOOKUP($A281,'S50'!$C:$BQ,29,0)</f>
        <v>#N/A</v>
      </c>
      <c r="BI281" s="115" t="e">
        <f>VLOOKUP($A281,'S50'!$C:$BQ,30,0)</f>
        <v>#N/A</v>
      </c>
      <c r="BJ281" s="115" t="e">
        <f>VLOOKUP($A281,'S50'!$C:$BQ,52,0)</f>
        <v>#N/A</v>
      </c>
      <c r="BK281" s="115" t="e">
        <f>VLOOKUP($A281,'S50'!$C:$BQ,59,0)</f>
        <v>#N/A</v>
      </c>
      <c r="BL281" s="115" t="e">
        <f>VLOOKUP($A281,'S50'!$C:$BQ,60,0)</f>
        <v>#N/A</v>
      </c>
    </row>
    <row r="282" spans="1:64" x14ac:dyDescent="0.2">
      <c r="A282" s="106" t="s">
        <v>357</v>
      </c>
      <c r="B282" s="107">
        <f>VLOOKUP($A282,'S0 remplacer avec S44'!$C:$BQ,32,0)</f>
        <v>156.4</v>
      </c>
      <c r="C282" s="107">
        <f>VLOOKUP($A282,'S0 remplacer avec S44'!$C:$BQ,39,0)</f>
        <v>8</v>
      </c>
      <c r="D282" s="107">
        <f>VLOOKUP($A282,'S0 remplacer avec S44'!$C:$BQ,40,0)</f>
        <v>41</v>
      </c>
      <c r="E282" s="107">
        <f>VLOOKUP($A282,'S0 remplacer avec S44'!$C:$BQ,22,0)</f>
        <v>1832.7377650000001</v>
      </c>
      <c r="F282" s="115">
        <f>VLOOKUP($A282,'S0 remplacer avec S44'!$C:$BQ,29,0)</f>
        <v>0</v>
      </c>
      <c r="G282" s="115">
        <f>VLOOKUP($A282,'S0 remplacer avec S44'!$C:$BQ,30,0)</f>
        <v>0</v>
      </c>
      <c r="H282" s="115">
        <f>VLOOKUP($A282,'S0 remplacer avec S44'!$C:$BQ,52,0)</f>
        <v>117</v>
      </c>
      <c r="I282" s="115">
        <f>VLOOKUP($A282,'S0 remplacer avec S44'!$C:$BQ,59,0)</f>
        <v>0</v>
      </c>
      <c r="J282" s="115">
        <f>VLOOKUP($A282,'S0 remplacer avec S44'!$C:$BQ,60,0)</f>
        <v>0</v>
      </c>
      <c r="K282" s="107" t="e">
        <f>VLOOKUP($A282,'S45'!$C:$BQ,32,0)</f>
        <v>#N/A</v>
      </c>
      <c r="L282" s="107" t="e">
        <f>VLOOKUP($A282,'S45'!$C:$BQ,39,0)</f>
        <v>#N/A</v>
      </c>
      <c r="M282" s="107" t="e">
        <f>VLOOKUP($A282,'S45'!$C:$BQ,40,0)</f>
        <v>#N/A</v>
      </c>
      <c r="N282" s="107" t="e">
        <f>VLOOKUP($A282,'S45'!$C:$BQ,22,0)</f>
        <v>#N/A</v>
      </c>
      <c r="O282" s="115" t="e">
        <f>VLOOKUP($A282,'S45'!$C:$BQ,29,0)</f>
        <v>#N/A</v>
      </c>
      <c r="P282" s="115" t="e">
        <f>VLOOKUP($A282,'S45'!$C:$BQ,30,0)</f>
        <v>#N/A</v>
      </c>
      <c r="Q282" s="115" t="e">
        <f>VLOOKUP($A282,'S45'!$C:$BQ,52,0)</f>
        <v>#N/A</v>
      </c>
      <c r="R282" s="115" t="e">
        <f>VLOOKUP($A282,'S45'!$C:$BQ,59,0)</f>
        <v>#N/A</v>
      </c>
      <c r="S282" s="115" t="e">
        <f>VLOOKUP($A282,'S45'!$C:$BQ,60,0)</f>
        <v>#N/A</v>
      </c>
      <c r="T282" s="107" t="e">
        <f>VLOOKUP($A282,'S46'!$C:$BQ,32,0)</f>
        <v>#N/A</v>
      </c>
      <c r="U282" s="107" t="e">
        <f>VLOOKUP($A282,'S46'!$C:$BQ,39,0)</f>
        <v>#N/A</v>
      </c>
      <c r="V282" s="107" t="e">
        <f>VLOOKUP($A282,'S46'!$C:$BQ,40,0)</f>
        <v>#N/A</v>
      </c>
      <c r="W282" s="107" t="e">
        <f>VLOOKUP($A282,'S46'!$C:$BQ,22,0)</f>
        <v>#N/A</v>
      </c>
      <c r="X282" s="115" t="e">
        <f>VLOOKUP($A282,'S46'!$C:$BQ,29,0)</f>
        <v>#N/A</v>
      </c>
      <c r="Y282" s="115" t="e">
        <f>VLOOKUP($A282,'S46'!$C:$BQ,30,0)</f>
        <v>#N/A</v>
      </c>
      <c r="Z282" s="115" t="e">
        <f>VLOOKUP($A282,'S46'!$C:$BQ,52,0)</f>
        <v>#N/A</v>
      </c>
      <c r="AA282" s="115" t="e">
        <f>VLOOKUP($A282,'S46'!$C:$BQ,59,0)</f>
        <v>#N/A</v>
      </c>
      <c r="AB282" s="115" t="e">
        <f>VLOOKUP($A282,'S46'!$C:$BQ,60,0)</f>
        <v>#N/A</v>
      </c>
      <c r="AC282" s="107" t="e">
        <f>VLOOKUP($A282,'S47'!$C:$BQ,32,0)</f>
        <v>#N/A</v>
      </c>
      <c r="AD282" s="107" t="e">
        <f>VLOOKUP($A282,'S47'!$C:$BQ,39,0)</f>
        <v>#N/A</v>
      </c>
      <c r="AE282" s="107" t="e">
        <f>VLOOKUP($A282,'S47'!$C:$BQ,40,0)</f>
        <v>#N/A</v>
      </c>
      <c r="AF282" s="107" t="e">
        <f>VLOOKUP($A282,'S47'!$C:$BQ,22,0)</f>
        <v>#N/A</v>
      </c>
      <c r="AG282" s="115" t="e">
        <f>VLOOKUP($A282,'S47'!$C:$BQ,29,0)</f>
        <v>#N/A</v>
      </c>
      <c r="AH282" s="115" t="e">
        <f>VLOOKUP($A282,'S47'!$C:$BQ,30,0)</f>
        <v>#N/A</v>
      </c>
      <c r="AI282" s="115" t="e">
        <f>VLOOKUP($A282,'S47'!$C:$BQ,52,0)</f>
        <v>#N/A</v>
      </c>
      <c r="AJ282" s="115" t="e">
        <f>VLOOKUP($A282,'S47'!$C:$BQ,59,0)</f>
        <v>#N/A</v>
      </c>
      <c r="AK282" s="115" t="e">
        <f>VLOOKUP($A282,'S47'!$C:$BQ,60,0)</f>
        <v>#N/A</v>
      </c>
      <c r="AL282" s="107" t="e">
        <f>VLOOKUP($A282,'S48'!$C:$BQ,32,0)</f>
        <v>#N/A</v>
      </c>
      <c r="AM282" s="107" t="e">
        <f>VLOOKUP($A282,'S48'!$C:$BQ,39,0)</f>
        <v>#N/A</v>
      </c>
      <c r="AN282" s="107" t="e">
        <f>VLOOKUP($A282,'S48'!$C:$BQ,40,0)</f>
        <v>#N/A</v>
      </c>
      <c r="AO282" s="107" t="e">
        <f>VLOOKUP($A282,'S48'!$C:$BQ,22,0)</f>
        <v>#N/A</v>
      </c>
      <c r="AP282" s="115" t="e">
        <f>VLOOKUP($A282,'S48'!$C:$BQ,29,0)</f>
        <v>#N/A</v>
      </c>
      <c r="AQ282" s="115" t="e">
        <f>VLOOKUP($A282,'S48'!$C:$BQ,30,0)</f>
        <v>#N/A</v>
      </c>
      <c r="AR282" s="115" t="e">
        <f>VLOOKUP($A282,'S48'!$C:$BQ,52,0)</f>
        <v>#N/A</v>
      </c>
      <c r="AS282" s="115" t="e">
        <f>VLOOKUP($A282,'S48'!$C:$BQ,59,0)</f>
        <v>#N/A</v>
      </c>
      <c r="AT282" s="115" t="e">
        <f>VLOOKUP($A282,'S48'!$C:$BQ,60,0)</f>
        <v>#N/A</v>
      </c>
      <c r="AU282" s="107" t="e">
        <f>VLOOKUP($A282,'S49'!$C:$BQ,32,0)</f>
        <v>#N/A</v>
      </c>
      <c r="AV282" s="107" t="e">
        <f>VLOOKUP($A282,'S49'!$C:$BQ,39,0)</f>
        <v>#N/A</v>
      </c>
      <c r="AW282" s="107" t="e">
        <f>VLOOKUP($A282,'S49'!$C:$BQ,40,0)</f>
        <v>#N/A</v>
      </c>
      <c r="AX282" s="107" t="e">
        <f>VLOOKUP($A282,'S49'!$C:$BQ,22,0)</f>
        <v>#N/A</v>
      </c>
      <c r="AY282" s="115" t="e">
        <f>VLOOKUP($A282,'S49'!$C:$BQ,29,0)</f>
        <v>#N/A</v>
      </c>
      <c r="AZ282" s="115" t="e">
        <f>VLOOKUP($A282,'S49'!$C:$BQ,30,0)</f>
        <v>#N/A</v>
      </c>
      <c r="BA282" s="115" t="e">
        <f>VLOOKUP($A282,'S49'!$C:$BQ,52,0)</f>
        <v>#N/A</v>
      </c>
      <c r="BB282" s="115" t="e">
        <f>VLOOKUP($A282,'S49'!$C:$BQ,59,0)</f>
        <v>#N/A</v>
      </c>
      <c r="BC282" s="115" t="e">
        <f>VLOOKUP($A282,'S49'!$C:$BQ,60,0)</f>
        <v>#N/A</v>
      </c>
      <c r="BD282" s="107" t="e">
        <f>VLOOKUP($A282,'S50'!$C:$BQ,32,0)</f>
        <v>#N/A</v>
      </c>
      <c r="BE282" s="107" t="e">
        <f>VLOOKUP($A282,'S50'!$C:$BQ,39,0)</f>
        <v>#N/A</v>
      </c>
      <c r="BF282" s="107" t="e">
        <f>VLOOKUP($A282,'S50'!$C:$BQ,40,0)</f>
        <v>#N/A</v>
      </c>
      <c r="BG282" s="107" t="e">
        <f>VLOOKUP($A282,'S50'!$C:$BQ,22,0)</f>
        <v>#N/A</v>
      </c>
      <c r="BH282" s="115" t="e">
        <f>VLOOKUP($A282,'S50'!$C:$BQ,29,0)</f>
        <v>#N/A</v>
      </c>
      <c r="BI282" s="115" t="e">
        <f>VLOOKUP($A282,'S50'!$C:$BQ,30,0)</f>
        <v>#N/A</v>
      </c>
      <c r="BJ282" s="115" t="e">
        <f>VLOOKUP($A282,'S50'!$C:$BQ,52,0)</f>
        <v>#N/A</v>
      </c>
      <c r="BK282" s="115" t="e">
        <f>VLOOKUP($A282,'S50'!$C:$BQ,59,0)</f>
        <v>#N/A</v>
      </c>
      <c r="BL282" s="115" t="e">
        <f>VLOOKUP($A282,'S50'!$C:$BQ,60,0)</f>
        <v>#N/A</v>
      </c>
    </row>
    <row r="283" spans="1:64" x14ac:dyDescent="0.2">
      <c r="A283" s="106" t="s">
        <v>359</v>
      </c>
      <c r="B283" s="107">
        <f>VLOOKUP($A283,'S0 remplacer avec S44'!$C:$BQ,32,0)</f>
        <v>210.8</v>
      </c>
      <c r="C283" s="107">
        <f>VLOOKUP($A283,'S0 remplacer avec S44'!$C:$BQ,39,0)</f>
        <v>0</v>
      </c>
      <c r="D283" s="107">
        <f>VLOOKUP($A283,'S0 remplacer avec S44'!$C:$BQ,40,0)</f>
        <v>0</v>
      </c>
      <c r="E283" s="107">
        <f>VLOOKUP($A283,'S0 remplacer avec S44'!$C:$BQ,22,0)</f>
        <v>2154.8023699999999</v>
      </c>
      <c r="F283" s="115">
        <f>VLOOKUP($A283,'S0 remplacer avec S44'!$C:$BQ,29,0)</f>
        <v>0</v>
      </c>
      <c r="G283" s="115">
        <f>VLOOKUP($A283,'S0 remplacer avec S44'!$C:$BQ,30,0)</f>
        <v>0</v>
      </c>
      <c r="H283" s="115">
        <f>VLOOKUP($A283,'S0 remplacer avec S44'!$C:$BQ,52,0)</f>
        <v>130.4</v>
      </c>
      <c r="I283" s="115">
        <f>VLOOKUP($A283,'S0 remplacer avec S44'!$C:$BQ,59,0)</f>
        <v>0</v>
      </c>
      <c r="J283" s="115">
        <f>VLOOKUP($A283,'S0 remplacer avec S44'!$C:$BQ,60,0)</f>
        <v>0</v>
      </c>
      <c r="K283" s="107" t="e">
        <f>VLOOKUP($A283,'S45'!$C:$BQ,32,0)</f>
        <v>#N/A</v>
      </c>
      <c r="L283" s="107" t="e">
        <f>VLOOKUP($A283,'S45'!$C:$BQ,39,0)</f>
        <v>#N/A</v>
      </c>
      <c r="M283" s="107" t="e">
        <f>VLOOKUP($A283,'S45'!$C:$BQ,40,0)</f>
        <v>#N/A</v>
      </c>
      <c r="N283" s="107" t="e">
        <f>VLOOKUP($A283,'S45'!$C:$BQ,22,0)</f>
        <v>#N/A</v>
      </c>
      <c r="O283" s="115" t="e">
        <f>VLOOKUP($A283,'S45'!$C:$BQ,29,0)</f>
        <v>#N/A</v>
      </c>
      <c r="P283" s="115" t="e">
        <f>VLOOKUP($A283,'S45'!$C:$BQ,30,0)</f>
        <v>#N/A</v>
      </c>
      <c r="Q283" s="115" t="e">
        <f>VLOOKUP($A283,'S45'!$C:$BQ,52,0)</f>
        <v>#N/A</v>
      </c>
      <c r="R283" s="115" t="e">
        <f>VLOOKUP($A283,'S45'!$C:$BQ,59,0)</f>
        <v>#N/A</v>
      </c>
      <c r="S283" s="115" t="e">
        <f>VLOOKUP($A283,'S45'!$C:$BQ,60,0)</f>
        <v>#N/A</v>
      </c>
      <c r="T283" s="107" t="e">
        <f>VLOOKUP($A283,'S46'!$C:$BQ,32,0)</f>
        <v>#N/A</v>
      </c>
      <c r="U283" s="107" t="e">
        <f>VLOOKUP($A283,'S46'!$C:$BQ,39,0)</f>
        <v>#N/A</v>
      </c>
      <c r="V283" s="107" t="e">
        <f>VLOOKUP($A283,'S46'!$C:$BQ,40,0)</f>
        <v>#N/A</v>
      </c>
      <c r="W283" s="107" t="e">
        <f>VLOOKUP($A283,'S46'!$C:$BQ,22,0)</f>
        <v>#N/A</v>
      </c>
      <c r="X283" s="115" t="e">
        <f>VLOOKUP($A283,'S46'!$C:$BQ,29,0)</f>
        <v>#N/A</v>
      </c>
      <c r="Y283" s="115" t="e">
        <f>VLOOKUP($A283,'S46'!$C:$BQ,30,0)</f>
        <v>#N/A</v>
      </c>
      <c r="Z283" s="115" t="e">
        <f>VLOOKUP($A283,'S46'!$C:$BQ,52,0)</f>
        <v>#N/A</v>
      </c>
      <c r="AA283" s="115" t="e">
        <f>VLOOKUP($A283,'S46'!$C:$BQ,59,0)</f>
        <v>#N/A</v>
      </c>
      <c r="AB283" s="115" t="e">
        <f>VLOOKUP($A283,'S46'!$C:$BQ,60,0)</f>
        <v>#N/A</v>
      </c>
      <c r="AC283" s="107" t="e">
        <f>VLOOKUP($A283,'S47'!$C:$BQ,32,0)</f>
        <v>#N/A</v>
      </c>
      <c r="AD283" s="107" t="e">
        <f>VLOOKUP($A283,'S47'!$C:$BQ,39,0)</f>
        <v>#N/A</v>
      </c>
      <c r="AE283" s="107" t="e">
        <f>VLOOKUP($A283,'S47'!$C:$BQ,40,0)</f>
        <v>#N/A</v>
      </c>
      <c r="AF283" s="107" t="e">
        <f>VLOOKUP($A283,'S47'!$C:$BQ,22,0)</f>
        <v>#N/A</v>
      </c>
      <c r="AG283" s="115" t="e">
        <f>VLOOKUP($A283,'S47'!$C:$BQ,29,0)</f>
        <v>#N/A</v>
      </c>
      <c r="AH283" s="115" t="e">
        <f>VLOOKUP($A283,'S47'!$C:$BQ,30,0)</f>
        <v>#N/A</v>
      </c>
      <c r="AI283" s="115" t="e">
        <f>VLOOKUP($A283,'S47'!$C:$BQ,52,0)</f>
        <v>#N/A</v>
      </c>
      <c r="AJ283" s="115" t="e">
        <f>VLOOKUP($A283,'S47'!$C:$BQ,59,0)</f>
        <v>#N/A</v>
      </c>
      <c r="AK283" s="115" t="e">
        <f>VLOOKUP($A283,'S47'!$C:$BQ,60,0)</f>
        <v>#N/A</v>
      </c>
      <c r="AL283" s="107" t="e">
        <f>VLOOKUP($A283,'S48'!$C:$BQ,32,0)</f>
        <v>#N/A</v>
      </c>
      <c r="AM283" s="107" t="e">
        <f>VLOOKUP($A283,'S48'!$C:$BQ,39,0)</f>
        <v>#N/A</v>
      </c>
      <c r="AN283" s="107" t="e">
        <f>VLOOKUP($A283,'S48'!$C:$BQ,40,0)</f>
        <v>#N/A</v>
      </c>
      <c r="AO283" s="107" t="e">
        <f>VLOOKUP($A283,'S48'!$C:$BQ,22,0)</f>
        <v>#N/A</v>
      </c>
      <c r="AP283" s="115" t="e">
        <f>VLOOKUP($A283,'S48'!$C:$BQ,29,0)</f>
        <v>#N/A</v>
      </c>
      <c r="AQ283" s="115" t="e">
        <f>VLOOKUP($A283,'S48'!$C:$BQ,30,0)</f>
        <v>#N/A</v>
      </c>
      <c r="AR283" s="115" t="e">
        <f>VLOOKUP($A283,'S48'!$C:$BQ,52,0)</f>
        <v>#N/A</v>
      </c>
      <c r="AS283" s="115" t="e">
        <f>VLOOKUP($A283,'S48'!$C:$BQ,59,0)</f>
        <v>#N/A</v>
      </c>
      <c r="AT283" s="115" t="e">
        <f>VLOOKUP($A283,'S48'!$C:$BQ,60,0)</f>
        <v>#N/A</v>
      </c>
      <c r="AU283" s="107" t="e">
        <f>VLOOKUP($A283,'S49'!$C:$BQ,32,0)</f>
        <v>#N/A</v>
      </c>
      <c r="AV283" s="107" t="e">
        <f>VLOOKUP($A283,'S49'!$C:$BQ,39,0)</f>
        <v>#N/A</v>
      </c>
      <c r="AW283" s="107" t="e">
        <f>VLOOKUP($A283,'S49'!$C:$BQ,40,0)</f>
        <v>#N/A</v>
      </c>
      <c r="AX283" s="107" t="e">
        <f>VLOOKUP($A283,'S49'!$C:$BQ,22,0)</f>
        <v>#N/A</v>
      </c>
      <c r="AY283" s="115" t="e">
        <f>VLOOKUP($A283,'S49'!$C:$BQ,29,0)</f>
        <v>#N/A</v>
      </c>
      <c r="AZ283" s="115" t="e">
        <f>VLOOKUP($A283,'S49'!$C:$BQ,30,0)</f>
        <v>#N/A</v>
      </c>
      <c r="BA283" s="115" t="e">
        <f>VLOOKUP($A283,'S49'!$C:$BQ,52,0)</f>
        <v>#N/A</v>
      </c>
      <c r="BB283" s="115" t="e">
        <f>VLOOKUP($A283,'S49'!$C:$BQ,59,0)</f>
        <v>#N/A</v>
      </c>
      <c r="BC283" s="115" t="e">
        <f>VLOOKUP($A283,'S49'!$C:$BQ,60,0)</f>
        <v>#N/A</v>
      </c>
      <c r="BD283" s="107" t="e">
        <f>VLOOKUP($A283,'S50'!$C:$BQ,32,0)</f>
        <v>#N/A</v>
      </c>
      <c r="BE283" s="107" t="e">
        <f>VLOOKUP($A283,'S50'!$C:$BQ,39,0)</f>
        <v>#N/A</v>
      </c>
      <c r="BF283" s="107" t="e">
        <f>VLOOKUP($A283,'S50'!$C:$BQ,40,0)</f>
        <v>#N/A</v>
      </c>
      <c r="BG283" s="107" t="e">
        <f>VLOOKUP($A283,'S50'!$C:$BQ,22,0)</f>
        <v>#N/A</v>
      </c>
      <c r="BH283" s="115" t="e">
        <f>VLOOKUP($A283,'S50'!$C:$BQ,29,0)</f>
        <v>#N/A</v>
      </c>
      <c r="BI283" s="115" t="e">
        <f>VLOOKUP($A283,'S50'!$C:$BQ,30,0)</f>
        <v>#N/A</v>
      </c>
      <c r="BJ283" s="115" t="e">
        <f>VLOOKUP($A283,'S50'!$C:$BQ,52,0)</f>
        <v>#N/A</v>
      </c>
      <c r="BK283" s="115" t="e">
        <f>VLOOKUP($A283,'S50'!$C:$BQ,59,0)</f>
        <v>#N/A</v>
      </c>
      <c r="BL283" s="115" t="e">
        <f>VLOOKUP($A283,'S50'!$C:$BQ,60,0)</f>
        <v>#N/A</v>
      </c>
    </row>
    <row r="284" spans="1:64" x14ac:dyDescent="0.2">
      <c r="A284" s="106" t="s">
        <v>360</v>
      </c>
      <c r="B284" s="107">
        <f>VLOOKUP($A284,'S0 remplacer avec S44'!$C:$BQ,32,0)</f>
        <v>195.4</v>
      </c>
      <c r="C284" s="107">
        <f>VLOOKUP($A284,'S0 remplacer avec S44'!$C:$BQ,39,0)</f>
        <v>0</v>
      </c>
      <c r="D284" s="107">
        <f>VLOOKUP($A284,'S0 remplacer avec S44'!$C:$BQ,40,0)</f>
        <v>26</v>
      </c>
      <c r="E284" s="107">
        <f>VLOOKUP($A284,'S0 remplacer avec S44'!$C:$BQ,22,0)</f>
        <v>1927.3906050000001</v>
      </c>
      <c r="F284" s="115">
        <f>VLOOKUP($A284,'S0 remplacer avec S44'!$C:$BQ,29,0)</f>
        <v>0</v>
      </c>
      <c r="G284" s="115">
        <f>VLOOKUP($A284,'S0 remplacer avec S44'!$C:$BQ,30,0)</f>
        <v>86</v>
      </c>
      <c r="H284" s="115">
        <f>VLOOKUP($A284,'S0 remplacer avec S44'!$C:$BQ,52,0)</f>
        <v>115.8</v>
      </c>
      <c r="I284" s="115">
        <f>VLOOKUP($A284,'S0 remplacer avec S44'!$C:$BQ,59,0)</f>
        <v>0</v>
      </c>
      <c r="J284" s="115">
        <f>VLOOKUP($A284,'S0 remplacer avec S44'!$C:$BQ,60,0)</f>
        <v>0</v>
      </c>
      <c r="K284" s="107" t="e">
        <f>VLOOKUP($A284,'S45'!$C:$BQ,32,0)</f>
        <v>#N/A</v>
      </c>
      <c r="L284" s="107" t="e">
        <f>VLOOKUP($A284,'S45'!$C:$BQ,39,0)</f>
        <v>#N/A</v>
      </c>
      <c r="M284" s="107" t="e">
        <f>VLOOKUP($A284,'S45'!$C:$BQ,40,0)</f>
        <v>#N/A</v>
      </c>
      <c r="N284" s="107" t="e">
        <f>VLOOKUP($A284,'S45'!$C:$BQ,22,0)</f>
        <v>#N/A</v>
      </c>
      <c r="O284" s="115" t="e">
        <f>VLOOKUP($A284,'S45'!$C:$BQ,29,0)</f>
        <v>#N/A</v>
      </c>
      <c r="P284" s="115" t="e">
        <f>VLOOKUP($A284,'S45'!$C:$BQ,30,0)</f>
        <v>#N/A</v>
      </c>
      <c r="Q284" s="115" t="e">
        <f>VLOOKUP($A284,'S45'!$C:$BQ,52,0)</f>
        <v>#N/A</v>
      </c>
      <c r="R284" s="115" t="e">
        <f>VLOOKUP($A284,'S45'!$C:$BQ,59,0)</f>
        <v>#N/A</v>
      </c>
      <c r="S284" s="115" t="e">
        <f>VLOOKUP($A284,'S45'!$C:$BQ,60,0)</f>
        <v>#N/A</v>
      </c>
      <c r="T284" s="107" t="e">
        <f>VLOOKUP($A284,'S46'!$C:$BQ,32,0)</f>
        <v>#N/A</v>
      </c>
      <c r="U284" s="107" t="e">
        <f>VLOOKUP($A284,'S46'!$C:$BQ,39,0)</f>
        <v>#N/A</v>
      </c>
      <c r="V284" s="107" t="e">
        <f>VLOOKUP($A284,'S46'!$C:$BQ,40,0)</f>
        <v>#N/A</v>
      </c>
      <c r="W284" s="107" t="e">
        <f>VLOOKUP($A284,'S46'!$C:$BQ,22,0)</f>
        <v>#N/A</v>
      </c>
      <c r="X284" s="115" t="e">
        <f>VLOOKUP($A284,'S46'!$C:$BQ,29,0)</f>
        <v>#N/A</v>
      </c>
      <c r="Y284" s="115" t="e">
        <f>VLOOKUP($A284,'S46'!$C:$BQ,30,0)</f>
        <v>#N/A</v>
      </c>
      <c r="Z284" s="115" t="e">
        <f>VLOOKUP($A284,'S46'!$C:$BQ,52,0)</f>
        <v>#N/A</v>
      </c>
      <c r="AA284" s="115" t="e">
        <f>VLOOKUP($A284,'S46'!$C:$BQ,59,0)</f>
        <v>#N/A</v>
      </c>
      <c r="AB284" s="115" t="e">
        <f>VLOOKUP($A284,'S46'!$C:$BQ,60,0)</f>
        <v>#N/A</v>
      </c>
      <c r="AC284" s="107" t="e">
        <f>VLOOKUP($A284,'S47'!$C:$BQ,32,0)</f>
        <v>#N/A</v>
      </c>
      <c r="AD284" s="107" t="e">
        <f>VLOOKUP($A284,'S47'!$C:$BQ,39,0)</f>
        <v>#N/A</v>
      </c>
      <c r="AE284" s="107" t="e">
        <f>VLOOKUP($A284,'S47'!$C:$BQ,40,0)</f>
        <v>#N/A</v>
      </c>
      <c r="AF284" s="107" t="e">
        <f>VLOOKUP($A284,'S47'!$C:$BQ,22,0)</f>
        <v>#N/A</v>
      </c>
      <c r="AG284" s="115" t="e">
        <f>VLOOKUP($A284,'S47'!$C:$BQ,29,0)</f>
        <v>#N/A</v>
      </c>
      <c r="AH284" s="115" t="e">
        <f>VLOOKUP($A284,'S47'!$C:$BQ,30,0)</f>
        <v>#N/A</v>
      </c>
      <c r="AI284" s="115" t="e">
        <f>VLOOKUP($A284,'S47'!$C:$BQ,52,0)</f>
        <v>#N/A</v>
      </c>
      <c r="AJ284" s="115" t="e">
        <f>VLOOKUP($A284,'S47'!$C:$BQ,59,0)</f>
        <v>#N/A</v>
      </c>
      <c r="AK284" s="115" t="e">
        <f>VLOOKUP($A284,'S47'!$C:$BQ,60,0)</f>
        <v>#N/A</v>
      </c>
      <c r="AL284" s="107" t="e">
        <f>VLOOKUP($A284,'S48'!$C:$BQ,32,0)</f>
        <v>#N/A</v>
      </c>
      <c r="AM284" s="107" t="e">
        <f>VLOOKUP($A284,'S48'!$C:$BQ,39,0)</f>
        <v>#N/A</v>
      </c>
      <c r="AN284" s="107" t="e">
        <f>VLOOKUP($A284,'S48'!$C:$BQ,40,0)</f>
        <v>#N/A</v>
      </c>
      <c r="AO284" s="107" t="e">
        <f>VLOOKUP($A284,'S48'!$C:$BQ,22,0)</f>
        <v>#N/A</v>
      </c>
      <c r="AP284" s="115" t="e">
        <f>VLOOKUP($A284,'S48'!$C:$BQ,29,0)</f>
        <v>#N/A</v>
      </c>
      <c r="AQ284" s="115" t="e">
        <f>VLOOKUP($A284,'S48'!$C:$BQ,30,0)</f>
        <v>#N/A</v>
      </c>
      <c r="AR284" s="115" t="e">
        <f>VLOOKUP($A284,'S48'!$C:$BQ,52,0)</f>
        <v>#N/A</v>
      </c>
      <c r="AS284" s="115" t="e">
        <f>VLOOKUP($A284,'S48'!$C:$BQ,59,0)</f>
        <v>#N/A</v>
      </c>
      <c r="AT284" s="115" t="e">
        <f>VLOOKUP($A284,'S48'!$C:$BQ,60,0)</f>
        <v>#N/A</v>
      </c>
      <c r="AU284" s="107" t="e">
        <f>VLOOKUP($A284,'S49'!$C:$BQ,32,0)</f>
        <v>#N/A</v>
      </c>
      <c r="AV284" s="107" t="e">
        <f>VLOOKUP($A284,'S49'!$C:$BQ,39,0)</f>
        <v>#N/A</v>
      </c>
      <c r="AW284" s="107" t="e">
        <f>VLOOKUP($A284,'S49'!$C:$BQ,40,0)</f>
        <v>#N/A</v>
      </c>
      <c r="AX284" s="107" t="e">
        <f>VLOOKUP($A284,'S49'!$C:$BQ,22,0)</f>
        <v>#N/A</v>
      </c>
      <c r="AY284" s="115" t="e">
        <f>VLOOKUP($A284,'S49'!$C:$BQ,29,0)</f>
        <v>#N/A</v>
      </c>
      <c r="AZ284" s="115" t="e">
        <f>VLOOKUP($A284,'S49'!$C:$BQ,30,0)</f>
        <v>#N/A</v>
      </c>
      <c r="BA284" s="115" t="e">
        <f>VLOOKUP($A284,'S49'!$C:$BQ,52,0)</f>
        <v>#N/A</v>
      </c>
      <c r="BB284" s="115" t="e">
        <f>VLOOKUP($A284,'S49'!$C:$BQ,59,0)</f>
        <v>#N/A</v>
      </c>
      <c r="BC284" s="115" t="e">
        <f>VLOOKUP($A284,'S49'!$C:$BQ,60,0)</f>
        <v>#N/A</v>
      </c>
      <c r="BD284" s="107" t="e">
        <f>VLOOKUP($A284,'S50'!$C:$BQ,32,0)</f>
        <v>#N/A</v>
      </c>
      <c r="BE284" s="107" t="e">
        <f>VLOOKUP($A284,'S50'!$C:$BQ,39,0)</f>
        <v>#N/A</v>
      </c>
      <c r="BF284" s="107" t="e">
        <f>VLOOKUP($A284,'S50'!$C:$BQ,40,0)</f>
        <v>#N/A</v>
      </c>
      <c r="BG284" s="107" t="e">
        <f>VLOOKUP($A284,'S50'!$C:$BQ,22,0)</f>
        <v>#N/A</v>
      </c>
      <c r="BH284" s="115" t="e">
        <f>VLOOKUP($A284,'S50'!$C:$BQ,29,0)</f>
        <v>#N/A</v>
      </c>
      <c r="BI284" s="115" t="e">
        <f>VLOOKUP($A284,'S50'!$C:$BQ,30,0)</f>
        <v>#N/A</v>
      </c>
      <c r="BJ284" s="115" t="e">
        <f>VLOOKUP($A284,'S50'!$C:$BQ,52,0)</f>
        <v>#N/A</v>
      </c>
      <c r="BK284" s="115" t="e">
        <f>VLOOKUP($A284,'S50'!$C:$BQ,59,0)</f>
        <v>#N/A</v>
      </c>
      <c r="BL284" s="115" t="e">
        <f>VLOOKUP($A284,'S50'!$C:$BQ,60,0)</f>
        <v>#N/A</v>
      </c>
    </row>
    <row r="285" spans="1:64" x14ac:dyDescent="0.2">
      <c r="A285" s="106" t="s">
        <v>361</v>
      </c>
      <c r="B285" s="107">
        <f>VLOOKUP($A285,'S0 remplacer avec S44'!$C:$BQ,32,0)</f>
        <v>191.45</v>
      </c>
      <c r="C285" s="107">
        <f>VLOOKUP($A285,'S0 remplacer avec S44'!$C:$BQ,39,0)</f>
        <v>60</v>
      </c>
      <c r="D285" s="107">
        <f>VLOOKUP($A285,'S0 remplacer avec S44'!$C:$BQ,40,0)</f>
        <v>110</v>
      </c>
      <c r="E285" s="107">
        <f>VLOOKUP($A285,'S0 remplacer avec S44'!$C:$BQ,22,0)</f>
        <v>2239.0603099999998</v>
      </c>
      <c r="F285" s="115">
        <f>VLOOKUP($A285,'S0 remplacer avec S44'!$C:$BQ,29,0)</f>
        <v>44</v>
      </c>
      <c r="G285" s="115">
        <f>VLOOKUP($A285,'S0 remplacer avec S44'!$C:$BQ,30,0)</f>
        <v>501</v>
      </c>
      <c r="H285" s="115">
        <f>VLOOKUP($A285,'S0 remplacer avec S44'!$C:$BQ,52,0)</f>
        <v>133.6</v>
      </c>
      <c r="I285" s="115">
        <f>VLOOKUP($A285,'S0 remplacer avec S44'!$C:$BQ,59,0)</f>
        <v>0</v>
      </c>
      <c r="J285" s="115">
        <f>VLOOKUP($A285,'S0 remplacer avec S44'!$C:$BQ,60,0)</f>
        <v>20</v>
      </c>
      <c r="K285" s="107" t="e">
        <f>VLOOKUP($A285,'S45'!$C:$BQ,32,0)</f>
        <v>#N/A</v>
      </c>
      <c r="L285" s="107" t="e">
        <f>VLOOKUP($A285,'S45'!$C:$BQ,39,0)</f>
        <v>#N/A</v>
      </c>
      <c r="M285" s="107" t="e">
        <f>VLOOKUP($A285,'S45'!$C:$BQ,40,0)</f>
        <v>#N/A</v>
      </c>
      <c r="N285" s="107" t="e">
        <f>VLOOKUP($A285,'S45'!$C:$BQ,22,0)</f>
        <v>#N/A</v>
      </c>
      <c r="O285" s="115" t="e">
        <f>VLOOKUP($A285,'S45'!$C:$BQ,29,0)</f>
        <v>#N/A</v>
      </c>
      <c r="P285" s="115" t="e">
        <f>VLOOKUP($A285,'S45'!$C:$BQ,30,0)</f>
        <v>#N/A</v>
      </c>
      <c r="Q285" s="115" t="e">
        <f>VLOOKUP($A285,'S45'!$C:$BQ,52,0)</f>
        <v>#N/A</v>
      </c>
      <c r="R285" s="115" t="e">
        <f>VLOOKUP($A285,'S45'!$C:$BQ,59,0)</f>
        <v>#N/A</v>
      </c>
      <c r="S285" s="115" t="e">
        <f>VLOOKUP($A285,'S45'!$C:$BQ,60,0)</f>
        <v>#N/A</v>
      </c>
      <c r="T285" s="107" t="e">
        <f>VLOOKUP($A285,'S46'!$C:$BQ,32,0)</f>
        <v>#N/A</v>
      </c>
      <c r="U285" s="107" t="e">
        <f>VLOOKUP($A285,'S46'!$C:$BQ,39,0)</f>
        <v>#N/A</v>
      </c>
      <c r="V285" s="107" t="e">
        <f>VLOOKUP($A285,'S46'!$C:$BQ,40,0)</f>
        <v>#N/A</v>
      </c>
      <c r="W285" s="107" t="e">
        <f>VLOOKUP($A285,'S46'!$C:$BQ,22,0)</f>
        <v>#N/A</v>
      </c>
      <c r="X285" s="115" t="e">
        <f>VLOOKUP($A285,'S46'!$C:$BQ,29,0)</f>
        <v>#N/A</v>
      </c>
      <c r="Y285" s="115" t="e">
        <f>VLOOKUP($A285,'S46'!$C:$BQ,30,0)</f>
        <v>#N/A</v>
      </c>
      <c r="Z285" s="115" t="e">
        <f>VLOOKUP($A285,'S46'!$C:$BQ,52,0)</f>
        <v>#N/A</v>
      </c>
      <c r="AA285" s="115" t="e">
        <f>VLOOKUP($A285,'S46'!$C:$BQ,59,0)</f>
        <v>#N/A</v>
      </c>
      <c r="AB285" s="115" t="e">
        <f>VLOOKUP($A285,'S46'!$C:$BQ,60,0)</f>
        <v>#N/A</v>
      </c>
      <c r="AC285" s="107" t="e">
        <f>VLOOKUP($A285,'S47'!$C:$BQ,32,0)</f>
        <v>#N/A</v>
      </c>
      <c r="AD285" s="107" t="e">
        <f>VLOOKUP($A285,'S47'!$C:$BQ,39,0)</f>
        <v>#N/A</v>
      </c>
      <c r="AE285" s="107" t="e">
        <f>VLOOKUP($A285,'S47'!$C:$BQ,40,0)</f>
        <v>#N/A</v>
      </c>
      <c r="AF285" s="107" t="e">
        <f>VLOOKUP($A285,'S47'!$C:$BQ,22,0)</f>
        <v>#N/A</v>
      </c>
      <c r="AG285" s="115" t="e">
        <f>VLOOKUP($A285,'S47'!$C:$BQ,29,0)</f>
        <v>#N/A</v>
      </c>
      <c r="AH285" s="115" t="e">
        <f>VLOOKUP($A285,'S47'!$C:$BQ,30,0)</f>
        <v>#N/A</v>
      </c>
      <c r="AI285" s="115" t="e">
        <f>VLOOKUP($A285,'S47'!$C:$BQ,52,0)</f>
        <v>#N/A</v>
      </c>
      <c r="AJ285" s="115" t="e">
        <f>VLOOKUP($A285,'S47'!$C:$BQ,59,0)</f>
        <v>#N/A</v>
      </c>
      <c r="AK285" s="115" t="e">
        <f>VLOOKUP($A285,'S47'!$C:$BQ,60,0)</f>
        <v>#N/A</v>
      </c>
      <c r="AL285" s="107" t="e">
        <f>VLOOKUP($A285,'S48'!$C:$BQ,32,0)</f>
        <v>#N/A</v>
      </c>
      <c r="AM285" s="107" t="e">
        <f>VLOOKUP($A285,'S48'!$C:$BQ,39,0)</f>
        <v>#N/A</v>
      </c>
      <c r="AN285" s="107" t="e">
        <f>VLOOKUP($A285,'S48'!$C:$BQ,40,0)</f>
        <v>#N/A</v>
      </c>
      <c r="AO285" s="107" t="e">
        <f>VLOOKUP($A285,'S48'!$C:$BQ,22,0)</f>
        <v>#N/A</v>
      </c>
      <c r="AP285" s="115" t="e">
        <f>VLOOKUP($A285,'S48'!$C:$BQ,29,0)</f>
        <v>#N/A</v>
      </c>
      <c r="AQ285" s="115" t="e">
        <f>VLOOKUP($A285,'S48'!$C:$BQ,30,0)</f>
        <v>#N/A</v>
      </c>
      <c r="AR285" s="115" t="e">
        <f>VLOOKUP($A285,'S48'!$C:$BQ,52,0)</f>
        <v>#N/A</v>
      </c>
      <c r="AS285" s="115" t="e">
        <f>VLOOKUP($A285,'S48'!$C:$BQ,59,0)</f>
        <v>#N/A</v>
      </c>
      <c r="AT285" s="115" t="e">
        <f>VLOOKUP($A285,'S48'!$C:$BQ,60,0)</f>
        <v>#N/A</v>
      </c>
      <c r="AU285" s="107" t="e">
        <f>VLOOKUP($A285,'S49'!$C:$BQ,32,0)</f>
        <v>#N/A</v>
      </c>
      <c r="AV285" s="107" t="e">
        <f>VLOOKUP($A285,'S49'!$C:$BQ,39,0)</f>
        <v>#N/A</v>
      </c>
      <c r="AW285" s="107" t="e">
        <f>VLOOKUP($A285,'S49'!$C:$BQ,40,0)</f>
        <v>#N/A</v>
      </c>
      <c r="AX285" s="107" t="e">
        <f>VLOOKUP($A285,'S49'!$C:$BQ,22,0)</f>
        <v>#N/A</v>
      </c>
      <c r="AY285" s="115" t="e">
        <f>VLOOKUP($A285,'S49'!$C:$BQ,29,0)</f>
        <v>#N/A</v>
      </c>
      <c r="AZ285" s="115" t="e">
        <f>VLOOKUP($A285,'S49'!$C:$BQ,30,0)</f>
        <v>#N/A</v>
      </c>
      <c r="BA285" s="115" t="e">
        <f>VLOOKUP($A285,'S49'!$C:$BQ,52,0)</f>
        <v>#N/A</v>
      </c>
      <c r="BB285" s="115" t="e">
        <f>VLOOKUP($A285,'S49'!$C:$BQ,59,0)</f>
        <v>#N/A</v>
      </c>
      <c r="BC285" s="115" t="e">
        <f>VLOOKUP($A285,'S49'!$C:$BQ,60,0)</f>
        <v>#N/A</v>
      </c>
      <c r="BD285" s="107" t="e">
        <f>VLOOKUP($A285,'S50'!$C:$BQ,32,0)</f>
        <v>#N/A</v>
      </c>
      <c r="BE285" s="107" t="e">
        <f>VLOOKUP($A285,'S50'!$C:$BQ,39,0)</f>
        <v>#N/A</v>
      </c>
      <c r="BF285" s="107" t="e">
        <f>VLOOKUP($A285,'S50'!$C:$BQ,40,0)</f>
        <v>#N/A</v>
      </c>
      <c r="BG285" s="107" t="e">
        <f>VLOOKUP($A285,'S50'!$C:$BQ,22,0)</f>
        <v>#N/A</v>
      </c>
      <c r="BH285" s="115" t="e">
        <f>VLOOKUP($A285,'S50'!$C:$BQ,29,0)</f>
        <v>#N/A</v>
      </c>
      <c r="BI285" s="115" t="e">
        <f>VLOOKUP($A285,'S50'!$C:$BQ,30,0)</f>
        <v>#N/A</v>
      </c>
      <c r="BJ285" s="115" t="e">
        <f>VLOOKUP($A285,'S50'!$C:$BQ,52,0)</f>
        <v>#N/A</v>
      </c>
      <c r="BK285" s="115" t="e">
        <f>VLOOKUP($A285,'S50'!$C:$BQ,59,0)</f>
        <v>#N/A</v>
      </c>
      <c r="BL285" s="115" t="e">
        <f>VLOOKUP($A285,'S50'!$C:$BQ,60,0)</f>
        <v>#N/A</v>
      </c>
    </row>
    <row r="286" spans="1:64" x14ac:dyDescent="0.2">
      <c r="A286" s="106" t="s">
        <v>362</v>
      </c>
      <c r="B286" s="107">
        <f>VLOOKUP($A286,'S0 remplacer avec S44'!$C:$BQ,32,0)</f>
        <v>292.14999999999998</v>
      </c>
      <c r="C286" s="107">
        <f>VLOOKUP($A286,'S0 remplacer avec S44'!$C:$BQ,39,0)</f>
        <v>24</v>
      </c>
      <c r="D286" s="107">
        <f>VLOOKUP($A286,'S0 remplacer avec S44'!$C:$BQ,40,0)</f>
        <v>87</v>
      </c>
      <c r="E286" s="107">
        <f>VLOOKUP($A286,'S0 remplacer avec S44'!$C:$BQ,22,0)</f>
        <v>3096.300835</v>
      </c>
      <c r="F286" s="115">
        <f>VLOOKUP($A286,'S0 remplacer avec S44'!$C:$BQ,29,0)</f>
        <v>0</v>
      </c>
      <c r="G286" s="115">
        <f>VLOOKUP($A286,'S0 remplacer avec S44'!$C:$BQ,30,0)</f>
        <v>352</v>
      </c>
      <c r="H286" s="115">
        <f>VLOOKUP($A286,'S0 remplacer avec S44'!$C:$BQ,52,0)</f>
        <v>184.2</v>
      </c>
      <c r="I286" s="115">
        <f>VLOOKUP($A286,'S0 remplacer avec S44'!$C:$BQ,59,0)</f>
        <v>0</v>
      </c>
      <c r="J286" s="115">
        <f>VLOOKUP($A286,'S0 remplacer avec S44'!$C:$BQ,60,0)</f>
        <v>9</v>
      </c>
      <c r="K286" s="107" t="e">
        <f>VLOOKUP($A286,'S45'!$C:$BQ,32,0)</f>
        <v>#N/A</v>
      </c>
      <c r="L286" s="107" t="e">
        <f>VLOOKUP($A286,'S45'!$C:$BQ,39,0)</f>
        <v>#N/A</v>
      </c>
      <c r="M286" s="107" t="e">
        <f>VLOOKUP($A286,'S45'!$C:$BQ,40,0)</f>
        <v>#N/A</v>
      </c>
      <c r="N286" s="107" t="e">
        <f>VLOOKUP($A286,'S45'!$C:$BQ,22,0)</f>
        <v>#N/A</v>
      </c>
      <c r="O286" s="115" t="e">
        <f>VLOOKUP($A286,'S45'!$C:$BQ,29,0)</f>
        <v>#N/A</v>
      </c>
      <c r="P286" s="115" t="e">
        <f>VLOOKUP($A286,'S45'!$C:$BQ,30,0)</f>
        <v>#N/A</v>
      </c>
      <c r="Q286" s="115" t="e">
        <f>VLOOKUP($A286,'S45'!$C:$BQ,52,0)</f>
        <v>#N/A</v>
      </c>
      <c r="R286" s="115" t="e">
        <f>VLOOKUP($A286,'S45'!$C:$BQ,59,0)</f>
        <v>#N/A</v>
      </c>
      <c r="S286" s="115" t="e">
        <f>VLOOKUP($A286,'S45'!$C:$BQ,60,0)</f>
        <v>#N/A</v>
      </c>
      <c r="T286" s="107" t="e">
        <f>VLOOKUP($A286,'S46'!$C:$BQ,32,0)</f>
        <v>#N/A</v>
      </c>
      <c r="U286" s="107" t="e">
        <f>VLOOKUP($A286,'S46'!$C:$BQ,39,0)</f>
        <v>#N/A</v>
      </c>
      <c r="V286" s="107" t="e">
        <f>VLOOKUP($A286,'S46'!$C:$BQ,40,0)</f>
        <v>#N/A</v>
      </c>
      <c r="W286" s="107" t="e">
        <f>VLOOKUP($A286,'S46'!$C:$BQ,22,0)</f>
        <v>#N/A</v>
      </c>
      <c r="X286" s="115" t="e">
        <f>VLOOKUP($A286,'S46'!$C:$BQ,29,0)</f>
        <v>#N/A</v>
      </c>
      <c r="Y286" s="115" t="e">
        <f>VLOOKUP($A286,'S46'!$C:$BQ,30,0)</f>
        <v>#N/A</v>
      </c>
      <c r="Z286" s="115" t="e">
        <f>VLOOKUP($A286,'S46'!$C:$BQ,52,0)</f>
        <v>#N/A</v>
      </c>
      <c r="AA286" s="115" t="e">
        <f>VLOOKUP($A286,'S46'!$C:$BQ,59,0)</f>
        <v>#N/A</v>
      </c>
      <c r="AB286" s="115" t="e">
        <f>VLOOKUP($A286,'S46'!$C:$BQ,60,0)</f>
        <v>#N/A</v>
      </c>
      <c r="AC286" s="107" t="e">
        <f>VLOOKUP($A286,'S47'!$C:$BQ,32,0)</f>
        <v>#N/A</v>
      </c>
      <c r="AD286" s="107" t="e">
        <f>VLOOKUP($A286,'S47'!$C:$BQ,39,0)</f>
        <v>#N/A</v>
      </c>
      <c r="AE286" s="107" t="e">
        <f>VLOOKUP($A286,'S47'!$C:$BQ,40,0)</f>
        <v>#N/A</v>
      </c>
      <c r="AF286" s="107" t="e">
        <f>VLOOKUP($A286,'S47'!$C:$BQ,22,0)</f>
        <v>#N/A</v>
      </c>
      <c r="AG286" s="115" t="e">
        <f>VLOOKUP($A286,'S47'!$C:$BQ,29,0)</f>
        <v>#N/A</v>
      </c>
      <c r="AH286" s="115" t="e">
        <f>VLOOKUP($A286,'S47'!$C:$BQ,30,0)</f>
        <v>#N/A</v>
      </c>
      <c r="AI286" s="115" t="e">
        <f>VLOOKUP($A286,'S47'!$C:$BQ,52,0)</f>
        <v>#N/A</v>
      </c>
      <c r="AJ286" s="115" t="e">
        <f>VLOOKUP($A286,'S47'!$C:$BQ,59,0)</f>
        <v>#N/A</v>
      </c>
      <c r="AK286" s="115" t="e">
        <f>VLOOKUP($A286,'S47'!$C:$BQ,60,0)</f>
        <v>#N/A</v>
      </c>
      <c r="AL286" s="107" t="e">
        <f>VLOOKUP($A286,'S48'!$C:$BQ,32,0)</f>
        <v>#N/A</v>
      </c>
      <c r="AM286" s="107" t="e">
        <f>VLOOKUP($A286,'S48'!$C:$BQ,39,0)</f>
        <v>#N/A</v>
      </c>
      <c r="AN286" s="107" t="e">
        <f>VLOOKUP($A286,'S48'!$C:$BQ,40,0)</f>
        <v>#N/A</v>
      </c>
      <c r="AO286" s="107" t="e">
        <f>VLOOKUP($A286,'S48'!$C:$BQ,22,0)</f>
        <v>#N/A</v>
      </c>
      <c r="AP286" s="115" t="e">
        <f>VLOOKUP($A286,'S48'!$C:$BQ,29,0)</f>
        <v>#N/A</v>
      </c>
      <c r="AQ286" s="115" t="e">
        <f>VLOOKUP($A286,'S48'!$C:$BQ,30,0)</f>
        <v>#N/A</v>
      </c>
      <c r="AR286" s="115" t="e">
        <f>VLOOKUP($A286,'S48'!$C:$BQ,52,0)</f>
        <v>#N/A</v>
      </c>
      <c r="AS286" s="115" t="e">
        <f>VLOOKUP($A286,'S48'!$C:$BQ,59,0)</f>
        <v>#N/A</v>
      </c>
      <c r="AT286" s="115" t="e">
        <f>VLOOKUP($A286,'S48'!$C:$BQ,60,0)</f>
        <v>#N/A</v>
      </c>
      <c r="AU286" s="107" t="e">
        <f>VLOOKUP($A286,'S49'!$C:$BQ,32,0)</f>
        <v>#N/A</v>
      </c>
      <c r="AV286" s="107" t="e">
        <f>VLOOKUP($A286,'S49'!$C:$BQ,39,0)</f>
        <v>#N/A</v>
      </c>
      <c r="AW286" s="107" t="e">
        <f>VLOOKUP($A286,'S49'!$C:$BQ,40,0)</f>
        <v>#N/A</v>
      </c>
      <c r="AX286" s="107" t="e">
        <f>VLOOKUP($A286,'S49'!$C:$BQ,22,0)</f>
        <v>#N/A</v>
      </c>
      <c r="AY286" s="115" t="e">
        <f>VLOOKUP($A286,'S49'!$C:$BQ,29,0)</f>
        <v>#N/A</v>
      </c>
      <c r="AZ286" s="115" t="e">
        <f>VLOOKUP($A286,'S49'!$C:$BQ,30,0)</f>
        <v>#N/A</v>
      </c>
      <c r="BA286" s="115" t="e">
        <f>VLOOKUP($A286,'S49'!$C:$BQ,52,0)</f>
        <v>#N/A</v>
      </c>
      <c r="BB286" s="115" t="e">
        <f>VLOOKUP($A286,'S49'!$C:$BQ,59,0)</f>
        <v>#N/A</v>
      </c>
      <c r="BC286" s="115" t="e">
        <f>VLOOKUP($A286,'S49'!$C:$BQ,60,0)</f>
        <v>#N/A</v>
      </c>
      <c r="BD286" s="107" t="e">
        <f>VLOOKUP($A286,'S50'!$C:$BQ,32,0)</f>
        <v>#N/A</v>
      </c>
      <c r="BE286" s="107" t="e">
        <f>VLOOKUP($A286,'S50'!$C:$BQ,39,0)</f>
        <v>#N/A</v>
      </c>
      <c r="BF286" s="107" t="e">
        <f>VLOOKUP($A286,'S50'!$C:$BQ,40,0)</f>
        <v>#N/A</v>
      </c>
      <c r="BG286" s="107" t="e">
        <f>VLOOKUP($A286,'S50'!$C:$BQ,22,0)</f>
        <v>#N/A</v>
      </c>
      <c r="BH286" s="115" t="e">
        <f>VLOOKUP($A286,'S50'!$C:$BQ,29,0)</f>
        <v>#N/A</v>
      </c>
      <c r="BI286" s="115" t="e">
        <f>VLOOKUP($A286,'S50'!$C:$BQ,30,0)</f>
        <v>#N/A</v>
      </c>
      <c r="BJ286" s="115" t="e">
        <f>VLOOKUP($A286,'S50'!$C:$BQ,52,0)</f>
        <v>#N/A</v>
      </c>
      <c r="BK286" s="115" t="e">
        <f>VLOOKUP($A286,'S50'!$C:$BQ,59,0)</f>
        <v>#N/A</v>
      </c>
      <c r="BL286" s="115" t="e">
        <f>VLOOKUP($A286,'S50'!$C:$BQ,60,0)</f>
        <v>#N/A</v>
      </c>
    </row>
    <row r="287" spans="1:64" x14ac:dyDescent="0.2">
      <c r="A287" s="106" t="s">
        <v>363</v>
      </c>
      <c r="B287" s="107">
        <f>VLOOKUP($A287,'S0 remplacer avec S44'!$C:$BQ,32,0)</f>
        <v>173</v>
      </c>
      <c r="C287" s="107">
        <f>VLOOKUP($A287,'S0 remplacer avec S44'!$C:$BQ,39,0)</f>
        <v>0</v>
      </c>
      <c r="D287" s="107">
        <f>VLOOKUP($A287,'S0 remplacer avec S44'!$C:$BQ,40,0)</f>
        <v>0</v>
      </c>
      <c r="E287" s="107">
        <f>VLOOKUP($A287,'S0 remplacer avec S44'!$C:$BQ,22,0)</f>
        <v>1861.2276099999999</v>
      </c>
      <c r="F287" s="115">
        <f>VLOOKUP($A287,'S0 remplacer avec S44'!$C:$BQ,29,0)</f>
        <v>0</v>
      </c>
      <c r="G287" s="115">
        <f>VLOOKUP($A287,'S0 remplacer avec S44'!$C:$BQ,30,0)</f>
        <v>0</v>
      </c>
      <c r="H287" s="115">
        <f>VLOOKUP($A287,'S0 remplacer avec S44'!$C:$BQ,52,0)</f>
        <v>85.4</v>
      </c>
      <c r="I287" s="115">
        <f>VLOOKUP($A287,'S0 remplacer avec S44'!$C:$BQ,59,0)</f>
        <v>0</v>
      </c>
      <c r="J287" s="115">
        <f>VLOOKUP($A287,'S0 remplacer avec S44'!$C:$BQ,60,0)</f>
        <v>0</v>
      </c>
      <c r="K287" s="107" t="e">
        <f>VLOOKUP($A287,'S45'!$C:$BQ,32,0)</f>
        <v>#N/A</v>
      </c>
      <c r="L287" s="107" t="e">
        <f>VLOOKUP($A287,'S45'!$C:$BQ,39,0)</f>
        <v>#N/A</v>
      </c>
      <c r="M287" s="107" t="e">
        <f>VLOOKUP($A287,'S45'!$C:$BQ,40,0)</f>
        <v>#N/A</v>
      </c>
      <c r="N287" s="107" t="e">
        <f>VLOOKUP($A287,'S45'!$C:$BQ,22,0)</f>
        <v>#N/A</v>
      </c>
      <c r="O287" s="115" t="e">
        <f>VLOOKUP($A287,'S45'!$C:$BQ,29,0)</f>
        <v>#N/A</v>
      </c>
      <c r="P287" s="115" t="e">
        <f>VLOOKUP($A287,'S45'!$C:$BQ,30,0)</f>
        <v>#N/A</v>
      </c>
      <c r="Q287" s="115" t="e">
        <f>VLOOKUP($A287,'S45'!$C:$BQ,52,0)</f>
        <v>#N/A</v>
      </c>
      <c r="R287" s="115" t="e">
        <f>VLOOKUP($A287,'S45'!$C:$BQ,59,0)</f>
        <v>#N/A</v>
      </c>
      <c r="S287" s="115" t="e">
        <f>VLOOKUP($A287,'S45'!$C:$BQ,60,0)</f>
        <v>#N/A</v>
      </c>
      <c r="T287" s="107" t="e">
        <f>VLOOKUP($A287,'S46'!$C:$BQ,32,0)</f>
        <v>#N/A</v>
      </c>
      <c r="U287" s="107" t="e">
        <f>VLOOKUP($A287,'S46'!$C:$BQ,39,0)</f>
        <v>#N/A</v>
      </c>
      <c r="V287" s="107" t="e">
        <f>VLOOKUP($A287,'S46'!$C:$BQ,40,0)</f>
        <v>#N/A</v>
      </c>
      <c r="W287" s="107" t="e">
        <f>VLOOKUP($A287,'S46'!$C:$BQ,22,0)</f>
        <v>#N/A</v>
      </c>
      <c r="X287" s="115" t="e">
        <f>VLOOKUP($A287,'S46'!$C:$BQ,29,0)</f>
        <v>#N/A</v>
      </c>
      <c r="Y287" s="115" t="e">
        <f>VLOOKUP($A287,'S46'!$C:$BQ,30,0)</f>
        <v>#N/A</v>
      </c>
      <c r="Z287" s="115" t="e">
        <f>VLOOKUP($A287,'S46'!$C:$BQ,52,0)</f>
        <v>#N/A</v>
      </c>
      <c r="AA287" s="115" t="e">
        <f>VLOOKUP($A287,'S46'!$C:$BQ,59,0)</f>
        <v>#N/A</v>
      </c>
      <c r="AB287" s="115" t="e">
        <f>VLOOKUP($A287,'S46'!$C:$BQ,60,0)</f>
        <v>#N/A</v>
      </c>
      <c r="AC287" s="107" t="e">
        <f>VLOOKUP($A287,'S47'!$C:$BQ,32,0)</f>
        <v>#N/A</v>
      </c>
      <c r="AD287" s="107" t="e">
        <f>VLOOKUP($A287,'S47'!$C:$BQ,39,0)</f>
        <v>#N/A</v>
      </c>
      <c r="AE287" s="107" t="e">
        <f>VLOOKUP($A287,'S47'!$C:$BQ,40,0)</f>
        <v>#N/A</v>
      </c>
      <c r="AF287" s="107" t="e">
        <f>VLOOKUP($A287,'S47'!$C:$BQ,22,0)</f>
        <v>#N/A</v>
      </c>
      <c r="AG287" s="115" t="e">
        <f>VLOOKUP($A287,'S47'!$C:$BQ,29,0)</f>
        <v>#N/A</v>
      </c>
      <c r="AH287" s="115" t="e">
        <f>VLOOKUP($A287,'S47'!$C:$BQ,30,0)</f>
        <v>#N/A</v>
      </c>
      <c r="AI287" s="115" t="e">
        <f>VLOOKUP($A287,'S47'!$C:$BQ,52,0)</f>
        <v>#N/A</v>
      </c>
      <c r="AJ287" s="115" t="e">
        <f>VLOOKUP($A287,'S47'!$C:$BQ,59,0)</f>
        <v>#N/A</v>
      </c>
      <c r="AK287" s="115" t="e">
        <f>VLOOKUP($A287,'S47'!$C:$BQ,60,0)</f>
        <v>#N/A</v>
      </c>
      <c r="AL287" s="107" t="e">
        <f>VLOOKUP($A287,'S48'!$C:$BQ,32,0)</f>
        <v>#N/A</v>
      </c>
      <c r="AM287" s="107" t="e">
        <f>VLOOKUP($A287,'S48'!$C:$BQ,39,0)</f>
        <v>#N/A</v>
      </c>
      <c r="AN287" s="107" t="e">
        <f>VLOOKUP($A287,'S48'!$C:$BQ,40,0)</f>
        <v>#N/A</v>
      </c>
      <c r="AO287" s="107" t="e">
        <f>VLOOKUP($A287,'S48'!$C:$BQ,22,0)</f>
        <v>#N/A</v>
      </c>
      <c r="AP287" s="115" t="e">
        <f>VLOOKUP($A287,'S48'!$C:$BQ,29,0)</f>
        <v>#N/A</v>
      </c>
      <c r="AQ287" s="115" t="e">
        <f>VLOOKUP($A287,'S48'!$C:$BQ,30,0)</f>
        <v>#N/A</v>
      </c>
      <c r="AR287" s="115" t="e">
        <f>VLOOKUP($A287,'S48'!$C:$BQ,52,0)</f>
        <v>#N/A</v>
      </c>
      <c r="AS287" s="115" t="e">
        <f>VLOOKUP($A287,'S48'!$C:$BQ,59,0)</f>
        <v>#N/A</v>
      </c>
      <c r="AT287" s="115" t="e">
        <f>VLOOKUP($A287,'S48'!$C:$BQ,60,0)</f>
        <v>#N/A</v>
      </c>
      <c r="AU287" s="107" t="e">
        <f>VLOOKUP($A287,'S49'!$C:$BQ,32,0)</f>
        <v>#N/A</v>
      </c>
      <c r="AV287" s="107" t="e">
        <f>VLOOKUP($A287,'S49'!$C:$BQ,39,0)</f>
        <v>#N/A</v>
      </c>
      <c r="AW287" s="107" t="e">
        <f>VLOOKUP($A287,'S49'!$C:$BQ,40,0)</f>
        <v>#N/A</v>
      </c>
      <c r="AX287" s="107" t="e">
        <f>VLOOKUP($A287,'S49'!$C:$BQ,22,0)</f>
        <v>#N/A</v>
      </c>
      <c r="AY287" s="115" t="e">
        <f>VLOOKUP($A287,'S49'!$C:$BQ,29,0)</f>
        <v>#N/A</v>
      </c>
      <c r="AZ287" s="115" t="e">
        <f>VLOOKUP($A287,'S49'!$C:$BQ,30,0)</f>
        <v>#N/A</v>
      </c>
      <c r="BA287" s="115" t="e">
        <f>VLOOKUP($A287,'S49'!$C:$BQ,52,0)</f>
        <v>#N/A</v>
      </c>
      <c r="BB287" s="115" t="e">
        <f>VLOOKUP($A287,'S49'!$C:$BQ,59,0)</f>
        <v>#N/A</v>
      </c>
      <c r="BC287" s="115" t="e">
        <f>VLOOKUP($A287,'S49'!$C:$BQ,60,0)</f>
        <v>#N/A</v>
      </c>
      <c r="BD287" s="107" t="e">
        <f>VLOOKUP($A287,'S50'!$C:$BQ,32,0)</f>
        <v>#N/A</v>
      </c>
      <c r="BE287" s="107" t="e">
        <f>VLOOKUP($A287,'S50'!$C:$BQ,39,0)</f>
        <v>#N/A</v>
      </c>
      <c r="BF287" s="107" t="e">
        <f>VLOOKUP($A287,'S50'!$C:$BQ,40,0)</f>
        <v>#N/A</v>
      </c>
      <c r="BG287" s="107" t="e">
        <f>VLOOKUP($A287,'S50'!$C:$BQ,22,0)</f>
        <v>#N/A</v>
      </c>
      <c r="BH287" s="115" t="e">
        <f>VLOOKUP($A287,'S50'!$C:$BQ,29,0)</f>
        <v>#N/A</v>
      </c>
      <c r="BI287" s="115" t="e">
        <f>VLOOKUP($A287,'S50'!$C:$BQ,30,0)</f>
        <v>#N/A</v>
      </c>
      <c r="BJ287" s="115" t="e">
        <f>VLOOKUP($A287,'S50'!$C:$BQ,52,0)</f>
        <v>#N/A</v>
      </c>
      <c r="BK287" s="115" t="e">
        <f>VLOOKUP($A287,'S50'!$C:$BQ,59,0)</f>
        <v>#N/A</v>
      </c>
      <c r="BL287" s="115" t="e">
        <f>VLOOKUP($A287,'S50'!$C:$BQ,60,0)</f>
        <v>#N/A</v>
      </c>
    </row>
    <row r="288" spans="1:64" x14ac:dyDescent="0.2">
      <c r="A288" s="106" t="s">
        <v>364</v>
      </c>
      <c r="B288" s="107">
        <f>VLOOKUP($A288,'S0 remplacer avec S44'!$C:$BQ,32,0)</f>
        <v>76.7</v>
      </c>
      <c r="C288" s="107">
        <f>VLOOKUP($A288,'S0 remplacer avec S44'!$C:$BQ,39,0)</f>
        <v>51</v>
      </c>
      <c r="D288" s="107">
        <f>VLOOKUP($A288,'S0 remplacer avec S44'!$C:$BQ,40,0)</f>
        <v>76</v>
      </c>
      <c r="E288" s="107">
        <f>VLOOKUP($A288,'S0 remplacer avec S44'!$C:$BQ,22,0)</f>
        <v>946.11016500000005</v>
      </c>
      <c r="F288" s="115">
        <f>VLOOKUP($A288,'S0 remplacer avec S44'!$C:$BQ,29,0)</f>
        <v>212</v>
      </c>
      <c r="G288" s="115">
        <f>VLOOKUP($A288,'S0 remplacer avec S44'!$C:$BQ,30,0)</f>
        <v>443</v>
      </c>
      <c r="H288" s="115">
        <f>VLOOKUP($A288,'S0 remplacer avec S44'!$C:$BQ,52,0)</f>
        <v>55</v>
      </c>
      <c r="I288" s="115">
        <f>VLOOKUP($A288,'S0 remplacer avec S44'!$C:$BQ,59,0)</f>
        <v>10</v>
      </c>
      <c r="J288" s="115">
        <f>VLOOKUP($A288,'S0 remplacer avec S44'!$C:$BQ,60,0)</f>
        <v>23</v>
      </c>
      <c r="K288" s="107" t="e">
        <f>VLOOKUP($A288,'S45'!$C:$BQ,32,0)</f>
        <v>#N/A</v>
      </c>
      <c r="L288" s="107" t="e">
        <f>VLOOKUP($A288,'S45'!$C:$BQ,39,0)</f>
        <v>#N/A</v>
      </c>
      <c r="M288" s="107" t="e">
        <f>VLOOKUP($A288,'S45'!$C:$BQ,40,0)</f>
        <v>#N/A</v>
      </c>
      <c r="N288" s="107" t="e">
        <f>VLOOKUP($A288,'S45'!$C:$BQ,22,0)</f>
        <v>#N/A</v>
      </c>
      <c r="O288" s="115" t="e">
        <f>VLOOKUP($A288,'S45'!$C:$BQ,29,0)</f>
        <v>#N/A</v>
      </c>
      <c r="P288" s="115" t="e">
        <f>VLOOKUP($A288,'S45'!$C:$BQ,30,0)</f>
        <v>#N/A</v>
      </c>
      <c r="Q288" s="115" t="e">
        <f>VLOOKUP($A288,'S45'!$C:$BQ,52,0)</f>
        <v>#N/A</v>
      </c>
      <c r="R288" s="115" t="e">
        <f>VLOOKUP($A288,'S45'!$C:$BQ,59,0)</f>
        <v>#N/A</v>
      </c>
      <c r="S288" s="115" t="e">
        <f>VLOOKUP($A288,'S45'!$C:$BQ,60,0)</f>
        <v>#N/A</v>
      </c>
      <c r="T288" s="107" t="e">
        <f>VLOOKUP($A288,'S46'!$C:$BQ,32,0)</f>
        <v>#N/A</v>
      </c>
      <c r="U288" s="107" t="e">
        <f>VLOOKUP($A288,'S46'!$C:$BQ,39,0)</f>
        <v>#N/A</v>
      </c>
      <c r="V288" s="107" t="e">
        <f>VLOOKUP($A288,'S46'!$C:$BQ,40,0)</f>
        <v>#N/A</v>
      </c>
      <c r="W288" s="107" t="e">
        <f>VLOOKUP($A288,'S46'!$C:$BQ,22,0)</f>
        <v>#N/A</v>
      </c>
      <c r="X288" s="115" t="e">
        <f>VLOOKUP($A288,'S46'!$C:$BQ,29,0)</f>
        <v>#N/A</v>
      </c>
      <c r="Y288" s="115" t="e">
        <f>VLOOKUP($A288,'S46'!$C:$BQ,30,0)</f>
        <v>#N/A</v>
      </c>
      <c r="Z288" s="115" t="e">
        <f>VLOOKUP($A288,'S46'!$C:$BQ,52,0)</f>
        <v>#N/A</v>
      </c>
      <c r="AA288" s="115" t="e">
        <f>VLOOKUP($A288,'S46'!$C:$BQ,59,0)</f>
        <v>#N/A</v>
      </c>
      <c r="AB288" s="115" t="e">
        <f>VLOOKUP($A288,'S46'!$C:$BQ,60,0)</f>
        <v>#N/A</v>
      </c>
      <c r="AC288" s="107" t="e">
        <f>VLOOKUP($A288,'S47'!$C:$BQ,32,0)</f>
        <v>#N/A</v>
      </c>
      <c r="AD288" s="107" t="e">
        <f>VLOOKUP($A288,'S47'!$C:$BQ,39,0)</f>
        <v>#N/A</v>
      </c>
      <c r="AE288" s="107" t="e">
        <f>VLOOKUP($A288,'S47'!$C:$BQ,40,0)</f>
        <v>#N/A</v>
      </c>
      <c r="AF288" s="107" t="e">
        <f>VLOOKUP($A288,'S47'!$C:$BQ,22,0)</f>
        <v>#N/A</v>
      </c>
      <c r="AG288" s="115" t="e">
        <f>VLOOKUP($A288,'S47'!$C:$BQ,29,0)</f>
        <v>#N/A</v>
      </c>
      <c r="AH288" s="115" t="e">
        <f>VLOOKUP($A288,'S47'!$C:$BQ,30,0)</f>
        <v>#N/A</v>
      </c>
      <c r="AI288" s="115" t="e">
        <f>VLOOKUP($A288,'S47'!$C:$BQ,52,0)</f>
        <v>#N/A</v>
      </c>
      <c r="AJ288" s="115" t="e">
        <f>VLOOKUP($A288,'S47'!$C:$BQ,59,0)</f>
        <v>#N/A</v>
      </c>
      <c r="AK288" s="115" t="e">
        <f>VLOOKUP($A288,'S47'!$C:$BQ,60,0)</f>
        <v>#N/A</v>
      </c>
      <c r="AL288" s="107" t="e">
        <f>VLOOKUP($A288,'S48'!$C:$BQ,32,0)</f>
        <v>#N/A</v>
      </c>
      <c r="AM288" s="107" t="e">
        <f>VLOOKUP($A288,'S48'!$C:$BQ,39,0)</f>
        <v>#N/A</v>
      </c>
      <c r="AN288" s="107" t="e">
        <f>VLOOKUP($A288,'S48'!$C:$BQ,40,0)</f>
        <v>#N/A</v>
      </c>
      <c r="AO288" s="107" t="e">
        <f>VLOOKUP($A288,'S48'!$C:$BQ,22,0)</f>
        <v>#N/A</v>
      </c>
      <c r="AP288" s="115" t="e">
        <f>VLOOKUP($A288,'S48'!$C:$BQ,29,0)</f>
        <v>#N/A</v>
      </c>
      <c r="AQ288" s="115" t="e">
        <f>VLOOKUP($A288,'S48'!$C:$BQ,30,0)</f>
        <v>#N/A</v>
      </c>
      <c r="AR288" s="115" t="e">
        <f>VLOOKUP($A288,'S48'!$C:$BQ,52,0)</f>
        <v>#N/A</v>
      </c>
      <c r="AS288" s="115" t="e">
        <f>VLOOKUP($A288,'S48'!$C:$BQ,59,0)</f>
        <v>#N/A</v>
      </c>
      <c r="AT288" s="115" t="e">
        <f>VLOOKUP($A288,'S48'!$C:$BQ,60,0)</f>
        <v>#N/A</v>
      </c>
      <c r="AU288" s="107" t="e">
        <f>VLOOKUP($A288,'S49'!$C:$BQ,32,0)</f>
        <v>#N/A</v>
      </c>
      <c r="AV288" s="107" t="e">
        <f>VLOOKUP($A288,'S49'!$C:$BQ,39,0)</f>
        <v>#N/A</v>
      </c>
      <c r="AW288" s="107" t="e">
        <f>VLOOKUP($A288,'S49'!$C:$BQ,40,0)</f>
        <v>#N/A</v>
      </c>
      <c r="AX288" s="107" t="e">
        <f>VLOOKUP($A288,'S49'!$C:$BQ,22,0)</f>
        <v>#N/A</v>
      </c>
      <c r="AY288" s="115" t="e">
        <f>VLOOKUP($A288,'S49'!$C:$BQ,29,0)</f>
        <v>#N/A</v>
      </c>
      <c r="AZ288" s="115" t="e">
        <f>VLOOKUP($A288,'S49'!$C:$BQ,30,0)</f>
        <v>#N/A</v>
      </c>
      <c r="BA288" s="115" t="e">
        <f>VLOOKUP($A288,'S49'!$C:$BQ,52,0)</f>
        <v>#N/A</v>
      </c>
      <c r="BB288" s="115" t="e">
        <f>VLOOKUP($A288,'S49'!$C:$BQ,59,0)</f>
        <v>#N/A</v>
      </c>
      <c r="BC288" s="115" t="e">
        <f>VLOOKUP($A288,'S49'!$C:$BQ,60,0)</f>
        <v>#N/A</v>
      </c>
      <c r="BD288" s="107" t="e">
        <f>VLOOKUP($A288,'S50'!$C:$BQ,32,0)</f>
        <v>#N/A</v>
      </c>
      <c r="BE288" s="107" t="e">
        <f>VLOOKUP($A288,'S50'!$C:$BQ,39,0)</f>
        <v>#N/A</v>
      </c>
      <c r="BF288" s="107" t="e">
        <f>VLOOKUP($A288,'S50'!$C:$BQ,40,0)</f>
        <v>#N/A</v>
      </c>
      <c r="BG288" s="107" t="e">
        <f>VLOOKUP($A288,'S50'!$C:$BQ,22,0)</f>
        <v>#N/A</v>
      </c>
      <c r="BH288" s="115" t="e">
        <f>VLOOKUP($A288,'S50'!$C:$BQ,29,0)</f>
        <v>#N/A</v>
      </c>
      <c r="BI288" s="115" t="e">
        <f>VLOOKUP($A288,'S50'!$C:$BQ,30,0)</f>
        <v>#N/A</v>
      </c>
      <c r="BJ288" s="115" t="e">
        <f>VLOOKUP($A288,'S50'!$C:$BQ,52,0)</f>
        <v>#N/A</v>
      </c>
      <c r="BK288" s="115" t="e">
        <f>VLOOKUP($A288,'S50'!$C:$BQ,59,0)</f>
        <v>#N/A</v>
      </c>
      <c r="BL288" s="115" t="e">
        <f>VLOOKUP($A288,'S50'!$C:$BQ,60,0)</f>
        <v>#N/A</v>
      </c>
    </row>
    <row r="289" spans="1:64" x14ac:dyDescent="0.2">
      <c r="A289" s="106" t="s">
        <v>365</v>
      </c>
      <c r="B289" s="107">
        <f>VLOOKUP($A289,'S0 remplacer avec S44'!$C:$BQ,32,0)</f>
        <v>93.9</v>
      </c>
      <c r="C289" s="107">
        <f>VLOOKUP($A289,'S0 remplacer avec S44'!$C:$BQ,39,0)</f>
        <v>89</v>
      </c>
      <c r="D289" s="107">
        <f>VLOOKUP($A289,'S0 remplacer avec S44'!$C:$BQ,40,0)</f>
        <v>125</v>
      </c>
      <c r="E289" s="107">
        <f>VLOOKUP($A289,'S0 remplacer avec S44'!$C:$BQ,22,0)</f>
        <v>1361.614865</v>
      </c>
      <c r="F289" s="115">
        <f>VLOOKUP($A289,'S0 remplacer avec S44'!$C:$BQ,29,0)</f>
        <v>297</v>
      </c>
      <c r="G289" s="115">
        <f>VLOOKUP($A289,'S0 remplacer avec S44'!$C:$BQ,30,0)</f>
        <v>629</v>
      </c>
      <c r="H289" s="115">
        <f>VLOOKUP($A289,'S0 remplacer avec S44'!$C:$BQ,52,0)</f>
        <v>63.2</v>
      </c>
      <c r="I289" s="115">
        <f>VLOOKUP($A289,'S0 remplacer avec S44'!$C:$BQ,59,0)</f>
        <v>30</v>
      </c>
      <c r="J289" s="115">
        <f>VLOOKUP($A289,'S0 remplacer avec S44'!$C:$BQ,60,0)</f>
        <v>48</v>
      </c>
      <c r="K289" s="107" t="e">
        <f>VLOOKUP($A289,'S45'!$C:$BQ,32,0)</f>
        <v>#N/A</v>
      </c>
      <c r="L289" s="107" t="e">
        <f>VLOOKUP($A289,'S45'!$C:$BQ,39,0)</f>
        <v>#N/A</v>
      </c>
      <c r="M289" s="107" t="e">
        <f>VLOOKUP($A289,'S45'!$C:$BQ,40,0)</f>
        <v>#N/A</v>
      </c>
      <c r="N289" s="107" t="e">
        <f>VLOOKUP($A289,'S45'!$C:$BQ,22,0)</f>
        <v>#N/A</v>
      </c>
      <c r="O289" s="115" t="e">
        <f>VLOOKUP($A289,'S45'!$C:$BQ,29,0)</f>
        <v>#N/A</v>
      </c>
      <c r="P289" s="115" t="e">
        <f>VLOOKUP($A289,'S45'!$C:$BQ,30,0)</f>
        <v>#N/A</v>
      </c>
      <c r="Q289" s="115" t="e">
        <f>VLOOKUP($A289,'S45'!$C:$BQ,52,0)</f>
        <v>#N/A</v>
      </c>
      <c r="R289" s="115" t="e">
        <f>VLOOKUP($A289,'S45'!$C:$BQ,59,0)</f>
        <v>#N/A</v>
      </c>
      <c r="S289" s="115" t="e">
        <f>VLOOKUP($A289,'S45'!$C:$BQ,60,0)</f>
        <v>#N/A</v>
      </c>
      <c r="T289" s="107" t="e">
        <f>VLOOKUP($A289,'S46'!$C:$BQ,32,0)</f>
        <v>#N/A</v>
      </c>
      <c r="U289" s="107" t="e">
        <f>VLOOKUP($A289,'S46'!$C:$BQ,39,0)</f>
        <v>#N/A</v>
      </c>
      <c r="V289" s="107" t="e">
        <f>VLOOKUP($A289,'S46'!$C:$BQ,40,0)</f>
        <v>#N/A</v>
      </c>
      <c r="W289" s="107" t="e">
        <f>VLOOKUP($A289,'S46'!$C:$BQ,22,0)</f>
        <v>#N/A</v>
      </c>
      <c r="X289" s="115" t="e">
        <f>VLOOKUP($A289,'S46'!$C:$BQ,29,0)</f>
        <v>#N/A</v>
      </c>
      <c r="Y289" s="115" t="e">
        <f>VLOOKUP($A289,'S46'!$C:$BQ,30,0)</f>
        <v>#N/A</v>
      </c>
      <c r="Z289" s="115" t="e">
        <f>VLOOKUP($A289,'S46'!$C:$BQ,52,0)</f>
        <v>#N/A</v>
      </c>
      <c r="AA289" s="115" t="e">
        <f>VLOOKUP($A289,'S46'!$C:$BQ,59,0)</f>
        <v>#N/A</v>
      </c>
      <c r="AB289" s="115" t="e">
        <f>VLOOKUP($A289,'S46'!$C:$BQ,60,0)</f>
        <v>#N/A</v>
      </c>
      <c r="AC289" s="107" t="e">
        <f>VLOOKUP($A289,'S47'!$C:$BQ,32,0)</f>
        <v>#N/A</v>
      </c>
      <c r="AD289" s="107" t="e">
        <f>VLOOKUP($A289,'S47'!$C:$BQ,39,0)</f>
        <v>#N/A</v>
      </c>
      <c r="AE289" s="107" t="e">
        <f>VLOOKUP($A289,'S47'!$C:$BQ,40,0)</f>
        <v>#N/A</v>
      </c>
      <c r="AF289" s="107" t="e">
        <f>VLOOKUP($A289,'S47'!$C:$BQ,22,0)</f>
        <v>#N/A</v>
      </c>
      <c r="AG289" s="115" t="e">
        <f>VLOOKUP($A289,'S47'!$C:$BQ,29,0)</f>
        <v>#N/A</v>
      </c>
      <c r="AH289" s="115" t="e">
        <f>VLOOKUP($A289,'S47'!$C:$BQ,30,0)</f>
        <v>#N/A</v>
      </c>
      <c r="AI289" s="115" t="e">
        <f>VLOOKUP($A289,'S47'!$C:$BQ,52,0)</f>
        <v>#N/A</v>
      </c>
      <c r="AJ289" s="115" t="e">
        <f>VLOOKUP($A289,'S47'!$C:$BQ,59,0)</f>
        <v>#N/A</v>
      </c>
      <c r="AK289" s="115" t="e">
        <f>VLOOKUP($A289,'S47'!$C:$BQ,60,0)</f>
        <v>#N/A</v>
      </c>
      <c r="AL289" s="107" t="e">
        <f>VLOOKUP($A289,'S48'!$C:$BQ,32,0)</f>
        <v>#N/A</v>
      </c>
      <c r="AM289" s="107" t="e">
        <f>VLOOKUP($A289,'S48'!$C:$BQ,39,0)</f>
        <v>#N/A</v>
      </c>
      <c r="AN289" s="107" t="e">
        <f>VLOOKUP($A289,'S48'!$C:$BQ,40,0)</f>
        <v>#N/A</v>
      </c>
      <c r="AO289" s="107" t="e">
        <f>VLOOKUP($A289,'S48'!$C:$BQ,22,0)</f>
        <v>#N/A</v>
      </c>
      <c r="AP289" s="115" t="e">
        <f>VLOOKUP($A289,'S48'!$C:$BQ,29,0)</f>
        <v>#N/A</v>
      </c>
      <c r="AQ289" s="115" t="e">
        <f>VLOOKUP($A289,'S48'!$C:$BQ,30,0)</f>
        <v>#N/A</v>
      </c>
      <c r="AR289" s="115" t="e">
        <f>VLOOKUP($A289,'S48'!$C:$BQ,52,0)</f>
        <v>#N/A</v>
      </c>
      <c r="AS289" s="115" t="e">
        <f>VLOOKUP($A289,'S48'!$C:$BQ,59,0)</f>
        <v>#N/A</v>
      </c>
      <c r="AT289" s="115" t="e">
        <f>VLOOKUP($A289,'S48'!$C:$BQ,60,0)</f>
        <v>#N/A</v>
      </c>
      <c r="AU289" s="107" t="e">
        <f>VLOOKUP($A289,'S49'!$C:$BQ,32,0)</f>
        <v>#N/A</v>
      </c>
      <c r="AV289" s="107" t="e">
        <f>VLOOKUP($A289,'S49'!$C:$BQ,39,0)</f>
        <v>#N/A</v>
      </c>
      <c r="AW289" s="107" t="e">
        <f>VLOOKUP($A289,'S49'!$C:$BQ,40,0)</f>
        <v>#N/A</v>
      </c>
      <c r="AX289" s="107" t="e">
        <f>VLOOKUP($A289,'S49'!$C:$BQ,22,0)</f>
        <v>#N/A</v>
      </c>
      <c r="AY289" s="115" t="e">
        <f>VLOOKUP($A289,'S49'!$C:$BQ,29,0)</f>
        <v>#N/A</v>
      </c>
      <c r="AZ289" s="115" t="e">
        <f>VLOOKUP($A289,'S49'!$C:$BQ,30,0)</f>
        <v>#N/A</v>
      </c>
      <c r="BA289" s="115" t="e">
        <f>VLOOKUP($A289,'S49'!$C:$BQ,52,0)</f>
        <v>#N/A</v>
      </c>
      <c r="BB289" s="115" t="e">
        <f>VLOOKUP($A289,'S49'!$C:$BQ,59,0)</f>
        <v>#N/A</v>
      </c>
      <c r="BC289" s="115" t="e">
        <f>VLOOKUP($A289,'S49'!$C:$BQ,60,0)</f>
        <v>#N/A</v>
      </c>
      <c r="BD289" s="107" t="e">
        <f>VLOOKUP($A289,'S50'!$C:$BQ,32,0)</f>
        <v>#N/A</v>
      </c>
      <c r="BE289" s="107" t="e">
        <f>VLOOKUP($A289,'S50'!$C:$BQ,39,0)</f>
        <v>#N/A</v>
      </c>
      <c r="BF289" s="107" t="e">
        <f>VLOOKUP($A289,'S50'!$C:$BQ,40,0)</f>
        <v>#N/A</v>
      </c>
      <c r="BG289" s="107" t="e">
        <f>VLOOKUP($A289,'S50'!$C:$BQ,22,0)</f>
        <v>#N/A</v>
      </c>
      <c r="BH289" s="115" t="e">
        <f>VLOOKUP($A289,'S50'!$C:$BQ,29,0)</f>
        <v>#N/A</v>
      </c>
      <c r="BI289" s="115" t="e">
        <f>VLOOKUP($A289,'S50'!$C:$BQ,30,0)</f>
        <v>#N/A</v>
      </c>
      <c r="BJ289" s="115" t="e">
        <f>VLOOKUP($A289,'S50'!$C:$BQ,52,0)</f>
        <v>#N/A</v>
      </c>
      <c r="BK289" s="115" t="e">
        <f>VLOOKUP($A289,'S50'!$C:$BQ,59,0)</f>
        <v>#N/A</v>
      </c>
      <c r="BL289" s="115" t="e">
        <f>VLOOKUP($A289,'S50'!$C:$BQ,60,0)</f>
        <v>#N/A</v>
      </c>
    </row>
    <row r="290" spans="1:64" x14ac:dyDescent="0.2">
      <c r="A290" s="106" t="s">
        <v>366</v>
      </c>
      <c r="B290" s="107">
        <f>VLOOKUP($A290,'S0 remplacer avec S44'!$C:$BQ,32,0)</f>
        <v>161.19999999999999</v>
      </c>
      <c r="C290" s="107">
        <f>VLOOKUP($A290,'S0 remplacer avec S44'!$C:$BQ,39,0)</f>
        <v>73</v>
      </c>
      <c r="D290" s="107">
        <f>VLOOKUP($A290,'S0 remplacer avec S44'!$C:$BQ,40,0)</f>
        <v>119</v>
      </c>
      <c r="E290" s="107">
        <f>VLOOKUP($A290,'S0 remplacer avec S44'!$C:$BQ,22,0)</f>
        <v>2122.18291</v>
      </c>
      <c r="F290" s="115">
        <f>VLOOKUP($A290,'S0 remplacer avec S44'!$C:$BQ,29,0)</f>
        <v>0</v>
      </c>
      <c r="G290" s="115">
        <f>VLOOKUP($A290,'S0 remplacer avec S44'!$C:$BQ,30,0)</f>
        <v>424</v>
      </c>
      <c r="H290" s="115">
        <f>VLOOKUP($A290,'S0 remplacer avec S44'!$C:$BQ,52,0)</f>
        <v>130.80000000000001</v>
      </c>
      <c r="I290" s="115">
        <f>VLOOKUP($A290,'S0 remplacer avec S44'!$C:$BQ,59,0)</f>
        <v>0</v>
      </c>
      <c r="J290" s="115">
        <f>VLOOKUP($A290,'S0 remplacer avec S44'!$C:$BQ,60,0)</f>
        <v>12</v>
      </c>
      <c r="K290" s="107" t="e">
        <f>VLOOKUP($A290,'S45'!$C:$BQ,32,0)</f>
        <v>#N/A</v>
      </c>
      <c r="L290" s="107" t="e">
        <f>VLOOKUP($A290,'S45'!$C:$BQ,39,0)</f>
        <v>#N/A</v>
      </c>
      <c r="M290" s="107" t="e">
        <f>VLOOKUP($A290,'S45'!$C:$BQ,40,0)</f>
        <v>#N/A</v>
      </c>
      <c r="N290" s="107" t="e">
        <f>VLOOKUP($A290,'S45'!$C:$BQ,22,0)</f>
        <v>#N/A</v>
      </c>
      <c r="O290" s="115" t="e">
        <f>VLOOKUP($A290,'S45'!$C:$BQ,29,0)</f>
        <v>#N/A</v>
      </c>
      <c r="P290" s="115" t="e">
        <f>VLOOKUP($A290,'S45'!$C:$BQ,30,0)</f>
        <v>#N/A</v>
      </c>
      <c r="Q290" s="115" t="e">
        <f>VLOOKUP($A290,'S45'!$C:$BQ,52,0)</f>
        <v>#N/A</v>
      </c>
      <c r="R290" s="115" t="e">
        <f>VLOOKUP($A290,'S45'!$C:$BQ,59,0)</f>
        <v>#N/A</v>
      </c>
      <c r="S290" s="115" t="e">
        <f>VLOOKUP($A290,'S45'!$C:$BQ,60,0)</f>
        <v>#N/A</v>
      </c>
      <c r="T290" s="107" t="e">
        <f>VLOOKUP($A290,'S46'!$C:$BQ,32,0)</f>
        <v>#N/A</v>
      </c>
      <c r="U290" s="107" t="e">
        <f>VLOOKUP($A290,'S46'!$C:$BQ,39,0)</f>
        <v>#N/A</v>
      </c>
      <c r="V290" s="107" t="e">
        <f>VLOOKUP($A290,'S46'!$C:$BQ,40,0)</f>
        <v>#N/A</v>
      </c>
      <c r="W290" s="107" t="e">
        <f>VLOOKUP($A290,'S46'!$C:$BQ,22,0)</f>
        <v>#N/A</v>
      </c>
      <c r="X290" s="115" t="e">
        <f>VLOOKUP($A290,'S46'!$C:$BQ,29,0)</f>
        <v>#N/A</v>
      </c>
      <c r="Y290" s="115" t="e">
        <f>VLOOKUP($A290,'S46'!$C:$BQ,30,0)</f>
        <v>#N/A</v>
      </c>
      <c r="Z290" s="115" t="e">
        <f>VLOOKUP($A290,'S46'!$C:$BQ,52,0)</f>
        <v>#N/A</v>
      </c>
      <c r="AA290" s="115" t="e">
        <f>VLOOKUP($A290,'S46'!$C:$BQ,59,0)</f>
        <v>#N/A</v>
      </c>
      <c r="AB290" s="115" t="e">
        <f>VLOOKUP($A290,'S46'!$C:$BQ,60,0)</f>
        <v>#N/A</v>
      </c>
      <c r="AC290" s="107" t="e">
        <f>VLOOKUP($A290,'S47'!$C:$BQ,32,0)</f>
        <v>#N/A</v>
      </c>
      <c r="AD290" s="107" t="e">
        <f>VLOOKUP($A290,'S47'!$C:$BQ,39,0)</f>
        <v>#N/A</v>
      </c>
      <c r="AE290" s="107" t="e">
        <f>VLOOKUP($A290,'S47'!$C:$BQ,40,0)</f>
        <v>#N/A</v>
      </c>
      <c r="AF290" s="107" t="e">
        <f>VLOOKUP($A290,'S47'!$C:$BQ,22,0)</f>
        <v>#N/A</v>
      </c>
      <c r="AG290" s="115" t="e">
        <f>VLOOKUP($A290,'S47'!$C:$BQ,29,0)</f>
        <v>#N/A</v>
      </c>
      <c r="AH290" s="115" t="e">
        <f>VLOOKUP($A290,'S47'!$C:$BQ,30,0)</f>
        <v>#N/A</v>
      </c>
      <c r="AI290" s="115" t="e">
        <f>VLOOKUP($A290,'S47'!$C:$BQ,52,0)</f>
        <v>#N/A</v>
      </c>
      <c r="AJ290" s="115" t="e">
        <f>VLOOKUP($A290,'S47'!$C:$BQ,59,0)</f>
        <v>#N/A</v>
      </c>
      <c r="AK290" s="115" t="e">
        <f>VLOOKUP($A290,'S47'!$C:$BQ,60,0)</f>
        <v>#N/A</v>
      </c>
      <c r="AL290" s="107" t="e">
        <f>VLOOKUP($A290,'S48'!$C:$BQ,32,0)</f>
        <v>#N/A</v>
      </c>
      <c r="AM290" s="107" t="e">
        <f>VLOOKUP($A290,'S48'!$C:$BQ,39,0)</f>
        <v>#N/A</v>
      </c>
      <c r="AN290" s="107" t="e">
        <f>VLOOKUP($A290,'S48'!$C:$BQ,40,0)</f>
        <v>#N/A</v>
      </c>
      <c r="AO290" s="107" t="e">
        <f>VLOOKUP($A290,'S48'!$C:$BQ,22,0)</f>
        <v>#N/A</v>
      </c>
      <c r="AP290" s="115" t="e">
        <f>VLOOKUP($A290,'S48'!$C:$BQ,29,0)</f>
        <v>#N/A</v>
      </c>
      <c r="AQ290" s="115" t="e">
        <f>VLOOKUP($A290,'S48'!$C:$BQ,30,0)</f>
        <v>#N/A</v>
      </c>
      <c r="AR290" s="115" t="e">
        <f>VLOOKUP($A290,'S48'!$C:$BQ,52,0)</f>
        <v>#N/A</v>
      </c>
      <c r="AS290" s="115" t="e">
        <f>VLOOKUP($A290,'S48'!$C:$BQ,59,0)</f>
        <v>#N/A</v>
      </c>
      <c r="AT290" s="115" t="e">
        <f>VLOOKUP($A290,'S48'!$C:$BQ,60,0)</f>
        <v>#N/A</v>
      </c>
      <c r="AU290" s="107" t="e">
        <f>VLOOKUP($A290,'S49'!$C:$BQ,32,0)</f>
        <v>#N/A</v>
      </c>
      <c r="AV290" s="107" t="e">
        <f>VLOOKUP($A290,'S49'!$C:$BQ,39,0)</f>
        <v>#N/A</v>
      </c>
      <c r="AW290" s="107" t="e">
        <f>VLOOKUP($A290,'S49'!$C:$BQ,40,0)</f>
        <v>#N/A</v>
      </c>
      <c r="AX290" s="107" t="e">
        <f>VLOOKUP($A290,'S49'!$C:$BQ,22,0)</f>
        <v>#N/A</v>
      </c>
      <c r="AY290" s="115" t="e">
        <f>VLOOKUP($A290,'S49'!$C:$BQ,29,0)</f>
        <v>#N/A</v>
      </c>
      <c r="AZ290" s="115" t="e">
        <f>VLOOKUP($A290,'S49'!$C:$BQ,30,0)</f>
        <v>#N/A</v>
      </c>
      <c r="BA290" s="115" t="e">
        <f>VLOOKUP($A290,'S49'!$C:$BQ,52,0)</f>
        <v>#N/A</v>
      </c>
      <c r="BB290" s="115" t="e">
        <f>VLOOKUP($A290,'S49'!$C:$BQ,59,0)</f>
        <v>#N/A</v>
      </c>
      <c r="BC290" s="115" t="e">
        <f>VLOOKUP($A290,'S49'!$C:$BQ,60,0)</f>
        <v>#N/A</v>
      </c>
      <c r="BD290" s="107" t="e">
        <f>VLOOKUP($A290,'S50'!$C:$BQ,32,0)</f>
        <v>#N/A</v>
      </c>
      <c r="BE290" s="107" t="e">
        <f>VLOOKUP($A290,'S50'!$C:$BQ,39,0)</f>
        <v>#N/A</v>
      </c>
      <c r="BF290" s="107" t="e">
        <f>VLOOKUP($A290,'S50'!$C:$BQ,40,0)</f>
        <v>#N/A</v>
      </c>
      <c r="BG290" s="107" t="e">
        <f>VLOOKUP($A290,'S50'!$C:$BQ,22,0)</f>
        <v>#N/A</v>
      </c>
      <c r="BH290" s="115" t="e">
        <f>VLOOKUP($A290,'S50'!$C:$BQ,29,0)</f>
        <v>#N/A</v>
      </c>
      <c r="BI290" s="115" t="e">
        <f>VLOOKUP($A290,'S50'!$C:$BQ,30,0)</f>
        <v>#N/A</v>
      </c>
      <c r="BJ290" s="115" t="e">
        <f>VLOOKUP($A290,'S50'!$C:$BQ,52,0)</f>
        <v>#N/A</v>
      </c>
      <c r="BK290" s="115" t="e">
        <f>VLOOKUP($A290,'S50'!$C:$BQ,59,0)</f>
        <v>#N/A</v>
      </c>
      <c r="BL290" s="115" t="e">
        <f>VLOOKUP($A290,'S50'!$C:$BQ,60,0)</f>
        <v>#N/A</v>
      </c>
    </row>
    <row r="291" spans="1:64" x14ac:dyDescent="0.2">
      <c r="A291" s="106" t="s">
        <v>367</v>
      </c>
      <c r="B291" s="107">
        <f>VLOOKUP($A291,'S0 remplacer avec S44'!$C:$BQ,32,0)</f>
        <v>184.8</v>
      </c>
      <c r="C291" s="107">
        <f>VLOOKUP($A291,'S0 remplacer avec S44'!$C:$BQ,39,0)</f>
        <v>34</v>
      </c>
      <c r="D291" s="107">
        <f>VLOOKUP($A291,'S0 remplacer avec S44'!$C:$BQ,40,0)</f>
        <v>77</v>
      </c>
      <c r="E291" s="107">
        <f>VLOOKUP($A291,'S0 remplacer avec S44'!$C:$BQ,22,0)</f>
        <v>2255.766455</v>
      </c>
      <c r="F291" s="115">
        <f>VLOOKUP($A291,'S0 remplacer avec S44'!$C:$BQ,29,0)</f>
        <v>0</v>
      </c>
      <c r="G291" s="115">
        <f>VLOOKUP($A291,'S0 remplacer avec S44'!$C:$BQ,30,0)</f>
        <v>125</v>
      </c>
      <c r="H291" s="115">
        <f>VLOOKUP($A291,'S0 remplacer avec S44'!$C:$BQ,52,0)</f>
        <v>132.80000000000001</v>
      </c>
      <c r="I291" s="115">
        <f>VLOOKUP($A291,'S0 remplacer avec S44'!$C:$BQ,59,0)</f>
        <v>0</v>
      </c>
      <c r="J291" s="115">
        <f>VLOOKUP($A291,'S0 remplacer avec S44'!$C:$BQ,60,0)</f>
        <v>1</v>
      </c>
      <c r="K291" s="107" t="e">
        <f>VLOOKUP($A291,'S45'!$C:$BQ,32,0)</f>
        <v>#N/A</v>
      </c>
      <c r="L291" s="107" t="e">
        <f>VLOOKUP($A291,'S45'!$C:$BQ,39,0)</f>
        <v>#N/A</v>
      </c>
      <c r="M291" s="107" t="e">
        <f>VLOOKUP($A291,'S45'!$C:$BQ,40,0)</f>
        <v>#N/A</v>
      </c>
      <c r="N291" s="107" t="e">
        <f>VLOOKUP($A291,'S45'!$C:$BQ,22,0)</f>
        <v>#N/A</v>
      </c>
      <c r="O291" s="115" t="e">
        <f>VLOOKUP($A291,'S45'!$C:$BQ,29,0)</f>
        <v>#N/A</v>
      </c>
      <c r="P291" s="115" t="e">
        <f>VLOOKUP($A291,'S45'!$C:$BQ,30,0)</f>
        <v>#N/A</v>
      </c>
      <c r="Q291" s="115" t="e">
        <f>VLOOKUP($A291,'S45'!$C:$BQ,52,0)</f>
        <v>#N/A</v>
      </c>
      <c r="R291" s="115" t="e">
        <f>VLOOKUP($A291,'S45'!$C:$BQ,59,0)</f>
        <v>#N/A</v>
      </c>
      <c r="S291" s="115" t="e">
        <f>VLOOKUP($A291,'S45'!$C:$BQ,60,0)</f>
        <v>#N/A</v>
      </c>
      <c r="T291" s="107" t="e">
        <f>VLOOKUP($A291,'S46'!$C:$BQ,32,0)</f>
        <v>#N/A</v>
      </c>
      <c r="U291" s="107" t="e">
        <f>VLOOKUP($A291,'S46'!$C:$BQ,39,0)</f>
        <v>#N/A</v>
      </c>
      <c r="V291" s="107" t="e">
        <f>VLOOKUP($A291,'S46'!$C:$BQ,40,0)</f>
        <v>#N/A</v>
      </c>
      <c r="W291" s="107" t="e">
        <f>VLOOKUP($A291,'S46'!$C:$BQ,22,0)</f>
        <v>#N/A</v>
      </c>
      <c r="X291" s="115" t="e">
        <f>VLOOKUP($A291,'S46'!$C:$BQ,29,0)</f>
        <v>#N/A</v>
      </c>
      <c r="Y291" s="115" t="e">
        <f>VLOOKUP($A291,'S46'!$C:$BQ,30,0)</f>
        <v>#N/A</v>
      </c>
      <c r="Z291" s="115" t="e">
        <f>VLOOKUP($A291,'S46'!$C:$BQ,52,0)</f>
        <v>#N/A</v>
      </c>
      <c r="AA291" s="115" t="e">
        <f>VLOOKUP($A291,'S46'!$C:$BQ,59,0)</f>
        <v>#N/A</v>
      </c>
      <c r="AB291" s="115" t="e">
        <f>VLOOKUP($A291,'S46'!$C:$BQ,60,0)</f>
        <v>#N/A</v>
      </c>
      <c r="AC291" s="107" t="e">
        <f>VLOOKUP($A291,'S47'!$C:$BQ,32,0)</f>
        <v>#N/A</v>
      </c>
      <c r="AD291" s="107" t="e">
        <f>VLOOKUP($A291,'S47'!$C:$BQ,39,0)</f>
        <v>#N/A</v>
      </c>
      <c r="AE291" s="107" t="e">
        <f>VLOOKUP($A291,'S47'!$C:$BQ,40,0)</f>
        <v>#N/A</v>
      </c>
      <c r="AF291" s="107" t="e">
        <f>VLOOKUP($A291,'S47'!$C:$BQ,22,0)</f>
        <v>#N/A</v>
      </c>
      <c r="AG291" s="115" t="e">
        <f>VLOOKUP($A291,'S47'!$C:$BQ,29,0)</f>
        <v>#N/A</v>
      </c>
      <c r="AH291" s="115" t="e">
        <f>VLOOKUP($A291,'S47'!$C:$BQ,30,0)</f>
        <v>#N/A</v>
      </c>
      <c r="AI291" s="115" t="e">
        <f>VLOOKUP($A291,'S47'!$C:$BQ,52,0)</f>
        <v>#N/A</v>
      </c>
      <c r="AJ291" s="115" t="e">
        <f>VLOOKUP($A291,'S47'!$C:$BQ,59,0)</f>
        <v>#N/A</v>
      </c>
      <c r="AK291" s="115" t="e">
        <f>VLOOKUP($A291,'S47'!$C:$BQ,60,0)</f>
        <v>#N/A</v>
      </c>
      <c r="AL291" s="107" t="e">
        <f>VLOOKUP($A291,'S48'!$C:$BQ,32,0)</f>
        <v>#N/A</v>
      </c>
      <c r="AM291" s="107" t="e">
        <f>VLOOKUP($A291,'S48'!$C:$BQ,39,0)</f>
        <v>#N/A</v>
      </c>
      <c r="AN291" s="107" t="e">
        <f>VLOOKUP($A291,'S48'!$C:$BQ,40,0)</f>
        <v>#N/A</v>
      </c>
      <c r="AO291" s="107" t="e">
        <f>VLOOKUP($A291,'S48'!$C:$BQ,22,0)</f>
        <v>#N/A</v>
      </c>
      <c r="AP291" s="115" t="e">
        <f>VLOOKUP($A291,'S48'!$C:$BQ,29,0)</f>
        <v>#N/A</v>
      </c>
      <c r="AQ291" s="115" t="e">
        <f>VLOOKUP($A291,'S48'!$C:$BQ,30,0)</f>
        <v>#N/A</v>
      </c>
      <c r="AR291" s="115" t="e">
        <f>VLOOKUP($A291,'S48'!$C:$BQ,52,0)</f>
        <v>#N/A</v>
      </c>
      <c r="AS291" s="115" t="e">
        <f>VLOOKUP($A291,'S48'!$C:$BQ,59,0)</f>
        <v>#N/A</v>
      </c>
      <c r="AT291" s="115" t="e">
        <f>VLOOKUP($A291,'S48'!$C:$BQ,60,0)</f>
        <v>#N/A</v>
      </c>
      <c r="AU291" s="107" t="e">
        <f>VLOOKUP($A291,'S49'!$C:$BQ,32,0)</f>
        <v>#N/A</v>
      </c>
      <c r="AV291" s="107" t="e">
        <f>VLOOKUP($A291,'S49'!$C:$BQ,39,0)</f>
        <v>#N/A</v>
      </c>
      <c r="AW291" s="107" t="e">
        <f>VLOOKUP($A291,'S49'!$C:$BQ,40,0)</f>
        <v>#N/A</v>
      </c>
      <c r="AX291" s="107" t="e">
        <f>VLOOKUP($A291,'S49'!$C:$BQ,22,0)</f>
        <v>#N/A</v>
      </c>
      <c r="AY291" s="115" t="e">
        <f>VLOOKUP($A291,'S49'!$C:$BQ,29,0)</f>
        <v>#N/A</v>
      </c>
      <c r="AZ291" s="115" t="e">
        <f>VLOOKUP($A291,'S49'!$C:$BQ,30,0)</f>
        <v>#N/A</v>
      </c>
      <c r="BA291" s="115" t="e">
        <f>VLOOKUP($A291,'S49'!$C:$BQ,52,0)</f>
        <v>#N/A</v>
      </c>
      <c r="BB291" s="115" t="e">
        <f>VLOOKUP($A291,'S49'!$C:$BQ,59,0)</f>
        <v>#N/A</v>
      </c>
      <c r="BC291" s="115" t="e">
        <f>VLOOKUP($A291,'S49'!$C:$BQ,60,0)</f>
        <v>#N/A</v>
      </c>
      <c r="BD291" s="107" t="e">
        <f>VLOOKUP($A291,'S50'!$C:$BQ,32,0)</f>
        <v>#N/A</v>
      </c>
      <c r="BE291" s="107" t="e">
        <f>VLOOKUP($A291,'S50'!$C:$BQ,39,0)</f>
        <v>#N/A</v>
      </c>
      <c r="BF291" s="107" t="e">
        <f>VLOOKUP($A291,'S50'!$C:$BQ,40,0)</f>
        <v>#N/A</v>
      </c>
      <c r="BG291" s="107" t="e">
        <f>VLOOKUP($A291,'S50'!$C:$BQ,22,0)</f>
        <v>#N/A</v>
      </c>
      <c r="BH291" s="115" t="e">
        <f>VLOOKUP($A291,'S50'!$C:$BQ,29,0)</f>
        <v>#N/A</v>
      </c>
      <c r="BI291" s="115" t="e">
        <f>VLOOKUP($A291,'S50'!$C:$BQ,30,0)</f>
        <v>#N/A</v>
      </c>
      <c r="BJ291" s="115" t="e">
        <f>VLOOKUP($A291,'S50'!$C:$BQ,52,0)</f>
        <v>#N/A</v>
      </c>
      <c r="BK291" s="115" t="e">
        <f>VLOOKUP($A291,'S50'!$C:$BQ,59,0)</f>
        <v>#N/A</v>
      </c>
      <c r="BL291" s="115" t="e">
        <f>VLOOKUP($A291,'S50'!$C:$BQ,60,0)</f>
        <v>#N/A</v>
      </c>
    </row>
    <row r="292" spans="1:64" x14ac:dyDescent="0.2">
      <c r="A292" s="106" t="s">
        <v>358</v>
      </c>
      <c r="B292" s="107">
        <f>VLOOKUP($A292,'S0 remplacer avec S44'!$C:$BQ,32,0)</f>
        <v>431.45</v>
      </c>
      <c r="C292" s="107">
        <f>VLOOKUP($A292,'S0 remplacer avec S44'!$C:$BQ,39,0)</f>
        <v>217</v>
      </c>
      <c r="D292" s="107">
        <f>VLOOKUP($A292,'S0 remplacer avec S44'!$C:$BQ,40,0)</f>
        <v>346</v>
      </c>
      <c r="E292" s="107">
        <f>VLOOKUP($A292,'S0 remplacer avec S44'!$C:$BQ,22,0)</f>
        <v>4640.4485500000001</v>
      </c>
      <c r="F292" s="115">
        <f>VLOOKUP($A292,'S0 remplacer avec S44'!$C:$BQ,29,0)</f>
        <v>1249</v>
      </c>
      <c r="G292" s="115">
        <f>VLOOKUP($A292,'S0 remplacer avec S44'!$C:$BQ,30,0)</f>
        <v>2427</v>
      </c>
      <c r="H292" s="115">
        <f>VLOOKUP($A292,'S0 remplacer avec S44'!$C:$BQ,52,0)</f>
        <v>367.2</v>
      </c>
      <c r="I292" s="115">
        <f>VLOOKUP($A292,'S0 remplacer avec S44'!$C:$BQ,59,0)</f>
        <v>0</v>
      </c>
      <c r="J292" s="115">
        <f>VLOOKUP($A292,'S0 remplacer avec S44'!$C:$BQ,60,0)</f>
        <v>28</v>
      </c>
      <c r="K292" s="107" t="e">
        <f>VLOOKUP($A292,'S45'!$C:$BQ,32,0)</f>
        <v>#N/A</v>
      </c>
      <c r="L292" s="107" t="e">
        <f>VLOOKUP($A292,'S45'!$C:$BQ,39,0)</f>
        <v>#N/A</v>
      </c>
      <c r="M292" s="107" t="e">
        <f>VLOOKUP($A292,'S45'!$C:$BQ,40,0)</f>
        <v>#N/A</v>
      </c>
      <c r="N292" s="107" t="e">
        <f>VLOOKUP($A292,'S45'!$C:$BQ,22,0)</f>
        <v>#N/A</v>
      </c>
      <c r="O292" s="115" t="e">
        <f>VLOOKUP($A292,'S45'!$C:$BQ,29,0)</f>
        <v>#N/A</v>
      </c>
      <c r="P292" s="115" t="e">
        <f>VLOOKUP($A292,'S45'!$C:$BQ,30,0)</f>
        <v>#N/A</v>
      </c>
      <c r="Q292" s="115" t="e">
        <f>VLOOKUP($A292,'S45'!$C:$BQ,52,0)</f>
        <v>#N/A</v>
      </c>
      <c r="R292" s="115" t="e">
        <f>VLOOKUP($A292,'S45'!$C:$BQ,59,0)</f>
        <v>#N/A</v>
      </c>
      <c r="S292" s="115" t="e">
        <f>VLOOKUP($A292,'S45'!$C:$BQ,60,0)</f>
        <v>#N/A</v>
      </c>
      <c r="T292" s="107" t="e">
        <f>VLOOKUP($A292,'S46'!$C:$BQ,32,0)</f>
        <v>#N/A</v>
      </c>
      <c r="U292" s="107" t="e">
        <f>VLOOKUP($A292,'S46'!$C:$BQ,39,0)</f>
        <v>#N/A</v>
      </c>
      <c r="V292" s="107" t="e">
        <f>VLOOKUP($A292,'S46'!$C:$BQ,40,0)</f>
        <v>#N/A</v>
      </c>
      <c r="W292" s="107" t="e">
        <f>VLOOKUP($A292,'S46'!$C:$BQ,22,0)</f>
        <v>#N/A</v>
      </c>
      <c r="X292" s="115" t="e">
        <f>VLOOKUP($A292,'S46'!$C:$BQ,29,0)</f>
        <v>#N/A</v>
      </c>
      <c r="Y292" s="115" t="e">
        <f>VLOOKUP($A292,'S46'!$C:$BQ,30,0)</f>
        <v>#N/A</v>
      </c>
      <c r="Z292" s="115" t="e">
        <f>VLOOKUP($A292,'S46'!$C:$BQ,52,0)</f>
        <v>#N/A</v>
      </c>
      <c r="AA292" s="115" t="e">
        <f>VLOOKUP($A292,'S46'!$C:$BQ,59,0)</f>
        <v>#N/A</v>
      </c>
      <c r="AB292" s="115" t="e">
        <f>VLOOKUP($A292,'S46'!$C:$BQ,60,0)</f>
        <v>#N/A</v>
      </c>
      <c r="AC292" s="107" t="e">
        <f>VLOOKUP($A292,'S47'!$C:$BQ,32,0)</f>
        <v>#N/A</v>
      </c>
      <c r="AD292" s="107" t="e">
        <f>VLOOKUP($A292,'S47'!$C:$BQ,39,0)</f>
        <v>#N/A</v>
      </c>
      <c r="AE292" s="107" t="e">
        <f>VLOOKUP($A292,'S47'!$C:$BQ,40,0)</f>
        <v>#N/A</v>
      </c>
      <c r="AF292" s="107" t="e">
        <f>VLOOKUP($A292,'S47'!$C:$BQ,22,0)</f>
        <v>#N/A</v>
      </c>
      <c r="AG292" s="115" t="e">
        <f>VLOOKUP($A292,'S47'!$C:$BQ,29,0)</f>
        <v>#N/A</v>
      </c>
      <c r="AH292" s="115" t="e">
        <f>VLOOKUP($A292,'S47'!$C:$BQ,30,0)</f>
        <v>#N/A</v>
      </c>
      <c r="AI292" s="115" t="e">
        <f>VLOOKUP($A292,'S47'!$C:$BQ,52,0)</f>
        <v>#N/A</v>
      </c>
      <c r="AJ292" s="115" t="e">
        <f>VLOOKUP($A292,'S47'!$C:$BQ,59,0)</f>
        <v>#N/A</v>
      </c>
      <c r="AK292" s="115" t="e">
        <f>VLOOKUP($A292,'S47'!$C:$BQ,60,0)</f>
        <v>#N/A</v>
      </c>
      <c r="AL292" s="107" t="e">
        <f>VLOOKUP($A292,'S48'!$C:$BQ,32,0)</f>
        <v>#N/A</v>
      </c>
      <c r="AM292" s="107" t="e">
        <f>VLOOKUP($A292,'S48'!$C:$BQ,39,0)</f>
        <v>#N/A</v>
      </c>
      <c r="AN292" s="107" t="e">
        <f>VLOOKUP($A292,'S48'!$C:$BQ,40,0)</f>
        <v>#N/A</v>
      </c>
      <c r="AO292" s="107" t="e">
        <f>VLOOKUP($A292,'S48'!$C:$BQ,22,0)</f>
        <v>#N/A</v>
      </c>
      <c r="AP292" s="115" t="e">
        <f>VLOOKUP($A292,'S48'!$C:$BQ,29,0)</f>
        <v>#N/A</v>
      </c>
      <c r="AQ292" s="115" t="e">
        <f>VLOOKUP($A292,'S48'!$C:$BQ,30,0)</f>
        <v>#N/A</v>
      </c>
      <c r="AR292" s="115" t="e">
        <f>VLOOKUP($A292,'S48'!$C:$BQ,52,0)</f>
        <v>#N/A</v>
      </c>
      <c r="AS292" s="115" t="e">
        <f>VLOOKUP($A292,'S48'!$C:$BQ,59,0)</f>
        <v>#N/A</v>
      </c>
      <c r="AT292" s="115" t="e">
        <f>VLOOKUP($A292,'S48'!$C:$BQ,60,0)</f>
        <v>#N/A</v>
      </c>
      <c r="AU292" s="107" t="e">
        <f>VLOOKUP($A292,'S49'!$C:$BQ,32,0)</f>
        <v>#N/A</v>
      </c>
      <c r="AV292" s="107" t="e">
        <f>VLOOKUP($A292,'S49'!$C:$BQ,39,0)</f>
        <v>#N/A</v>
      </c>
      <c r="AW292" s="107" t="e">
        <f>VLOOKUP($A292,'S49'!$C:$BQ,40,0)</f>
        <v>#N/A</v>
      </c>
      <c r="AX292" s="107" t="e">
        <f>VLOOKUP($A292,'S49'!$C:$BQ,22,0)</f>
        <v>#N/A</v>
      </c>
      <c r="AY292" s="115" t="e">
        <f>VLOOKUP($A292,'S49'!$C:$BQ,29,0)</f>
        <v>#N/A</v>
      </c>
      <c r="AZ292" s="115" t="e">
        <f>VLOOKUP($A292,'S49'!$C:$BQ,30,0)</f>
        <v>#N/A</v>
      </c>
      <c r="BA292" s="115" t="e">
        <f>VLOOKUP($A292,'S49'!$C:$BQ,52,0)</f>
        <v>#N/A</v>
      </c>
      <c r="BB292" s="115" t="e">
        <f>VLOOKUP($A292,'S49'!$C:$BQ,59,0)</f>
        <v>#N/A</v>
      </c>
      <c r="BC292" s="115" t="e">
        <f>VLOOKUP($A292,'S49'!$C:$BQ,60,0)</f>
        <v>#N/A</v>
      </c>
      <c r="BD292" s="107" t="e">
        <f>VLOOKUP($A292,'S50'!$C:$BQ,32,0)</f>
        <v>#N/A</v>
      </c>
      <c r="BE292" s="107" t="e">
        <f>VLOOKUP($A292,'S50'!$C:$BQ,39,0)</f>
        <v>#N/A</v>
      </c>
      <c r="BF292" s="107" t="e">
        <f>VLOOKUP($A292,'S50'!$C:$BQ,40,0)</f>
        <v>#N/A</v>
      </c>
      <c r="BG292" s="107" t="e">
        <f>VLOOKUP($A292,'S50'!$C:$BQ,22,0)</f>
        <v>#N/A</v>
      </c>
      <c r="BH292" s="115" t="e">
        <f>VLOOKUP($A292,'S50'!$C:$BQ,29,0)</f>
        <v>#N/A</v>
      </c>
      <c r="BI292" s="115" t="e">
        <f>VLOOKUP($A292,'S50'!$C:$BQ,30,0)</f>
        <v>#N/A</v>
      </c>
      <c r="BJ292" s="115" t="e">
        <f>VLOOKUP($A292,'S50'!$C:$BQ,52,0)</f>
        <v>#N/A</v>
      </c>
      <c r="BK292" s="115" t="e">
        <f>VLOOKUP($A292,'S50'!$C:$BQ,59,0)</f>
        <v>#N/A</v>
      </c>
      <c r="BL292" s="115" t="e">
        <f>VLOOKUP($A292,'S50'!$C:$BQ,60,0)</f>
        <v>#N/A</v>
      </c>
    </row>
    <row r="293" spans="1:64" x14ac:dyDescent="0.2">
      <c r="A293" s="106" t="s">
        <v>368</v>
      </c>
      <c r="B293" s="107">
        <f>VLOOKUP($A293,'S0 remplacer avec S44'!$C:$BQ,32,0)</f>
        <v>211.55</v>
      </c>
      <c r="C293" s="107">
        <f>VLOOKUP($A293,'S0 remplacer avec S44'!$C:$BQ,39,0)</f>
        <v>40</v>
      </c>
      <c r="D293" s="107">
        <f>VLOOKUP($A293,'S0 remplacer avec S44'!$C:$BQ,40,0)</f>
        <v>91</v>
      </c>
      <c r="E293" s="107">
        <f>VLOOKUP($A293,'S0 remplacer avec S44'!$C:$BQ,22,0)</f>
        <v>2412.8723049999999</v>
      </c>
      <c r="F293" s="115">
        <f>VLOOKUP($A293,'S0 remplacer avec S44'!$C:$BQ,29,0)</f>
        <v>0</v>
      </c>
      <c r="G293" s="115">
        <f>VLOOKUP($A293,'S0 remplacer avec S44'!$C:$BQ,30,0)</f>
        <v>332</v>
      </c>
      <c r="H293" s="115">
        <f>VLOOKUP($A293,'S0 remplacer avec S44'!$C:$BQ,52,0)</f>
        <v>97.6</v>
      </c>
      <c r="I293" s="115">
        <f>VLOOKUP($A293,'S0 remplacer avec S44'!$C:$BQ,59,0)</f>
        <v>31</v>
      </c>
      <c r="J293" s="115">
        <f>VLOOKUP($A293,'S0 remplacer avec S44'!$C:$BQ,60,0)</f>
        <v>56</v>
      </c>
      <c r="K293" s="107" t="e">
        <f>VLOOKUP($A293,'S45'!$C:$BQ,32,0)</f>
        <v>#N/A</v>
      </c>
      <c r="L293" s="107" t="e">
        <f>VLOOKUP($A293,'S45'!$C:$BQ,39,0)</f>
        <v>#N/A</v>
      </c>
      <c r="M293" s="107" t="e">
        <f>VLOOKUP($A293,'S45'!$C:$BQ,40,0)</f>
        <v>#N/A</v>
      </c>
      <c r="N293" s="107" t="e">
        <f>VLOOKUP($A293,'S45'!$C:$BQ,22,0)</f>
        <v>#N/A</v>
      </c>
      <c r="O293" s="115" t="e">
        <f>VLOOKUP($A293,'S45'!$C:$BQ,29,0)</f>
        <v>#N/A</v>
      </c>
      <c r="P293" s="115" t="e">
        <f>VLOOKUP($A293,'S45'!$C:$BQ,30,0)</f>
        <v>#N/A</v>
      </c>
      <c r="Q293" s="115" t="e">
        <f>VLOOKUP($A293,'S45'!$C:$BQ,52,0)</f>
        <v>#N/A</v>
      </c>
      <c r="R293" s="115" t="e">
        <f>VLOOKUP($A293,'S45'!$C:$BQ,59,0)</f>
        <v>#N/A</v>
      </c>
      <c r="S293" s="115" t="e">
        <f>VLOOKUP($A293,'S45'!$C:$BQ,60,0)</f>
        <v>#N/A</v>
      </c>
      <c r="T293" s="107" t="e">
        <f>VLOOKUP($A293,'S46'!$C:$BQ,32,0)</f>
        <v>#N/A</v>
      </c>
      <c r="U293" s="107" t="e">
        <f>VLOOKUP($A293,'S46'!$C:$BQ,39,0)</f>
        <v>#N/A</v>
      </c>
      <c r="V293" s="107" t="e">
        <f>VLOOKUP($A293,'S46'!$C:$BQ,40,0)</f>
        <v>#N/A</v>
      </c>
      <c r="W293" s="107" t="e">
        <f>VLOOKUP($A293,'S46'!$C:$BQ,22,0)</f>
        <v>#N/A</v>
      </c>
      <c r="X293" s="115" t="e">
        <f>VLOOKUP($A293,'S46'!$C:$BQ,29,0)</f>
        <v>#N/A</v>
      </c>
      <c r="Y293" s="115" t="e">
        <f>VLOOKUP($A293,'S46'!$C:$BQ,30,0)</f>
        <v>#N/A</v>
      </c>
      <c r="Z293" s="115" t="e">
        <f>VLOOKUP($A293,'S46'!$C:$BQ,52,0)</f>
        <v>#N/A</v>
      </c>
      <c r="AA293" s="115" t="e">
        <f>VLOOKUP($A293,'S46'!$C:$BQ,59,0)</f>
        <v>#N/A</v>
      </c>
      <c r="AB293" s="115" t="e">
        <f>VLOOKUP($A293,'S46'!$C:$BQ,60,0)</f>
        <v>#N/A</v>
      </c>
      <c r="AC293" s="107" t="e">
        <f>VLOOKUP($A293,'S47'!$C:$BQ,32,0)</f>
        <v>#N/A</v>
      </c>
      <c r="AD293" s="107" t="e">
        <f>VLOOKUP($A293,'S47'!$C:$BQ,39,0)</f>
        <v>#N/A</v>
      </c>
      <c r="AE293" s="107" t="e">
        <f>VLOOKUP($A293,'S47'!$C:$BQ,40,0)</f>
        <v>#N/A</v>
      </c>
      <c r="AF293" s="107" t="e">
        <f>VLOOKUP($A293,'S47'!$C:$BQ,22,0)</f>
        <v>#N/A</v>
      </c>
      <c r="AG293" s="115" t="e">
        <f>VLOOKUP($A293,'S47'!$C:$BQ,29,0)</f>
        <v>#N/A</v>
      </c>
      <c r="AH293" s="115" t="e">
        <f>VLOOKUP($A293,'S47'!$C:$BQ,30,0)</f>
        <v>#N/A</v>
      </c>
      <c r="AI293" s="115" t="e">
        <f>VLOOKUP($A293,'S47'!$C:$BQ,52,0)</f>
        <v>#N/A</v>
      </c>
      <c r="AJ293" s="115" t="e">
        <f>VLOOKUP($A293,'S47'!$C:$BQ,59,0)</f>
        <v>#N/A</v>
      </c>
      <c r="AK293" s="115" t="e">
        <f>VLOOKUP($A293,'S47'!$C:$BQ,60,0)</f>
        <v>#N/A</v>
      </c>
      <c r="AL293" s="107" t="e">
        <f>VLOOKUP($A293,'S48'!$C:$BQ,32,0)</f>
        <v>#N/A</v>
      </c>
      <c r="AM293" s="107" t="e">
        <f>VLOOKUP($A293,'S48'!$C:$BQ,39,0)</f>
        <v>#N/A</v>
      </c>
      <c r="AN293" s="107" t="e">
        <f>VLOOKUP($A293,'S48'!$C:$BQ,40,0)</f>
        <v>#N/A</v>
      </c>
      <c r="AO293" s="107" t="e">
        <f>VLOOKUP($A293,'S48'!$C:$BQ,22,0)</f>
        <v>#N/A</v>
      </c>
      <c r="AP293" s="115" t="e">
        <f>VLOOKUP($A293,'S48'!$C:$BQ,29,0)</f>
        <v>#N/A</v>
      </c>
      <c r="AQ293" s="115" t="e">
        <f>VLOOKUP($A293,'S48'!$C:$BQ,30,0)</f>
        <v>#N/A</v>
      </c>
      <c r="AR293" s="115" t="e">
        <f>VLOOKUP($A293,'S48'!$C:$BQ,52,0)</f>
        <v>#N/A</v>
      </c>
      <c r="AS293" s="115" t="e">
        <f>VLOOKUP($A293,'S48'!$C:$BQ,59,0)</f>
        <v>#N/A</v>
      </c>
      <c r="AT293" s="115" t="e">
        <f>VLOOKUP($A293,'S48'!$C:$BQ,60,0)</f>
        <v>#N/A</v>
      </c>
      <c r="AU293" s="107" t="e">
        <f>VLOOKUP($A293,'S49'!$C:$BQ,32,0)</f>
        <v>#N/A</v>
      </c>
      <c r="AV293" s="107" t="e">
        <f>VLOOKUP($A293,'S49'!$C:$BQ,39,0)</f>
        <v>#N/A</v>
      </c>
      <c r="AW293" s="107" t="e">
        <f>VLOOKUP($A293,'S49'!$C:$BQ,40,0)</f>
        <v>#N/A</v>
      </c>
      <c r="AX293" s="107" t="e">
        <f>VLOOKUP($A293,'S49'!$C:$BQ,22,0)</f>
        <v>#N/A</v>
      </c>
      <c r="AY293" s="115" t="e">
        <f>VLOOKUP($A293,'S49'!$C:$BQ,29,0)</f>
        <v>#N/A</v>
      </c>
      <c r="AZ293" s="115" t="e">
        <f>VLOOKUP($A293,'S49'!$C:$BQ,30,0)</f>
        <v>#N/A</v>
      </c>
      <c r="BA293" s="115" t="e">
        <f>VLOOKUP($A293,'S49'!$C:$BQ,52,0)</f>
        <v>#N/A</v>
      </c>
      <c r="BB293" s="115" t="e">
        <f>VLOOKUP($A293,'S49'!$C:$BQ,59,0)</f>
        <v>#N/A</v>
      </c>
      <c r="BC293" s="115" t="e">
        <f>VLOOKUP($A293,'S49'!$C:$BQ,60,0)</f>
        <v>#N/A</v>
      </c>
      <c r="BD293" s="107" t="e">
        <f>VLOOKUP($A293,'S50'!$C:$BQ,32,0)</f>
        <v>#N/A</v>
      </c>
      <c r="BE293" s="107" t="e">
        <f>VLOOKUP($A293,'S50'!$C:$BQ,39,0)</f>
        <v>#N/A</v>
      </c>
      <c r="BF293" s="107" t="e">
        <f>VLOOKUP($A293,'S50'!$C:$BQ,40,0)</f>
        <v>#N/A</v>
      </c>
      <c r="BG293" s="107" t="e">
        <f>VLOOKUP($A293,'S50'!$C:$BQ,22,0)</f>
        <v>#N/A</v>
      </c>
      <c r="BH293" s="115" t="e">
        <f>VLOOKUP($A293,'S50'!$C:$BQ,29,0)</f>
        <v>#N/A</v>
      </c>
      <c r="BI293" s="115" t="e">
        <f>VLOOKUP($A293,'S50'!$C:$BQ,30,0)</f>
        <v>#N/A</v>
      </c>
      <c r="BJ293" s="115" t="e">
        <f>VLOOKUP($A293,'S50'!$C:$BQ,52,0)</f>
        <v>#N/A</v>
      </c>
      <c r="BK293" s="115" t="e">
        <f>VLOOKUP($A293,'S50'!$C:$BQ,59,0)</f>
        <v>#N/A</v>
      </c>
      <c r="BL293" s="115" t="e">
        <f>VLOOKUP($A293,'S50'!$C:$BQ,60,0)</f>
        <v>#N/A</v>
      </c>
    </row>
    <row r="294" spans="1:64" x14ac:dyDescent="0.2">
      <c r="A294" s="106" t="s">
        <v>369</v>
      </c>
      <c r="B294" s="107">
        <f>VLOOKUP($A294,'S0 remplacer avec S44'!$C:$BQ,32,0)</f>
        <v>170.25</v>
      </c>
      <c r="C294" s="107">
        <f>VLOOKUP($A294,'S0 remplacer avec S44'!$C:$BQ,39,0)</f>
        <v>0</v>
      </c>
      <c r="D294" s="107">
        <f>VLOOKUP($A294,'S0 remplacer avec S44'!$C:$BQ,40,0)</f>
        <v>0</v>
      </c>
      <c r="E294" s="107">
        <f>VLOOKUP($A294,'S0 remplacer avec S44'!$C:$BQ,22,0)</f>
        <v>1442.42831</v>
      </c>
      <c r="F294" s="115">
        <f>VLOOKUP($A294,'S0 remplacer avec S44'!$C:$BQ,29,0)</f>
        <v>0</v>
      </c>
      <c r="G294" s="115">
        <f>VLOOKUP($A294,'S0 remplacer avec S44'!$C:$BQ,30,0)</f>
        <v>0</v>
      </c>
      <c r="H294" s="115">
        <f>VLOOKUP($A294,'S0 remplacer avec S44'!$C:$BQ,52,0)</f>
        <v>65.400000000000006</v>
      </c>
      <c r="I294" s="115">
        <f>VLOOKUP($A294,'S0 remplacer avec S44'!$C:$BQ,59,0)</f>
        <v>0</v>
      </c>
      <c r="J294" s="115">
        <f>VLOOKUP($A294,'S0 remplacer avec S44'!$C:$BQ,60,0)</f>
        <v>8</v>
      </c>
      <c r="K294" s="107" t="e">
        <f>VLOOKUP($A294,'S45'!$C:$BQ,32,0)</f>
        <v>#N/A</v>
      </c>
      <c r="L294" s="107" t="e">
        <f>VLOOKUP($A294,'S45'!$C:$BQ,39,0)</f>
        <v>#N/A</v>
      </c>
      <c r="M294" s="107" t="e">
        <f>VLOOKUP($A294,'S45'!$C:$BQ,40,0)</f>
        <v>#N/A</v>
      </c>
      <c r="N294" s="107" t="e">
        <f>VLOOKUP($A294,'S45'!$C:$BQ,22,0)</f>
        <v>#N/A</v>
      </c>
      <c r="O294" s="115" t="e">
        <f>VLOOKUP($A294,'S45'!$C:$BQ,29,0)</f>
        <v>#N/A</v>
      </c>
      <c r="P294" s="115" t="e">
        <f>VLOOKUP($A294,'S45'!$C:$BQ,30,0)</f>
        <v>#N/A</v>
      </c>
      <c r="Q294" s="115" t="e">
        <f>VLOOKUP($A294,'S45'!$C:$BQ,52,0)</f>
        <v>#N/A</v>
      </c>
      <c r="R294" s="115" t="e">
        <f>VLOOKUP($A294,'S45'!$C:$BQ,59,0)</f>
        <v>#N/A</v>
      </c>
      <c r="S294" s="115" t="e">
        <f>VLOOKUP($A294,'S45'!$C:$BQ,60,0)</f>
        <v>#N/A</v>
      </c>
      <c r="T294" s="107" t="e">
        <f>VLOOKUP($A294,'S46'!$C:$BQ,32,0)</f>
        <v>#N/A</v>
      </c>
      <c r="U294" s="107" t="e">
        <f>VLOOKUP($A294,'S46'!$C:$BQ,39,0)</f>
        <v>#N/A</v>
      </c>
      <c r="V294" s="107" t="e">
        <f>VLOOKUP($A294,'S46'!$C:$BQ,40,0)</f>
        <v>#N/A</v>
      </c>
      <c r="W294" s="107" t="e">
        <f>VLOOKUP($A294,'S46'!$C:$BQ,22,0)</f>
        <v>#N/A</v>
      </c>
      <c r="X294" s="115" t="e">
        <f>VLOOKUP($A294,'S46'!$C:$BQ,29,0)</f>
        <v>#N/A</v>
      </c>
      <c r="Y294" s="115" t="e">
        <f>VLOOKUP($A294,'S46'!$C:$BQ,30,0)</f>
        <v>#N/A</v>
      </c>
      <c r="Z294" s="115" t="e">
        <f>VLOOKUP($A294,'S46'!$C:$BQ,52,0)</f>
        <v>#N/A</v>
      </c>
      <c r="AA294" s="115" t="e">
        <f>VLOOKUP($A294,'S46'!$C:$BQ,59,0)</f>
        <v>#N/A</v>
      </c>
      <c r="AB294" s="115" t="e">
        <f>VLOOKUP($A294,'S46'!$C:$BQ,60,0)</f>
        <v>#N/A</v>
      </c>
      <c r="AC294" s="107" t="e">
        <f>VLOOKUP($A294,'S47'!$C:$BQ,32,0)</f>
        <v>#N/A</v>
      </c>
      <c r="AD294" s="107" t="e">
        <f>VLOOKUP($A294,'S47'!$C:$BQ,39,0)</f>
        <v>#N/A</v>
      </c>
      <c r="AE294" s="107" t="e">
        <f>VLOOKUP($A294,'S47'!$C:$BQ,40,0)</f>
        <v>#N/A</v>
      </c>
      <c r="AF294" s="107" t="e">
        <f>VLOOKUP($A294,'S47'!$C:$BQ,22,0)</f>
        <v>#N/A</v>
      </c>
      <c r="AG294" s="115" t="e">
        <f>VLOOKUP($A294,'S47'!$C:$BQ,29,0)</f>
        <v>#N/A</v>
      </c>
      <c r="AH294" s="115" t="e">
        <f>VLOOKUP($A294,'S47'!$C:$BQ,30,0)</f>
        <v>#N/A</v>
      </c>
      <c r="AI294" s="115" t="e">
        <f>VLOOKUP($A294,'S47'!$C:$BQ,52,0)</f>
        <v>#N/A</v>
      </c>
      <c r="AJ294" s="115" t="e">
        <f>VLOOKUP($A294,'S47'!$C:$BQ,59,0)</f>
        <v>#N/A</v>
      </c>
      <c r="AK294" s="115" t="e">
        <f>VLOOKUP($A294,'S47'!$C:$BQ,60,0)</f>
        <v>#N/A</v>
      </c>
      <c r="AL294" s="107" t="e">
        <f>VLOOKUP($A294,'S48'!$C:$BQ,32,0)</f>
        <v>#N/A</v>
      </c>
      <c r="AM294" s="107" t="e">
        <f>VLOOKUP($A294,'S48'!$C:$BQ,39,0)</f>
        <v>#N/A</v>
      </c>
      <c r="AN294" s="107" t="e">
        <f>VLOOKUP($A294,'S48'!$C:$BQ,40,0)</f>
        <v>#N/A</v>
      </c>
      <c r="AO294" s="107" t="e">
        <f>VLOOKUP($A294,'S48'!$C:$BQ,22,0)</f>
        <v>#N/A</v>
      </c>
      <c r="AP294" s="115" t="e">
        <f>VLOOKUP($A294,'S48'!$C:$BQ,29,0)</f>
        <v>#N/A</v>
      </c>
      <c r="AQ294" s="115" t="e">
        <f>VLOOKUP($A294,'S48'!$C:$BQ,30,0)</f>
        <v>#N/A</v>
      </c>
      <c r="AR294" s="115" t="e">
        <f>VLOOKUP($A294,'S48'!$C:$BQ,52,0)</f>
        <v>#N/A</v>
      </c>
      <c r="AS294" s="115" t="e">
        <f>VLOOKUP($A294,'S48'!$C:$BQ,59,0)</f>
        <v>#N/A</v>
      </c>
      <c r="AT294" s="115" t="e">
        <f>VLOOKUP($A294,'S48'!$C:$BQ,60,0)</f>
        <v>#N/A</v>
      </c>
      <c r="AU294" s="107" t="e">
        <f>VLOOKUP($A294,'S49'!$C:$BQ,32,0)</f>
        <v>#N/A</v>
      </c>
      <c r="AV294" s="107" t="e">
        <f>VLOOKUP($A294,'S49'!$C:$BQ,39,0)</f>
        <v>#N/A</v>
      </c>
      <c r="AW294" s="107" t="e">
        <f>VLOOKUP($A294,'S49'!$C:$BQ,40,0)</f>
        <v>#N/A</v>
      </c>
      <c r="AX294" s="107" t="e">
        <f>VLOOKUP($A294,'S49'!$C:$BQ,22,0)</f>
        <v>#N/A</v>
      </c>
      <c r="AY294" s="115" t="e">
        <f>VLOOKUP($A294,'S49'!$C:$BQ,29,0)</f>
        <v>#N/A</v>
      </c>
      <c r="AZ294" s="115" t="e">
        <f>VLOOKUP($A294,'S49'!$C:$BQ,30,0)</f>
        <v>#N/A</v>
      </c>
      <c r="BA294" s="115" t="e">
        <f>VLOOKUP($A294,'S49'!$C:$BQ,52,0)</f>
        <v>#N/A</v>
      </c>
      <c r="BB294" s="115" t="e">
        <f>VLOOKUP($A294,'S49'!$C:$BQ,59,0)</f>
        <v>#N/A</v>
      </c>
      <c r="BC294" s="115" t="e">
        <f>VLOOKUP($A294,'S49'!$C:$BQ,60,0)</f>
        <v>#N/A</v>
      </c>
      <c r="BD294" s="107" t="e">
        <f>VLOOKUP($A294,'S50'!$C:$BQ,32,0)</f>
        <v>#N/A</v>
      </c>
      <c r="BE294" s="107" t="e">
        <f>VLOOKUP($A294,'S50'!$C:$BQ,39,0)</f>
        <v>#N/A</v>
      </c>
      <c r="BF294" s="107" t="e">
        <f>VLOOKUP($A294,'S50'!$C:$BQ,40,0)</f>
        <v>#N/A</v>
      </c>
      <c r="BG294" s="107" t="e">
        <f>VLOOKUP($A294,'S50'!$C:$BQ,22,0)</f>
        <v>#N/A</v>
      </c>
      <c r="BH294" s="115" t="e">
        <f>VLOOKUP($A294,'S50'!$C:$BQ,29,0)</f>
        <v>#N/A</v>
      </c>
      <c r="BI294" s="115" t="e">
        <f>VLOOKUP($A294,'S50'!$C:$BQ,30,0)</f>
        <v>#N/A</v>
      </c>
      <c r="BJ294" s="115" t="e">
        <f>VLOOKUP($A294,'S50'!$C:$BQ,52,0)</f>
        <v>#N/A</v>
      </c>
      <c r="BK294" s="115" t="e">
        <f>VLOOKUP($A294,'S50'!$C:$BQ,59,0)</f>
        <v>#N/A</v>
      </c>
      <c r="BL294" s="115" t="e">
        <f>VLOOKUP($A294,'S50'!$C:$BQ,60,0)</f>
        <v>#N/A</v>
      </c>
    </row>
    <row r="295" spans="1:64" x14ac:dyDescent="0.2">
      <c r="A295" s="106" t="s">
        <v>370</v>
      </c>
      <c r="B295" s="107">
        <f>VLOOKUP($A295,'S0 remplacer avec S44'!$C:$BQ,32,0)</f>
        <v>115.75</v>
      </c>
      <c r="C295" s="107">
        <f>VLOOKUP($A295,'S0 remplacer avec S44'!$C:$BQ,39,0)</f>
        <v>87</v>
      </c>
      <c r="D295" s="107">
        <f>VLOOKUP($A295,'S0 remplacer avec S44'!$C:$BQ,40,0)</f>
        <v>127</v>
      </c>
      <c r="E295" s="107">
        <f>VLOOKUP($A295,'S0 remplacer avec S44'!$C:$BQ,22,0)</f>
        <v>1754.3235199999999</v>
      </c>
      <c r="F295" s="115">
        <f>VLOOKUP($A295,'S0 remplacer avec S44'!$C:$BQ,29,0)</f>
        <v>84</v>
      </c>
      <c r="G295" s="115">
        <f>VLOOKUP($A295,'S0 remplacer avec S44'!$C:$BQ,30,0)</f>
        <v>452</v>
      </c>
      <c r="H295" s="115">
        <f>VLOOKUP($A295,'S0 remplacer avec S44'!$C:$BQ,52,0)</f>
        <v>115.2</v>
      </c>
      <c r="I295" s="115">
        <f>VLOOKUP($A295,'S0 remplacer avec S44'!$C:$BQ,59,0)</f>
        <v>0</v>
      </c>
      <c r="J295" s="115">
        <f>VLOOKUP($A295,'S0 remplacer avec S44'!$C:$BQ,60,0)</f>
        <v>8</v>
      </c>
      <c r="K295" s="107" t="e">
        <f>VLOOKUP($A295,'S45'!$C:$BQ,32,0)</f>
        <v>#N/A</v>
      </c>
      <c r="L295" s="107" t="e">
        <f>VLOOKUP($A295,'S45'!$C:$BQ,39,0)</f>
        <v>#N/A</v>
      </c>
      <c r="M295" s="107" t="e">
        <f>VLOOKUP($A295,'S45'!$C:$BQ,40,0)</f>
        <v>#N/A</v>
      </c>
      <c r="N295" s="107" t="e">
        <f>VLOOKUP($A295,'S45'!$C:$BQ,22,0)</f>
        <v>#N/A</v>
      </c>
      <c r="O295" s="115" t="e">
        <f>VLOOKUP($A295,'S45'!$C:$BQ,29,0)</f>
        <v>#N/A</v>
      </c>
      <c r="P295" s="115" t="e">
        <f>VLOOKUP($A295,'S45'!$C:$BQ,30,0)</f>
        <v>#N/A</v>
      </c>
      <c r="Q295" s="115" t="e">
        <f>VLOOKUP($A295,'S45'!$C:$BQ,52,0)</f>
        <v>#N/A</v>
      </c>
      <c r="R295" s="115" t="e">
        <f>VLOOKUP($A295,'S45'!$C:$BQ,59,0)</f>
        <v>#N/A</v>
      </c>
      <c r="S295" s="115" t="e">
        <f>VLOOKUP($A295,'S45'!$C:$BQ,60,0)</f>
        <v>#N/A</v>
      </c>
      <c r="T295" s="107" t="e">
        <f>VLOOKUP($A295,'S46'!$C:$BQ,32,0)</f>
        <v>#N/A</v>
      </c>
      <c r="U295" s="107" t="e">
        <f>VLOOKUP($A295,'S46'!$C:$BQ,39,0)</f>
        <v>#N/A</v>
      </c>
      <c r="V295" s="107" t="e">
        <f>VLOOKUP($A295,'S46'!$C:$BQ,40,0)</f>
        <v>#N/A</v>
      </c>
      <c r="W295" s="107" t="e">
        <f>VLOOKUP($A295,'S46'!$C:$BQ,22,0)</f>
        <v>#N/A</v>
      </c>
      <c r="X295" s="115" t="e">
        <f>VLOOKUP($A295,'S46'!$C:$BQ,29,0)</f>
        <v>#N/A</v>
      </c>
      <c r="Y295" s="115" t="e">
        <f>VLOOKUP($A295,'S46'!$C:$BQ,30,0)</f>
        <v>#N/A</v>
      </c>
      <c r="Z295" s="115" t="e">
        <f>VLOOKUP($A295,'S46'!$C:$BQ,52,0)</f>
        <v>#N/A</v>
      </c>
      <c r="AA295" s="115" t="e">
        <f>VLOOKUP($A295,'S46'!$C:$BQ,59,0)</f>
        <v>#N/A</v>
      </c>
      <c r="AB295" s="115" t="e">
        <f>VLOOKUP($A295,'S46'!$C:$BQ,60,0)</f>
        <v>#N/A</v>
      </c>
      <c r="AC295" s="107" t="e">
        <f>VLOOKUP($A295,'S47'!$C:$BQ,32,0)</f>
        <v>#N/A</v>
      </c>
      <c r="AD295" s="107" t="e">
        <f>VLOOKUP($A295,'S47'!$C:$BQ,39,0)</f>
        <v>#N/A</v>
      </c>
      <c r="AE295" s="107" t="e">
        <f>VLOOKUP($A295,'S47'!$C:$BQ,40,0)</f>
        <v>#N/A</v>
      </c>
      <c r="AF295" s="107" t="e">
        <f>VLOOKUP($A295,'S47'!$C:$BQ,22,0)</f>
        <v>#N/A</v>
      </c>
      <c r="AG295" s="115" t="e">
        <f>VLOOKUP($A295,'S47'!$C:$BQ,29,0)</f>
        <v>#N/A</v>
      </c>
      <c r="AH295" s="115" t="e">
        <f>VLOOKUP($A295,'S47'!$C:$BQ,30,0)</f>
        <v>#N/A</v>
      </c>
      <c r="AI295" s="115" t="e">
        <f>VLOOKUP($A295,'S47'!$C:$BQ,52,0)</f>
        <v>#N/A</v>
      </c>
      <c r="AJ295" s="115" t="e">
        <f>VLOOKUP($A295,'S47'!$C:$BQ,59,0)</f>
        <v>#N/A</v>
      </c>
      <c r="AK295" s="115" t="e">
        <f>VLOOKUP($A295,'S47'!$C:$BQ,60,0)</f>
        <v>#N/A</v>
      </c>
      <c r="AL295" s="107" t="e">
        <f>VLOOKUP($A295,'S48'!$C:$BQ,32,0)</f>
        <v>#N/A</v>
      </c>
      <c r="AM295" s="107" t="e">
        <f>VLOOKUP($A295,'S48'!$C:$BQ,39,0)</f>
        <v>#N/A</v>
      </c>
      <c r="AN295" s="107" t="e">
        <f>VLOOKUP($A295,'S48'!$C:$BQ,40,0)</f>
        <v>#N/A</v>
      </c>
      <c r="AO295" s="107" t="e">
        <f>VLOOKUP($A295,'S48'!$C:$BQ,22,0)</f>
        <v>#N/A</v>
      </c>
      <c r="AP295" s="115" t="e">
        <f>VLOOKUP($A295,'S48'!$C:$BQ,29,0)</f>
        <v>#N/A</v>
      </c>
      <c r="AQ295" s="115" t="e">
        <f>VLOOKUP($A295,'S48'!$C:$BQ,30,0)</f>
        <v>#N/A</v>
      </c>
      <c r="AR295" s="115" t="e">
        <f>VLOOKUP($A295,'S48'!$C:$BQ,52,0)</f>
        <v>#N/A</v>
      </c>
      <c r="AS295" s="115" t="e">
        <f>VLOOKUP($A295,'S48'!$C:$BQ,59,0)</f>
        <v>#N/A</v>
      </c>
      <c r="AT295" s="115" t="e">
        <f>VLOOKUP($A295,'S48'!$C:$BQ,60,0)</f>
        <v>#N/A</v>
      </c>
      <c r="AU295" s="107" t="e">
        <f>VLOOKUP($A295,'S49'!$C:$BQ,32,0)</f>
        <v>#N/A</v>
      </c>
      <c r="AV295" s="107" t="e">
        <f>VLOOKUP($A295,'S49'!$C:$BQ,39,0)</f>
        <v>#N/A</v>
      </c>
      <c r="AW295" s="107" t="e">
        <f>VLOOKUP($A295,'S49'!$C:$BQ,40,0)</f>
        <v>#N/A</v>
      </c>
      <c r="AX295" s="107" t="e">
        <f>VLOOKUP($A295,'S49'!$C:$BQ,22,0)</f>
        <v>#N/A</v>
      </c>
      <c r="AY295" s="115" t="e">
        <f>VLOOKUP($A295,'S49'!$C:$BQ,29,0)</f>
        <v>#N/A</v>
      </c>
      <c r="AZ295" s="115" t="e">
        <f>VLOOKUP($A295,'S49'!$C:$BQ,30,0)</f>
        <v>#N/A</v>
      </c>
      <c r="BA295" s="115" t="e">
        <f>VLOOKUP($A295,'S49'!$C:$BQ,52,0)</f>
        <v>#N/A</v>
      </c>
      <c r="BB295" s="115" t="e">
        <f>VLOOKUP($A295,'S49'!$C:$BQ,59,0)</f>
        <v>#N/A</v>
      </c>
      <c r="BC295" s="115" t="e">
        <f>VLOOKUP($A295,'S49'!$C:$BQ,60,0)</f>
        <v>#N/A</v>
      </c>
      <c r="BD295" s="107" t="e">
        <f>VLOOKUP($A295,'S50'!$C:$BQ,32,0)</f>
        <v>#N/A</v>
      </c>
      <c r="BE295" s="107" t="e">
        <f>VLOOKUP($A295,'S50'!$C:$BQ,39,0)</f>
        <v>#N/A</v>
      </c>
      <c r="BF295" s="107" t="e">
        <f>VLOOKUP($A295,'S50'!$C:$BQ,40,0)</f>
        <v>#N/A</v>
      </c>
      <c r="BG295" s="107" t="e">
        <f>VLOOKUP($A295,'S50'!$C:$BQ,22,0)</f>
        <v>#N/A</v>
      </c>
      <c r="BH295" s="115" t="e">
        <f>VLOOKUP($A295,'S50'!$C:$BQ,29,0)</f>
        <v>#N/A</v>
      </c>
      <c r="BI295" s="115" t="e">
        <f>VLOOKUP($A295,'S50'!$C:$BQ,30,0)</f>
        <v>#N/A</v>
      </c>
      <c r="BJ295" s="115" t="e">
        <f>VLOOKUP($A295,'S50'!$C:$BQ,52,0)</f>
        <v>#N/A</v>
      </c>
      <c r="BK295" s="115" t="e">
        <f>VLOOKUP($A295,'S50'!$C:$BQ,59,0)</f>
        <v>#N/A</v>
      </c>
      <c r="BL295" s="115" t="e">
        <f>VLOOKUP($A295,'S50'!$C:$BQ,60,0)</f>
        <v>#N/A</v>
      </c>
    </row>
    <row r="296" spans="1:64" x14ac:dyDescent="0.2">
      <c r="A296" s="118"/>
      <c r="B296" s="119"/>
      <c r="C296" s="119"/>
      <c r="D296" s="119"/>
      <c r="E296" s="11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17"/>
  <sheetViews>
    <sheetView showGridLines="0" workbookViewId="0">
      <selection activeCell="K3" sqref="K3"/>
    </sheetView>
  </sheetViews>
  <sheetFormatPr baseColWidth="10" defaultRowHeight="15" x14ac:dyDescent="0.25"/>
  <cols>
    <col min="1" max="1" width="27.28515625" bestFit="1" customWidth="1"/>
    <col min="2" max="2" width="21.5703125" bestFit="1" customWidth="1"/>
    <col min="3" max="3" width="19" bestFit="1" customWidth="1"/>
    <col min="4" max="4" width="26.140625" bestFit="1" customWidth="1"/>
    <col min="5" max="5" width="28.42578125" bestFit="1" customWidth="1"/>
  </cols>
  <sheetData>
    <row r="1" spans="1:5" x14ac:dyDescent="0.25">
      <c r="A1" s="182" t="s">
        <v>614</v>
      </c>
      <c r="B1" s="182" t="s">
        <v>615</v>
      </c>
      <c r="C1" s="182" t="s">
        <v>616</v>
      </c>
      <c r="D1" s="182" t="s">
        <v>617</v>
      </c>
      <c r="E1" s="182" t="s">
        <v>618</v>
      </c>
    </row>
    <row r="2" spans="1:5" x14ac:dyDescent="0.25">
      <c r="A2" s="186" t="s">
        <v>4</v>
      </c>
      <c r="B2" s="186" t="s">
        <v>0</v>
      </c>
      <c r="C2" s="187">
        <v>410541</v>
      </c>
      <c r="D2" s="186" t="s">
        <v>60</v>
      </c>
      <c r="E2" s="188"/>
    </row>
    <row r="3" spans="1:5" x14ac:dyDescent="0.25">
      <c r="A3" s="186" t="s">
        <v>4</v>
      </c>
      <c r="B3" s="186" t="s">
        <v>65</v>
      </c>
      <c r="C3" s="187">
        <v>410510</v>
      </c>
      <c r="D3" s="186" t="s">
        <v>79</v>
      </c>
      <c r="E3" s="188"/>
    </row>
    <row r="4" spans="1:5" x14ac:dyDescent="0.25">
      <c r="A4" s="186" t="s">
        <v>4</v>
      </c>
      <c r="B4" s="186" t="s">
        <v>65</v>
      </c>
      <c r="C4" s="187">
        <v>410512</v>
      </c>
      <c r="D4" s="186" t="s">
        <v>80</v>
      </c>
      <c r="E4" s="188"/>
    </row>
    <row r="5" spans="1:5" x14ac:dyDescent="0.25">
      <c r="A5" s="186" t="s">
        <v>4</v>
      </c>
      <c r="B5" s="186" t="s">
        <v>65</v>
      </c>
      <c r="C5" s="187">
        <v>510511</v>
      </c>
      <c r="D5" s="186" t="s">
        <v>77</v>
      </c>
      <c r="E5" s="188"/>
    </row>
    <row r="6" spans="1:5" x14ac:dyDescent="0.25">
      <c r="A6" s="186" t="s">
        <v>81</v>
      </c>
      <c r="B6" s="186" t="s">
        <v>101</v>
      </c>
      <c r="C6" s="187">
        <v>4007</v>
      </c>
      <c r="D6" s="186" t="s">
        <v>106</v>
      </c>
      <c r="E6" s="188"/>
    </row>
    <row r="7" spans="1:5" x14ac:dyDescent="0.25">
      <c r="A7" s="186" t="s">
        <v>140</v>
      </c>
      <c r="B7" s="186" t="s">
        <v>141</v>
      </c>
      <c r="C7" s="187">
        <v>4135</v>
      </c>
      <c r="D7" s="186" t="s">
        <v>144</v>
      </c>
      <c r="E7" s="188"/>
    </row>
    <row r="8" spans="1:5" x14ac:dyDescent="0.25">
      <c r="A8" s="186" t="s">
        <v>176</v>
      </c>
      <c r="B8" s="186" t="s">
        <v>202</v>
      </c>
      <c r="C8" s="187">
        <v>451350</v>
      </c>
      <c r="D8" s="186" t="s">
        <v>210</v>
      </c>
      <c r="E8" s="188"/>
    </row>
    <row r="9" spans="1:5" x14ac:dyDescent="0.25">
      <c r="A9" s="186" t="s">
        <v>221</v>
      </c>
      <c r="B9" s="186" t="s">
        <v>222</v>
      </c>
      <c r="C9" s="187">
        <v>554266</v>
      </c>
      <c r="D9" s="186" t="s">
        <v>227</v>
      </c>
      <c r="E9" s="188"/>
    </row>
    <row r="10" spans="1:5" x14ac:dyDescent="0.25">
      <c r="A10" s="186" t="s">
        <v>221</v>
      </c>
      <c r="B10" s="186" t="s">
        <v>241</v>
      </c>
      <c r="C10" s="187">
        <v>454535</v>
      </c>
      <c r="D10" s="186" t="s">
        <v>257</v>
      </c>
      <c r="E10" s="188"/>
    </row>
    <row r="11" spans="1:5" x14ac:dyDescent="0.25">
      <c r="A11" s="186" t="s">
        <v>221</v>
      </c>
      <c r="B11" s="186" t="s">
        <v>241</v>
      </c>
      <c r="C11" s="187">
        <v>554506</v>
      </c>
      <c r="D11" s="186" t="s">
        <v>243</v>
      </c>
      <c r="E11" s="188"/>
    </row>
    <row r="12" spans="1:5" x14ac:dyDescent="0.25">
      <c r="A12" s="186" t="s">
        <v>221</v>
      </c>
      <c r="B12" s="186" t="s">
        <v>261</v>
      </c>
      <c r="C12" s="187">
        <v>455456</v>
      </c>
      <c r="D12" s="186" t="s">
        <v>269</v>
      </c>
      <c r="E12" s="188"/>
    </row>
    <row r="13" spans="1:5" x14ac:dyDescent="0.25">
      <c r="A13" s="186" t="s">
        <v>276</v>
      </c>
      <c r="B13" s="186" t="s">
        <v>319</v>
      </c>
      <c r="C13" s="187">
        <v>457632</v>
      </c>
      <c r="D13" s="186" t="s">
        <v>335</v>
      </c>
      <c r="E13" s="188"/>
    </row>
    <row r="14" spans="1:5" x14ac:dyDescent="0.25">
      <c r="A14" s="186" t="s">
        <v>340</v>
      </c>
      <c r="B14" s="186" t="s">
        <v>341</v>
      </c>
      <c r="C14" s="187">
        <v>488286</v>
      </c>
      <c r="D14" s="186" t="s">
        <v>347</v>
      </c>
      <c r="E14" s="188"/>
    </row>
    <row r="15" spans="1:5" x14ac:dyDescent="0.25">
      <c r="A15" s="186" t="s">
        <v>340</v>
      </c>
      <c r="B15" s="186" t="s">
        <v>358</v>
      </c>
      <c r="C15" s="187">
        <v>488326</v>
      </c>
      <c r="D15" s="186" t="s">
        <v>362</v>
      </c>
      <c r="E15" s="188"/>
    </row>
    <row r="16" spans="1:5" x14ac:dyDescent="0.25">
      <c r="A16" s="186" t="s">
        <v>340</v>
      </c>
      <c r="B16" s="186" t="s">
        <v>358</v>
      </c>
      <c r="C16" s="187">
        <v>488586</v>
      </c>
      <c r="D16" s="186" t="s">
        <v>358</v>
      </c>
      <c r="E16" s="188"/>
    </row>
    <row r="17" spans="1:5" x14ac:dyDescent="0.25">
      <c r="A17" s="186" t="s">
        <v>340</v>
      </c>
      <c r="B17" s="186" t="s">
        <v>358</v>
      </c>
      <c r="C17" s="187">
        <v>588386</v>
      </c>
      <c r="D17" s="186" t="s">
        <v>364</v>
      </c>
      <c r="E17" s="188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topLeftCell="E1" workbookViewId="0">
      <selection activeCell="K3" sqref="K3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312" t="s">
        <v>446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M1" s="313" t="s">
        <v>447</v>
      </c>
      <c r="N1" s="313"/>
      <c r="O1" s="313"/>
      <c r="P1" s="313"/>
      <c r="Q1" s="313"/>
      <c r="R1" s="313"/>
      <c r="S1" s="313"/>
      <c r="U1" s="314" t="s">
        <v>448</v>
      </c>
      <c r="V1" s="314"/>
      <c r="W1" s="314"/>
      <c r="X1" s="314"/>
      <c r="Y1" s="314"/>
      <c r="Z1" s="314"/>
    </row>
    <row r="2" spans="1:26" x14ac:dyDescent="0.25">
      <c r="M2" t="s">
        <v>449</v>
      </c>
      <c r="O2">
        <v>44</v>
      </c>
    </row>
    <row r="3" spans="1:26" ht="15.75" thickBot="1" x14ac:dyDescent="0.3">
      <c r="M3" s="104" t="s">
        <v>450</v>
      </c>
      <c r="N3" s="104"/>
      <c r="O3">
        <f>50-O2</f>
        <v>6</v>
      </c>
      <c r="U3">
        <v>17</v>
      </c>
      <c r="V3">
        <v>18</v>
      </c>
      <c r="W3">
        <v>19</v>
      </c>
      <c r="X3">
        <v>20</v>
      </c>
      <c r="Y3">
        <v>21</v>
      </c>
    </row>
    <row r="4" spans="1:26" ht="30.75" thickBot="1" x14ac:dyDescent="0.3">
      <c r="A4" s="128"/>
      <c r="B4" s="129" t="s">
        <v>451</v>
      </c>
      <c r="C4" s="128" t="s">
        <v>452</v>
      </c>
      <c r="D4" s="129" t="s">
        <v>453</v>
      </c>
      <c r="E4" s="128" t="s">
        <v>452</v>
      </c>
      <c r="F4" s="129" t="s">
        <v>454</v>
      </c>
      <c r="G4" s="129" t="s">
        <v>455</v>
      </c>
      <c r="H4" s="130" t="s">
        <v>456</v>
      </c>
      <c r="I4" s="131" t="s">
        <v>457</v>
      </c>
      <c r="J4" s="131" t="s">
        <v>458</v>
      </c>
      <c r="K4" s="132" t="s">
        <v>459</v>
      </c>
      <c r="M4" s="133" t="s">
        <v>457</v>
      </c>
      <c r="N4" s="133" t="s">
        <v>460</v>
      </c>
      <c r="O4" s="133" t="s">
        <v>461</v>
      </c>
      <c r="P4" s="133" t="s">
        <v>462</v>
      </c>
      <c r="Q4" s="133" t="s">
        <v>463</v>
      </c>
      <c r="R4" s="133" t="s">
        <v>464</v>
      </c>
      <c r="S4" s="133" t="s">
        <v>465</v>
      </c>
      <c r="U4" s="133" t="s">
        <v>466</v>
      </c>
      <c r="V4" s="133" t="s">
        <v>467</v>
      </c>
      <c r="W4" s="133" t="s">
        <v>468</v>
      </c>
      <c r="X4" s="133" t="s">
        <v>469</v>
      </c>
      <c r="Y4" s="133" t="s">
        <v>470</v>
      </c>
      <c r="Z4" s="133" t="s">
        <v>471</v>
      </c>
    </row>
    <row r="5" spans="1:26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157.41913977799754</v>
      </c>
      <c r="I5" s="138">
        <v>0.7694990284580433</v>
      </c>
      <c r="J5" s="139">
        <v>0.9393972597041863</v>
      </c>
      <c r="K5" s="140">
        <v>179</v>
      </c>
      <c r="M5" s="138">
        <f t="shared" ref="M5:M68" si="0">I5</f>
        <v>0.7694990284580433</v>
      </c>
      <c r="N5" s="138">
        <f>VLOOKUP(1,$K$5:$M$297,3,0)</f>
        <v>12.697429599750254</v>
      </c>
      <c r="O5" s="138">
        <f>VLOOKUP(10,$K$5:$M$297,3,0)</f>
        <v>2.5847021488310333</v>
      </c>
      <c r="P5" s="138">
        <f>VLOOKUP(30,$K$5:$M$297,3,0)</f>
        <v>1.902068202313254</v>
      </c>
      <c r="Q5" s="138">
        <f>VLOOKUP(50,$K$5:$M$297,3,0)</f>
        <v>1.6459766273800451</v>
      </c>
      <c r="R5" s="138">
        <f>VLOOKUP(100,$K$5:$M$297,3,0)</f>
        <v>1.2030600211697895</v>
      </c>
      <c r="S5" s="138">
        <f>VLOOKUP(150,$K$5:$M$297,3,0)</f>
        <v>0.93744591234039676</v>
      </c>
      <c r="U5" s="141">
        <f>((((($N$5-$M5)))/0.003)*G5*1000)+(((((($N$5/$O$2)-($M5/$O$2))))/0.003)*G5*1000)*$O$3</f>
        <v>8584278.1634170357</v>
      </c>
      <c r="V5" s="141">
        <f>((((($O$5-$M5)))/0.003)*G5*1000)+(((((($O$5/$O$2)-($M5/$O$2))))/0.003)*G5*1000)*$O$3</f>
        <v>1306363.1126330597</v>
      </c>
      <c r="W5" s="141">
        <f>((((($P$5-$M5)))/0.003)*G5*1000)+(((((($P$5/$O$2)-($M5/$O$2))))/0.003)*G5*1000)*$O$3</f>
        <v>815085.9673080151</v>
      </c>
      <c r="X5" s="141">
        <f>((((($Q$5-$M5)))/0.003)*G5*1000)+(((((($Q$5/$O$2)-($M5/$O$2))))/0.003)*G5*1000)*$O$3</f>
        <v>630782.30277921807</v>
      </c>
      <c r="Y5" s="141">
        <f>((((($R$5-$M5)))/0.003)*G5*1000)+(((((($R$5/$O$2)-($M5/$O$2))))/0.003)*G5*1000)*$O$3</f>
        <v>312024.6332756491</v>
      </c>
      <c r="Z5" s="141">
        <f>((((($S$5-$M5)))/0.003)*G5*1000)+(((((($S$5/$O$2)-($M5/$O$2))))/0.003)*G5*1000)*$O$3</f>
        <v>120867.80345578726</v>
      </c>
    </row>
    <row r="6" spans="1:26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57</v>
      </c>
      <c r="G6" s="144">
        <v>9.1914924979441111</v>
      </c>
      <c r="H6" s="145">
        <v>184.05362665621425</v>
      </c>
      <c r="I6" s="146">
        <v>1.1276079576541282</v>
      </c>
      <c r="J6" s="147">
        <v>0.91119399806112678</v>
      </c>
      <c r="K6" s="148">
        <v>113</v>
      </c>
      <c r="M6" s="138">
        <f t="shared" si="0"/>
        <v>1.1276079576541282</v>
      </c>
      <c r="N6" s="149"/>
      <c r="U6" s="141">
        <f>((((($N$5-$M6)))/0.003)*G6*1000)+(((((($N$5/$O$2)-($M6/$O$2))))/0.003)*G6*1000)*$O$3</f>
        <v>40281791.22192347</v>
      </c>
      <c r="V6" s="141">
        <f>((((($O$5-$M6)))/0.003)*G6*1000)+(((((($O$5/$O$2)-($M6/$O$2))))/0.003)*G6*1000)*$O$3</f>
        <v>5073056.9420456309</v>
      </c>
      <c r="W6" s="141">
        <f>((((($P$5-$M6)))/0.003)*G6*1000)+(((((($P$5/$O$2)-($M6/$O$2))))/0.003)*G6*1000)*$O$3</f>
        <v>2696380.882098604</v>
      </c>
      <c r="X6" s="141">
        <f>((((($Q$5-$M6)))/0.003)*G6*1000)+(((((($Q$5/$O$2)-($M6/$O$2))))/0.003)*G6*1000)*$O$3</f>
        <v>1804765.8102102401</v>
      </c>
      <c r="Y6" s="141">
        <f t="shared" ref="Y6:Y69" si="1">((((($R$5-$M6)))/0.003)*G6*1000)+(((((($R$5/$O$2)-($M6/$O$2))))/0.003)*G6*1000)*$O$3</f>
        <v>262695.86202977388</v>
      </c>
      <c r="Z6" s="141">
        <f>((((($S$5-$M6)))/0.003)*G6*1000)+(((((($S$5/$O$2)-($M6/$O$2))))/0.003)*G6*1000)*$O$3</f>
        <v>-662073.11094502697</v>
      </c>
    </row>
    <row r="7" spans="1:26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58</v>
      </c>
      <c r="G7" s="144">
        <v>2.4137029144041779</v>
      </c>
      <c r="H7" s="145">
        <v>130.60122068826149</v>
      </c>
      <c r="I7" s="146">
        <v>0.88658053906698131</v>
      </c>
      <c r="J7" s="147">
        <v>0.93017637687202304</v>
      </c>
      <c r="K7" s="148">
        <v>159</v>
      </c>
      <c r="M7" s="138">
        <f t="shared" si="0"/>
        <v>0.88658053906698131</v>
      </c>
      <c r="N7" s="149"/>
      <c r="U7" s="141">
        <f t="shared" ref="U7:U70" si="2">((((($N$5-$M7)))/0.003)*G7*1000)+(((((($N$5/$O$2)-($M7/$O$2))))/0.003)*G7*1000)*$O$3</f>
        <v>10798439.696726916</v>
      </c>
      <c r="V7" s="141">
        <f t="shared" ref="V7:V70" si="3">((((($O$5-$M7)))/0.003)*G7*1000)+(((((($O$5/$O$2)-($M7/$O$2))))/0.003)*G7*1000)*$O$3</f>
        <v>1552561.0145834116</v>
      </c>
      <c r="W7" s="141">
        <f t="shared" ref="W7:W70" si="4">((((($P$5-$M7)))/0.003)*G7*1000)+(((((($P$5/$O$2)-($M7/$O$2))))/0.003)*G7*1000)*$O$3</f>
        <v>928441.48951477918</v>
      </c>
      <c r="X7" s="141">
        <f t="shared" ref="X7:X70" si="5">((((($Q$5-$M7)))/0.003)*G7*1000)+(((((($Q$5/$O$2)-($M7/$O$2))))/0.003)*G7*1000)*$O$3</f>
        <v>694301.72407135414</v>
      </c>
      <c r="Y7" s="141">
        <f t="shared" si="1"/>
        <v>289351.30617449735</v>
      </c>
      <c r="Z7" s="141">
        <f t="shared" ref="Z7:Z70" si="6">((((($S$5-$M7)))/0.003)*G7*1000)+(((((($S$5/$O$2)-($M7/$O$2))))/0.003)*G7*1000)*$O$3</f>
        <v>46505.265042537583</v>
      </c>
    </row>
    <row r="8" spans="1:26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59</v>
      </c>
      <c r="G8" s="144">
        <v>2.8152337732047874</v>
      </c>
      <c r="H8" s="145">
        <v>37.951717113841248</v>
      </c>
      <c r="I8" s="146">
        <v>0.1189246623234673</v>
      </c>
      <c r="J8" s="147">
        <v>0.99063395773221641</v>
      </c>
      <c r="K8" s="148">
        <v>293</v>
      </c>
      <c r="M8" s="138">
        <f t="shared" si="0"/>
        <v>0.1189246623234673</v>
      </c>
      <c r="N8" s="149"/>
      <c r="U8" s="141">
        <f t="shared" si="2"/>
        <v>13413421.18040419</v>
      </c>
      <c r="V8" s="141">
        <f t="shared" si="3"/>
        <v>2629446.9913727692</v>
      </c>
      <c r="W8" s="141">
        <f t="shared" si="4"/>
        <v>1901502.2410042384</v>
      </c>
      <c r="X8" s="141">
        <f t="shared" si="5"/>
        <v>1628412.2217674297</v>
      </c>
      <c r="Y8" s="141">
        <f t="shared" si="1"/>
        <v>1156096.3927839615</v>
      </c>
      <c r="Z8" s="141">
        <f t="shared" si="6"/>
        <v>872851.76785358309</v>
      </c>
    </row>
    <row r="9" spans="1:26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60</v>
      </c>
      <c r="G9" s="144">
        <v>6.6773487932149918</v>
      </c>
      <c r="H9" s="145">
        <v>170.66187081135288</v>
      </c>
      <c r="I9" s="146">
        <v>0.87408146437709688</v>
      </c>
      <c r="J9" s="147">
        <v>0.93116075521345754</v>
      </c>
      <c r="K9" s="148">
        <v>160</v>
      </c>
      <c r="M9" s="138">
        <f t="shared" si="0"/>
        <v>0.87408146437709688</v>
      </c>
      <c r="N9" s="149"/>
      <c r="U9" s="141">
        <f t="shared" si="2"/>
        <v>29904780.077081319</v>
      </c>
      <c r="V9" s="141">
        <f t="shared" si="3"/>
        <v>4326670.8193132933</v>
      </c>
      <c r="W9" s="141">
        <f t="shared" si="4"/>
        <v>2600085.6075753844</v>
      </c>
      <c r="X9" s="141">
        <f t="shared" si="5"/>
        <v>1952353.4981690252</v>
      </c>
      <c r="Y9" s="141">
        <f t="shared" si="1"/>
        <v>832085.06408836949</v>
      </c>
      <c r="Z9" s="141">
        <f t="shared" si="6"/>
        <v>160267.62126533125</v>
      </c>
    </row>
    <row r="10" spans="1:26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472</v>
      </c>
      <c r="G10" s="144">
        <v>2.0789473684210522</v>
      </c>
      <c r="H10" s="145">
        <v>62.312394901265861</v>
      </c>
      <c r="I10" s="146">
        <v>0.40760440647594948</v>
      </c>
      <c r="J10" s="147">
        <v>0.96789866773634514</v>
      </c>
      <c r="K10" s="148">
        <v>249</v>
      </c>
      <c r="M10" s="138">
        <f t="shared" si="0"/>
        <v>0.40760440647594948</v>
      </c>
      <c r="N10" s="149"/>
      <c r="U10" s="141">
        <f t="shared" si="2"/>
        <v>9677992.3272395339</v>
      </c>
      <c r="V10" s="141">
        <f t="shared" si="3"/>
        <v>1714421.0690395893</v>
      </c>
      <c r="W10" s="141">
        <f t="shared" si="4"/>
        <v>1176860.4452865534</v>
      </c>
      <c r="X10" s="141">
        <f t="shared" si="5"/>
        <v>975193.43552056956</v>
      </c>
      <c r="Y10" s="141">
        <f t="shared" si="1"/>
        <v>626405.43820587476</v>
      </c>
      <c r="Z10" s="141">
        <f t="shared" si="6"/>
        <v>417239.62283982581</v>
      </c>
    </row>
    <row r="11" spans="1:26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62</v>
      </c>
      <c r="G11" s="144">
        <v>5.4163613696573032</v>
      </c>
      <c r="H11" s="145">
        <v>156.37512517994881</v>
      </c>
      <c r="I11" s="146">
        <v>0.97370001587129773</v>
      </c>
      <c r="J11" s="147">
        <v>0.9233151868870807</v>
      </c>
      <c r="K11" s="148">
        <v>138</v>
      </c>
      <c r="M11" s="138">
        <f t="shared" si="0"/>
        <v>0.97370001587129773</v>
      </c>
      <c r="N11" s="149"/>
      <c r="U11" s="141">
        <f t="shared" si="2"/>
        <v>24053013.646375176</v>
      </c>
      <c r="V11" s="141">
        <f t="shared" si="3"/>
        <v>3305215.8028025115</v>
      </c>
      <c r="W11" s="141">
        <f t="shared" si="4"/>
        <v>1904688.4779784167</v>
      </c>
      <c r="X11" s="141">
        <f t="shared" si="5"/>
        <v>1379277.6773863977</v>
      </c>
      <c r="Y11" s="141">
        <f t="shared" si="1"/>
        <v>470566.92137997923</v>
      </c>
      <c r="Z11" s="141">
        <f t="shared" si="6"/>
        <v>-74380.805248609264</v>
      </c>
    </row>
    <row r="12" spans="1:26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63</v>
      </c>
      <c r="G12" s="144">
        <v>2.5347178251492424</v>
      </c>
      <c r="H12" s="145">
        <v>152.24971161327508</v>
      </c>
      <c r="I12" s="146">
        <v>1.0941746320566086</v>
      </c>
      <c r="J12" s="147">
        <v>0.91382707630226756</v>
      </c>
      <c r="K12" s="148">
        <v>117</v>
      </c>
      <c r="M12" s="138">
        <f t="shared" si="0"/>
        <v>1.0941746320566086</v>
      </c>
      <c r="N12" s="149"/>
      <c r="U12" s="141">
        <f t="shared" si="2"/>
        <v>11140521.665289612</v>
      </c>
      <c r="V12" s="141">
        <f t="shared" si="3"/>
        <v>1431085.8581983221</v>
      </c>
      <c r="W12" s="141">
        <f t="shared" si="4"/>
        <v>775675.08839128062</v>
      </c>
      <c r="X12" s="141">
        <f t="shared" si="5"/>
        <v>529796.34602243698</v>
      </c>
      <c r="Y12" s="141">
        <f t="shared" si="1"/>
        <v>104543.08207707992</v>
      </c>
      <c r="Z12" s="141">
        <f t="shared" si="6"/>
        <v>-150478.43923390214</v>
      </c>
    </row>
    <row r="13" spans="1:26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64</v>
      </c>
      <c r="G13" s="144">
        <v>2.8184251680890458</v>
      </c>
      <c r="H13" s="145">
        <v>131.63807283609887</v>
      </c>
      <c r="I13" s="146">
        <v>1.0328576884564737</v>
      </c>
      <c r="J13" s="147">
        <v>0.91865615947366319</v>
      </c>
      <c r="K13" s="148">
        <v>129</v>
      </c>
      <c r="M13" s="138">
        <f t="shared" si="0"/>
        <v>1.0328576884564737</v>
      </c>
      <c r="N13" s="149"/>
      <c r="U13" s="141">
        <f t="shared" si="2"/>
        <v>12452925.39764202</v>
      </c>
      <c r="V13" s="141">
        <f t="shared" si="3"/>
        <v>1656726.319726978</v>
      </c>
      <c r="W13" s="141">
        <f t="shared" si="4"/>
        <v>927956.35932634911</v>
      </c>
      <c r="X13" s="141">
        <f t="shared" si="5"/>
        <v>654556.76079327427</v>
      </c>
      <c r="Y13" s="141">
        <f t="shared" si="1"/>
        <v>181705.50688889192</v>
      </c>
      <c r="Z13" s="141">
        <f t="shared" si="6"/>
        <v>-101860.20876425329</v>
      </c>
    </row>
    <row r="14" spans="1:26" ht="19.5" thickBot="1" x14ac:dyDescent="0.35">
      <c r="A14" s="142">
        <v>50</v>
      </c>
      <c r="B14" s="143" t="s">
        <v>4</v>
      </c>
      <c r="C14" s="142">
        <v>14</v>
      </c>
      <c r="D14" s="143" t="s">
        <v>65</v>
      </c>
      <c r="E14" s="142">
        <v>510530</v>
      </c>
      <c r="F14" s="143" t="s">
        <v>66</v>
      </c>
      <c r="G14" s="144">
        <v>3.6851069298474619</v>
      </c>
      <c r="H14" s="145">
        <v>198.58027834766006</v>
      </c>
      <c r="I14" s="146">
        <v>2.1037996529346055</v>
      </c>
      <c r="J14" s="147">
        <v>0.83431295000241745</v>
      </c>
      <c r="K14" s="148">
        <v>24</v>
      </c>
      <c r="M14" s="138">
        <f t="shared" si="0"/>
        <v>2.1037996529346055</v>
      </c>
      <c r="N14" s="149"/>
      <c r="U14" s="141">
        <f t="shared" si="2"/>
        <v>14787370.882291649</v>
      </c>
      <c r="V14" s="141">
        <f t="shared" si="3"/>
        <v>671279.21220032836</v>
      </c>
      <c r="W14" s="141">
        <f t="shared" si="4"/>
        <v>-281591.65403519827</v>
      </c>
      <c r="X14" s="141">
        <f t="shared" si="5"/>
        <v>-639063.18337683403</v>
      </c>
      <c r="Y14" s="141">
        <f t="shared" si="1"/>
        <v>-1257318.8859866571</v>
      </c>
      <c r="Z14" s="141">
        <f t="shared" si="6"/>
        <v>-1628082.6712565254</v>
      </c>
    </row>
    <row r="15" spans="1:26" ht="19.5" thickBot="1" x14ac:dyDescent="0.35">
      <c r="A15" s="142">
        <v>50</v>
      </c>
      <c r="B15" s="143" t="s">
        <v>4</v>
      </c>
      <c r="C15" s="142">
        <v>14</v>
      </c>
      <c r="D15" s="143" t="s">
        <v>65</v>
      </c>
      <c r="E15" s="142">
        <v>410550</v>
      </c>
      <c r="F15" s="143" t="s">
        <v>67</v>
      </c>
      <c r="G15" s="144">
        <v>2.9880840429759532</v>
      </c>
      <c r="H15" s="145">
        <v>212.71912895627858</v>
      </c>
      <c r="I15" s="146">
        <v>1.4803760222702673</v>
      </c>
      <c r="J15" s="147">
        <v>0.8834113620681634</v>
      </c>
      <c r="K15" s="148">
        <v>66</v>
      </c>
      <c r="M15" s="138">
        <f t="shared" si="0"/>
        <v>1.4803760222702673</v>
      </c>
      <c r="N15" s="149"/>
      <c r="U15" s="141">
        <f t="shared" si="2"/>
        <v>12696022.274270561</v>
      </c>
      <c r="V15" s="141">
        <f t="shared" si="3"/>
        <v>1249931.5443248742</v>
      </c>
      <c r="W15" s="141">
        <f t="shared" si="4"/>
        <v>477292.30084628455</v>
      </c>
      <c r="X15" s="141">
        <f t="shared" si="5"/>
        <v>187435.04758927622</v>
      </c>
      <c r="Y15" s="141">
        <f t="shared" si="1"/>
        <v>-313880.12035993917</v>
      </c>
      <c r="Z15" s="141">
        <f t="shared" si="6"/>
        <v>-614515.45376235852</v>
      </c>
    </row>
    <row r="16" spans="1:26" ht="19.5" thickBot="1" x14ac:dyDescent="0.35">
      <c r="A16" s="142">
        <v>50</v>
      </c>
      <c r="B16" s="143" t="s">
        <v>4</v>
      </c>
      <c r="C16" s="142">
        <v>14</v>
      </c>
      <c r="D16" s="143" t="s">
        <v>65</v>
      </c>
      <c r="E16" s="142">
        <v>510556</v>
      </c>
      <c r="F16" s="143" t="s">
        <v>68</v>
      </c>
      <c r="G16" s="144">
        <v>3.73188092915326</v>
      </c>
      <c r="H16" s="145">
        <v>187.44250653482536</v>
      </c>
      <c r="I16" s="146">
        <v>2.1547027707511757</v>
      </c>
      <c r="J16" s="147">
        <v>0.83030401910686269</v>
      </c>
      <c r="K16" s="148">
        <v>23</v>
      </c>
      <c r="M16" s="138">
        <f t="shared" si="0"/>
        <v>2.1547027707511757</v>
      </c>
      <c r="N16" s="149"/>
      <c r="U16" s="141">
        <f t="shared" si="2"/>
        <v>14903106.513035638</v>
      </c>
      <c r="V16" s="141">
        <f t="shared" si="3"/>
        <v>607843.3631075694</v>
      </c>
      <c r="W16" s="141">
        <f t="shared" si="4"/>
        <v>-357122.01818119088</v>
      </c>
      <c r="X16" s="141">
        <f t="shared" si="5"/>
        <v>-719130.8305334883</v>
      </c>
      <c r="Y16" s="141">
        <f t="shared" si="1"/>
        <v>-1345233.8744430861</v>
      </c>
      <c r="Z16" s="141">
        <f t="shared" si="6"/>
        <v>-1720703.6574940134</v>
      </c>
    </row>
    <row r="17" spans="1:26" ht="19.5" thickBot="1" x14ac:dyDescent="0.35">
      <c r="A17" s="142">
        <v>50</v>
      </c>
      <c r="B17" s="143" t="s">
        <v>4</v>
      </c>
      <c r="C17" s="142">
        <v>14</v>
      </c>
      <c r="D17" s="143" t="s">
        <v>65</v>
      </c>
      <c r="E17" s="142">
        <v>410551</v>
      </c>
      <c r="F17" s="143" t="s">
        <v>473</v>
      </c>
      <c r="G17" s="144">
        <v>2.4135234435568145</v>
      </c>
      <c r="H17" s="145">
        <v>105.27728928770969</v>
      </c>
      <c r="I17" s="146">
        <v>0.65552470249819506</v>
      </c>
      <c r="J17" s="147">
        <v>0.94837343280004571</v>
      </c>
      <c r="K17" s="148">
        <v>205</v>
      </c>
      <c r="M17" s="138">
        <f t="shared" si="0"/>
        <v>0.65552470249819506</v>
      </c>
      <c r="N17" s="149"/>
      <c r="U17" s="141">
        <f t="shared" si="2"/>
        <v>11008871.126742218</v>
      </c>
      <c r="V17" s="141">
        <f t="shared" si="3"/>
        <v>1763679.9217823385</v>
      </c>
      <c r="W17" s="141">
        <f t="shared" si="4"/>
        <v>1139606.8031125017</v>
      </c>
      <c r="X17" s="141">
        <f t="shared" si="5"/>
        <v>905484.44712815073</v>
      </c>
      <c r="Y17" s="141">
        <f t="shared" si="1"/>
        <v>500564.13931410771</v>
      </c>
      <c r="Z17" s="141">
        <f t="shared" si="6"/>
        <v>257736.15499623254</v>
      </c>
    </row>
    <row r="18" spans="1:26" ht="19.5" thickBot="1" x14ac:dyDescent="0.35">
      <c r="A18" s="142">
        <v>50</v>
      </c>
      <c r="B18" s="143" t="s">
        <v>4</v>
      </c>
      <c r="C18" s="142">
        <v>14</v>
      </c>
      <c r="D18" s="143" t="s">
        <v>65</v>
      </c>
      <c r="E18" s="142">
        <v>510523</v>
      </c>
      <c r="F18" s="143" t="s">
        <v>70</v>
      </c>
      <c r="G18" s="144">
        <v>5.7520380455864339</v>
      </c>
      <c r="H18" s="145">
        <v>157.01858201946558</v>
      </c>
      <c r="I18" s="146">
        <v>0.73094799957835588</v>
      </c>
      <c r="J18" s="147">
        <v>0.94243338828255963</v>
      </c>
      <c r="K18" s="148">
        <v>186</v>
      </c>
      <c r="M18" s="138">
        <f t="shared" si="0"/>
        <v>0.73094799957835588</v>
      </c>
      <c r="N18" s="149"/>
      <c r="U18" s="141">
        <f t="shared" si="2"/>
        <v>26072597.513635904</v>
      </c>
      <c r="V18" s="141">
        <f t="shared" si="3"/>
        <v>4038963.7854792094</v>
      </c>
      <c r="W18" s="141">
        <f t="shared" si="4"/>
        <v>2551639.3795780423</v>
      </c>
      <c r="X18" s="141">
        <f t="shared" si="5"/>
        <v>1993666.4696651762</v>
      </c>
      <c r="Y18" s="141">
        <f t="shared" si="1"/>
        <v>1028638.753777519</v>
      </c>
      <c r="Z18" s="141">
        <f t="shared" si="6"/>
        <v>449918.12520509376</v>
      </c>
    </row>
    <row r="19" spans="1:26" ht="19.5" thickBot="1" x14ac:dyDescent="0.35">
      <c r="A19" s="142">
        <v>50</v>
      </c>
      <c r="B19" s="143" t="s">
        <v>4</v>
      </c>
      <c r="C19" s="142">
        <v>14</v>
      </c>
      <c r="D19" s="143" t="s">
        <v>65</v>
      </c>
      <c r="E19" s="142">
        <v>510570</v>
      </c>
      <c r="F19" s="143" t="s">
        <v>71</v>
      </c>
      <c r="G19" s="144">
        <v>3.7144129870129854</v>
      </c>
      <c r="H19" s="145">
        <v>223.43111603413598</v>
      </c>
      <c r="I19" s="146">
        <v>2.4103666497515133</v>
      </c>
      <c r="J19" s="147">
        <v>0.81016892979671085</v>
      </c>
      <c r="K19" s="148">
        <v>12</v>
      </c>
      <c r="M19" s="138">
        <f t="shared" si="0"/>
        <v>2.4103666497515133</v>
      </c>
      <c r="N19" s="149"/>
      <c r="U19" s="141">
        <f t="shared" si="2"/>
        <v>14473636.446854332</v>
      </c>
      <c r="V19" s="141">
        <f t="shared" si="3"/>
        <v>245285.62192362107</v>
      </c>
      <c r="W19" s="141">
        <f t="shared" si="4"/>
        <v>-715163.01304666954</v>
      </c>
      <c r="X19" s="141">
        <f t="shared" si="5"/>
        <v>-1075477.3584241392</v>
      </c>
      <c r="Y19" s="141">
        <f t="shared" si="1"/>
        <v>-1698649.7804965214</v>
      </c>
      <c r="Z19" s="141">
        <f t="shared" si="6"/>
        <v>-2072362.0893487099</v>
      </c>
    </row>
    <row r="20" spans="1:26" ht="19.5" thickBot="1" x14ac:dyDescent="0.35">
      <c r="A20" s="142">
        <v>50</v>
      </c>
      <c r="B20" s="143" t="s">
        <v>4</v>
      </c>
      <c r="C20" s="142">
        <v>14</v>
      </c>
      <c r="D20" s="143" t="s">
        <v>65</v>
      </c>
      <c r="E20" s="142">
        <v>410571</v>
      </c>
      <c r="F20" s="143" t="s">
        <v>474</v>
      </c>
      <c r="G20" s="144">
        <v>6.6311696410441163</v>
      </c>
      <c r="H20" s="145">
        <v>181.66180102584801</v>
      </c>
      <c r="I20" s="146">
        <v>1.2659296269154445</v>
      </c>
      <c r="J20" s="147">
        <v>0.90030032322917208</v>
      </c>
      <c r="K20" s="148">
        <v>93</v>
      </c>
      <c r="M20" s="138">
        <f t="shared" si="0"/>
        <v>1.2659296269154445</v>
      </c>
      <c r="N20" s="149"/>
      <c r="U20" s="141">
        <f t="shared" si="2"/>
        <v>28713718.019491982</v>
      </c>
      <c r="V20" s="141">
        <f t="shared" si="3"/>
        <v>3312501.6328673628</v>
      </c>
      <c r="W20" s="141">
        <f t="shared" si="4"/>
        <v>1597857.1244981089</v>
      </c>
      <c r="X20" s="141">
        <f t="shared" si="5"/>
        <v>954604.59532224957</v>
      </c>
      <c r="Y20" s="141">
        <f t="shared" si="1"/>
        <v>-157916.29582007587</v>
      </c>
      <c r="Z20" s="141">
        <f t="shared" si="6"/>
        <v>-825087.58926797623</v>
      </c>
    </row>
    <row r="21" spans="1:26" ht="19.5" thickBot="1" x14ac:dyDescent="0.35">
      <c r="A21" s="142">
        <v>50</v>
      </c>
      <c r="B21" s="143" t="s">
        <v>4</v>
      </c>
      <c r="C21" s="142">
        <v>14</v>
      </c>
      <c r="D21" s="143" t="s">
        <v>65</v>
      </c>
      <c r="E21" s="142">
        <v>510520</v>
      </c>
      <c r="F21" s="143" t="s">
        <v>73</v>
      </c>
      <c r="G21" s="144">
        <v>4.317006661822929</v>
      </c>
      <c r="H21" s="145">
        <v>421.5379841993493</v>
      </c>
      <c r="I21" s="146">
        <v>1.4752774148628884</v>
      </c>
      <c r="J21" s="147">
        <v>0.88381290848882466</v>
      </c>
      <c r="K21" s="148">
        <v>67</v>
      </c>
      <c r="M21" s="138">
        <f t="shared" si="0"/>
        <v>1.4752774148628884</v>
      </c>
      <c r="N21" s="149"/>
      <c r="U21" s="141">
        <f t="shared" si="2"/>
        <v>18350797.629602082</v>
      </c>
      <c r="V21" s="141">
        <f t="shared" si="3"/>
        <v>1814164.3815650046</v>
      </c>
      <c r="W21" s="141">
        <f t="shared" si="4"/>
        <v>697901.01235904614</v>
      </c>
      <c r="X21" s="141">
        <f t="shared" si="5"/>
        <v>279132.43848655047</v>
      </c>
      <c r="Y21" s="141">
        <f t="shared" si="1"/>
        <v>-445137.99319590273</v>
      </c>
      <c r="Z21" s="141">
        <f t="shared" si="6"/>
        <v>-879478.09823023935</v>
      </c>
    </row>
    <row r="22" spans="1:26" ht="19.5" thickBot="1" x14ac:dyDescent="0.35">
      <c r="A22" s="142">
        <v>50</v>
      </c>
      <c r="B22" s="143" t="s">
        <v>4</v>
      </c>
      <c r="C22" s="142">
        <v>14</v>
      </c>
      <c r="D22" s="143" t="s">
        <v>65</v>
      </c>
      <c r="E22" s="142">
        <v>410524</v>
      </c>
      <c r="F22" s="143" t="s">
        <v>75</v>
      </c>
      <c r="G22" s="144">
        <v>5.2411436324383089</v>
      </c>
      <c r="H22" s="145">
        <v>346.24124962890147</v>
      </c>
      <c r="I22" s="146">
        <v>1.3666838592758814</v>
      </c>
      <c r="J22" s="147">
        <v>0.89236531311008316</v>
      </c>
      <c r="K22" s="148">
        <v>80</v>
      </c>
      <c r="M22" s="138">
        <f t="shared" si="0"/>
        <v>1.3666838592758814</v>
      </c>
      <c r="N22" s="149"/>
      <c r="U22" s="141">
        <f t="shared" si="2"/>
        <v>22494721.927448768</v>
      </c>
      <c r="V22" s="141">
        <f t="shared" si="3"/>
        <v>2418109.3948846157</v>
      </c>
      <c r="W22" s="141">
        <f t="shared" si="4"/>
        <v>1062888.7274308684</v>
      </c>
      <c r="X22" s="141">
        <f t="shared" si="5"/>
        <v>554474.81558151776</v>
      </c>
      <c r="Y22" s="141">
        <f t="shared" si="1"/>
        <v>-324839.40803214413</v>
      </c>
      <c r="Z22" s="141">
        <f t="shared" si="6"/>
        <v>-852158.23196280608</v>
      </c>
    </row>
    <row r="23" spans="1:26" ht="19.5" thickBot="1" x14ac:dyDescent="0.35">
      <c r="A23" s="142">
        <v>50</v>
      </c>
      <c r="B23" s="143" t="s">
        <v>4</v>
      </c>
      <c r="C23" s="142">
        <v>14</v>
      </c>
      <c r="D23" s="143" t="s">
        <v>65</v>
      </c>
      <c r="E23" s="142">
        <v>410521</v>
      </c>
      <c r="F23" s="143" t="s">
        <v>74</v>
      </c>
      <c r="G23" s="144">
        <v>4.4760896212509138</v>
      </c>
      <c r="H23" s="145">
        <v>187.35365519013817</v>
      </c>
      <c r="I23" s="146">
        <v>1.2030600211697895</v>
      </c>
      <c r="J23" s="147">
        <v>0.90525168801144973</v>
      </c>
      <c r="K23" s="148">
        <v>100</v>
      </c>
      <c r="M23" s="138">
        <f t="shared" si="0"/>
        <v>1.2030600211697895</v>
      </c>
      <c r="N23" s="149"/>
      <c r="U23" s="141">
        <f t="shared" si="2"/>
        <v>19488571.353600856</v>
      </c>
      <c r="V23" s="141">
        <f t="shared" si="3"/>
        <v>2342558.3287528497</v>
      </c>
      <c r="W23" s="141">
        <f t="shared" si="4"/>
        <v>1185160.3275703562</v>
      </c>
      <c r="X23" s="141">
        <f t="shared" si="5"/>
        <v>750960.00914295588</v>
      </c>
      <c r="Y23" s="141">
        <f t="shared" si="1"/>
        <v>0</v>
      </c>
      <c r="Z23" s="141">
        <f t="shared" si="6"/>
        <v>-450345.66507161193</v>
      </c>
    </row>
    <row r="24" spans="1:26" ht="19.5" thickBot="1" x14ac:dyDescent="0.35">
      <c r="A24" s="142">
        <v>50</v>
      </c>
      <c r="B24" s="143" t="s">
        <v>4</v>
      </c>
      <c r="C24" s="142">
        <v>14</v>
      </c>
      <c r="D24" s="143" t="s">
        <v>65</v>
      </c>
      <c r="E24" s="142">
        <v>510513</v>
      </c>
      <c r="F24" s="143" t="s">
        <v>475</v>
      </c>
      <c r="G24" s="144">
        <v>4.2224398656301876</v>
      </c>
      <c r="H24" s="145">
        <v>169.50968037840303</v>
      </c>
      <c r="I24" s="146">
        <v>1.1718084338855448</v>
      </c>
      <c r="J24" s="147">
        <v>0.90771294105788203</v>
      </c>
      <c r="K24" s="148">
        <v>104</v>
      </c>
      <c r="M24" s="138">
        <f t="shared" si="0"/>
        <v>1.1718084338855448</v>
      </c>
      <c r="N24" s="149"/>
      <c r="U24" s="141">
        <f t="shared" si="2"/>
        <v>18434182.684431147</v>
      </c>
      <c r="V24" s="141">
        <f t="shared" si="3"/>
        <v>2259794.9802591535</v>
      </c>
      <c r="W24" s="141">
        <f t="shared" si="4"/>
        <v>1167984.075179935</v>
      </c>
      <c r="X24" s="141">
        <f t="shared" si="5"/>
        <v>758388.89516099496</v>
      </c>
      <c r="Y24" s="141">
        <f t="shared" si="1"/>
        <v>49984.071217127392</v>
      </c>
      <c r="Z24" s="141">
        <f t="shared" si="6"/>
        <v>-374841.53559918434</v>
      </c>
    </row>
    <row r="25" spans="1:26" ht="19.5" thickBot="1" x14ac:dyDescent="0.35">
      <c r="A25" s="142">
        <v>50</v>
      </c>
      <c r="B25" s="143" t="s">
        <v>4</v>
      </c>
      <c r="C25" s="142">
        <v>14</v>
      </c>
      <c r="D25" s="143" t="s">
        <v>65</v>
      </c>
      <c r="E25" s="142">
        <v>510511</v>
      </c>
      <c r="F25" s="143" t="s">
        <v>77</v>
      </c>
      <c r="G25" s="144">
        <v>3.24608091615878</v>
      </c>
      <c r="H25" s="145">
        <v>129.49488141454535</v>
      </c>
      <c r="I25" s="146">
        <v>0.89083610501056065</v>
      </c>
      <c r="J25" s="147">
        <v>0.92984122510684508</v>
      </c>
      <c r="K25" s="148">
        <v>158</v>
      </c>
      <c r="M25" s="138">
        <f t="shared" si="0"/>
        <v>0.89083610501056065</v>
      </c>
      <c r="N25" s="149"/>
      <c r="U25" s="141">
        <f t="shared" si="2"/>
        <v>14517105.237923834</v>
      </c>
      <c r="V25" s="141">
        <f t="shared" si="3"/>
        <v>2082737.211884473</v>
      </c>
      <c r="W25" s="141">
        <f t="shared" si="4"/>
        <v>1243386.8230535951</v>
      </c>
      <c r="X25" s="141">
        <f t="shared" si="5"/>
        <v>928502.74192490766</v>
      </c>
      <c r="Y25" s="141">
        <f t="shared" si="1"/>
        <v>383903.06659576966</v>
      </c>
      <c r="Z25" s="141">
        <f t="shared" si="6"/>
        <v>57310.305333037344</v>
      </c>
    </row>
    <row r="26" spans="1:26" ht="19.5" thickBot="1" x14ac:dyDescent="0.35">
      <c r="A26" s="142">
        <v>50</v>
      </c>
      <c r="B26" s="143" t="s">
        <v>4</v>
      </c>
      <c r="C26" s="142">
        <v>14</v>
      </c>
      <c r="D26" s="143" t="s">
        <v>65</v>
      </c>
      <c r="E26" s="142">
        <v>510522</v>
      </c>
      <c r="F26" s="143" t="s">
        <v>78</v>
      </c>
      <c r="G26" s="144">
        <v>2.5803141951809545</v>
      </c>
      <c r="H26" s="145">
        <v>40.10058486026491</v>
      </c>
      <c r="I26" s="146">
        <v>0.27976987701661443</v>
      </c>
      <c r="J26" s="147">
        <v>0.97796641636649695</v>
      </c>
      <c r="K26" s="148">
        <v>271</v>
      </c>
      <c r="M26" s="138">
        <f t="shared" si="0"/>
        <v>0.27976987701661443</v>
      </c>
      <c r="N26" s="149"/>
      <c r="U26" s="141">
        <f t="shared" si="2"/>
        <v>12136918.05056682</v>
      </c>
      <c r="V26" s="141">
        <f t="shared" si="3"/>
        <v>2252821.7651111484</v>
      </c>
      <c r="W26" s="141">
        <f t="shared" si="4"/>
        <v>1585620.983932276</v>
      </c>
      <c r="X26" s="141">
        <f t="shared" si="5"/>
        <v>1335319.1937556071</v>
      </c>
      <c r="Y26" s="141">
        <f t="shared" si="1"/>
        <v>902416.16107163171</v>
      </c>
      <c r="Z26" s="141">
        <f t="shared" si="6"/>
        <v>642807.12491525989</v>
      </c>
    </row>
    <row r="27" spans="1:26" ht="19.5" thickBot="1" x14ac:dyDescent="0.35">
      <c r="A27" s="142">
        <v>50</v>
      </c>
      <c r="B27" s="143" t="s">
        <v>4</v>
      </c>
      <c r="C27" s="142">
        <v>14</v>
      </c>
      <c r="D27" s="143" t="s">
        <v>65</v>
      </c>
      <c r="E27" s="142">
        <v>410510</v>
      </c>
      <c r="F27" s="143" t="s">
        <v>79</v>
      </c>
      <c r="G27" s="144">
        <v>9.6894159427710651</v>
      </c>
      <c r="H27" s="145">
        <v>237.04618332682804</v>
      </c>
      <c r="I27" s="146">
        <v>2.2418918147699594</v>
      </c>
      <c r="J27" s="147">
        <v>0.82343735027961451</v>
      </c>
      <c r="K27" s="148">
        <v>16</v>
      </c>
      <c r="M27" s="138">
        <f t="shared" si="0"/>
        <v>2.2418918147699594</v>
      </c>
      <c r="N27" s="149"/>
      <c r="U27" s="141">
        <f t="shared" si="2"/>
        <v>38374263.069709599</v>
      </c>
      <c r="V27" s="141">
        <f t="shared" si="3"/>
        <v>1258193.9076507748</v>
      </c>
      <c r="W27" s="141">
        <f t="shared" si="4"/>
        <v>-1247231.9425257791</v>
      </c>
      <c r="X27" s="141">
        <f t="shared" si="5"/>
        <v>-2187147.7716800156</v>
      </c>
      <c r="Y27" s="141">
        <f t="shared" si="1"/>
        <v>-3812755.054078389</v>
      </c>
      <c r="Z27" s="141">
        <f t="shared" si="6"/>
        <v>-4787620.8043497698</v>
      </c>
    </row>
    <row r="28" spans="1:26" ht="19.5" thickBot="1" x14ac:dyDescent="0.35">
      <c r="A28" s="142">
        <v>50</v>
      </c>
      <c r="B28" s="143" t="s">
        <v>4</v>
      </c>
      <c r="C28" s="142">
        <v>14</v>
      </c>
      <c r="D28" s="143" t="s">
        <v>65</v>
      </c>
      <c r="E28" s="142">
        <v>410512</v>
      </c>
      <c r="F28" s="143" t="s">
        <v>80</v>
      </c>
      <c r="G28" s="144">
        <v>4.4281860372366975</v>
      </c>
      <c r="H28" s="145">
        <v>218.30078015720204</v>
      </c>
      <c r="I28" s="146">
        <v>1.4207108366557819</v>
      </c>
      <c r="J28" s="147">
        <v>0.8881103592270575</v>
      </c>
      <c r="K28" s="148">
        <v>72</v>
      </c>
      <c r="M28" s="138">
        <f t="shared" si="0"/>
        <v>1.4207108366557819</v>
      </c>
      <c r="N28" s="149"/>
      <c r="U28" s="141">
        <f t="shared" si="2"/>
        <v>18914927.489613641</v>
      </c>
      <c r="V28" s="141">
        <f t="shared" si="3"/>
        <v>1952412.9075906323</v>
      </c>
      <c r="W28" s="141">
        <f t="shared" si="4"/>
        <v>807401.50209297624</v>
      </c>
      <c r="X28" s="141">
        <f t="shared" si="5"/>
        <v>377848.04134555545</v>
      </c>
      <c r="Y28" s="141">
        <f t="shared" si="1"/>
        <v>-365075.1144425199</v>
      </c>
      <c r="Z28" s="141">
        <f t="shared" si="6"/>
        <v>-810601.13262865075</v>
      </c>
    </row>
    <row r="29" spans="1:26" ht="19.5" thickBot="1" x14ac:dyDescent="0.35">
      <c r="A29" s="142">
        <v>262</v>
      </c>
      <c r="B29" s="143" t="s">
        <v>476</v>
      </c>
      <c r="C29" s="142">
        <v>5060</v>
      </c>
      <c r="D29" s="143" t="s">
        <v>82</v>
      </c>
      <c r="E29" s="142">
        <v>4057</v>
      </c>
      <c r="F29" s="143" t="s">
        <v>83</v>
      </c>
      <c r="G29" s="144">
        <v>6.243624835140964</v>
      </c>
      <c r="H29" s="145">
        <v>134.6327312251172</v>
      </c>
      <c r="I29" s="146">
        <v>1.0125659116027372</v>
      </c>
      <c r="J29" s="147">
        <v>0.92025426062431936</v>
      </c>
      <c r="K29" s="148">
        <v>132</v>
      </c>
      <c r="M29" s="138">
        <f t="shared" si="0"/>
        <v>1.0125659116027372</v>
      </c>
      <c r="N29" s="149"/>
      <c r="U29" s="141">
        <f t="shared" si="2"/>
        <v>27634812.544907074</v>
      </c>
      <c r="V29" s="141">
        <f t="shared" si="3"/>
        <v>3718116.9905241118</v>
      </c>
      <c r="W29" s="141">
        <f t="shared" si="4"/>
        <v>2103681.285301121</v>
      </c>
      <c r="X29" s="141">
        <f t="shared" si="5"/>
        <v>1498022.3014665204</v>
      </c>
      <c r="Y29" s="141">
        <f t="shared" si="1"/>
        <v>450520.36115186044</v>
      </c>
      <c r="Z29" s="141">
        <f t="shared" si="6"/>
        <v>-177659.50492807571</v>
      </c>
    </row>
    <row r="30" spans="1:26" ht="19.5" thickBot="1" x14ac:dyDescent="0.35">
      <c r="A30" s="142">
        <v>262</v>
      </c>
      <c r="B30" s="143" t="s">
        <v>476</v>
      </c>
      <c r="C30" s="142">
        <v>5060</v>
      </c>
      <c r="D30" s="143" t="s">
        <v>82</v>
      </c>
      <c r="E30" s="142">
        <v>4082</v>
      </c>
      <c r="F30" s="143" t="s">
        <v>477</v>
      </c>
      <c r="G30" s="144">
        <v>2.8402116402116402</v>
      </c>
      <c r="H30" s="145">
        <v>136.83786323790983</v>
      </c>
      <c r="I30" s="146">
        <v>0.61931022712058492</v>
      </c>
      <c r="J30" s="147">
        <v>0.9512255435436503</v>
      </c>
      <c r="K30" s="148">
        <v>210</v>
      </c>
      <c r="M30" s="138">
        <f t="shared" si="0"/>
        <v>0.61931022712058492</v>
      </c>
      <c r="N30" s="149"/>
      <c r="U30" s="141">
        <f t="shared" si="2"/>
        <v>12994096.679548673</v>
      </c>
      <c r="V30" s="141">
        <f t="shared" si="3"/>
        <v>2114442.8081893716</v>
      </c>
      <c r="W30" s="141">
        <f t="shared" si="4"/>
        <v>1380039.4442108078</v>
      </c>
      <c r="X30" s="141">
        <f t="shared" si="5"/>
        <v>1104526.4623602661</v>
      </c>
      <c r="Y30" s="141">
        <f t="shared" si="1"/>
        <v>628020.06061730999</v>
      </c>
      <c r="Z30" s="141">
        <f t="shared" si="6"/>
        <v>342262.37739697564</v>
      </c>
    </row>
    <row r="31" spans="1:26" ht="19.5" thickBot="1" x14ac:dyDescent="0.35">
      <c r="A31" s="142">
        <v>262</v>
      </c>
      <c r="B31" s="143" t="s">
        <v>476</v>
      </c>
      <c r="C31" s="142">
        <v>5060</v>
      </c>
      <c r="D31" s="143" t="s">
        <v>82</v>
      </c>
      <c r="E31" s="142">
        <v>4030</v>
      </c>
      <c r="F31" s="143" t="s">
        <v>478</v>
      </c>
      <c r="G31" s="144">
        <v>7.4919696310260804</v>
      </c>
      <c r="H31" s="145">
        <v>122.13549358377195</v>
      </c>
      <c r="I31" s="146">
        <v>0.73075174433804946</v>
      </c>
      <c r="J31" s="147">
        <v>0.9424488445793453</v>
      </c>
      <c r="K31" s="148">
        <v>187</v>
      </c>
      <c r="M31" s="138">
        <f t="shared" si="0"/>
        <v>0.73075174433804946</v>
      </c>
      <c r="N31" s="149"/>
      <c r="U31" s="141">
        <f t="shared" si="2"/>
        <v>33959843.589780509</v>
      </c>
      <c r="V31" s="141">
        <f t="shared" si="3"/>
        <v>5261265.1999583151</v>
      </c>
      <c r="W31" s="141">
        <f t="shared" si="4"/>
        <v>3324040.6558603286</v>
      </c>
      <c r="X31" s="141">
        <f t="shared" si="5"/>
        <v>2597286.7535265265</v>
      </c>
      <c r="Y31" s="141">
        <f t="shared" si="1"/>
        <v>1340348.2070097176</v>
      </c>
      <c r="Z31" s="141">
        <f t="shared" si="6"/>
        <v>586570.61726658652</v>
      </c>
    </row>
    <row r="32" spans="1:26" ht="19.5" thickBot="1" x14ac:dyDescent="0.35">
      <c r="A32" s="142">
        <v>262</v>
      </c>
      <c r="B32" s="143" t="s">
        <v>476</v>
      </c>
      <c r="C32" s="142">
        <v>5060</v>
      </c>
      <c r="D32" s="143" t="s">
        <v>82</v>
      </c>
      <c r="E32" s="142">
        <v>4060</v>
      </c>
      <c r="F32" s="143" t="s">
        <v>479</v>
      </c>
      <c r="G32" s="144">
        <v>8.0712319790393234</v>
      </c>
      <c r="H32" s="145">
        <v>199.24930676957374</v>
      </c>
      <c r="I32" s="146">
        <v>1.8628417432241353</v>
      </c>
      <c r="J32" s="147">
        <v>0.85328985456546447</v>
      </c>
      <c r="K32" s="148">
        <v>34</v>
      </c>
      <c r="M32" s="138">
        <f t="shared" si="0"/>
        <v>1.8628417432241353</v>
      </c>
      <c r="N32" s="149"/>
      <c r="U32" s="141">
        <f t="shared" si="2"/>
        <v>33124421.207312394</v>
      </c>
      <c r="V32" s="141">
        <f t="shared" si="3"/>
        <v>2206932.8750517773</v>
      </c>
      <c r="W32" s="141">
        <f t="shared" si="4"/>
        <v>119926.45872142899</v>
      </c>
      <c r="X32" s="141">
        <f t="shared" si="5"/>
        <v>-663018.43111321516</v>
      </c>
      <c r="Y32" s="141">
        <f t="shared" si="1"/>
        <v>-2017140.656905557</v>
      </c>
      <c r="Z32" s="141">
        <f t="shared" si="6"/>
        <v>-2829198.6452645818</v>
      </c>
    </row>
    <row r="33" spans="1:26" ht="19.5" thickBot="1" x14ac:dyDescent="0.35">
      <c r="A33" s="142">
        <v>262</v>
      </c>
      <c r="B33" s="143" t="s">
        <v>476</v>
      </c>
      <c r="C33" s="142">
        <v>5060</v>
      </c>
      <c r="D33" s="143" t="s">
        <v>82</v>
      </c>
      <c r="E33" s="142">
        <v>4064</v>
      </c>
      <c r="F33" s="143" t="s">
        <v>87</v>
      </c>
      <c r="G33" s="144">
        <v>1.4323658323796258</v>
      </c>
      <c r="H33" s="145">
        <v>153.01447699005973</v>
      </c>
      <c r="I33" s="146">
        <v>0.59287284498345261</v>
      </c>
      <c r="J33" s="147">
        <v>0.95330764858148032</v>
      </c>
      <c r="K33" s="148">
        <v>217</v>
      </c>
      <c r="M33" s="138">
        <f t="shared" si="0"/>
        <v>0.59287284498345261</v>
      </c>
      <c r="N33" s="149"/>
      <c r="U33" s="141">
        <f t="shared" si="2"/>
        <v>6567482.3907681722</v>
      </c>
      <c r="V33" s="141">
        <f t="shared" si="3"/>
        <v>1080692.5146832464</v>
      </c>
      <c r="W33" s="141">
        <f t="shared" si="4"/>
        <v>710320.71884441003</v>
      </c>
      <c r="X33" s="141">
        <f t="shared" si="5"/>
        <v>571374.95297523774</v>
      </c>
      <c r="Y33" s="141">
        <f t="shared" si="1"/>
        <v>331064.87216875597</v>
      </c>
      <c r="Z33" s="141">
        <f t="shared" si="6"/>
        <v>186952.53350012505</v>
      </c>
    </row>
    <row r="34" spans="1:26" ht="19.5" thickBot="1" x14ac:dyDescent="0.35">
      <c r="A34" s="142">
        <v>262</v>
      </c>
      <c r="B34" s="143" t="s">
        <v>476</v>
      </c>
      <c r="C34" s="142">
        <v>5060</v>
      </c>
      <c r="D34" s="143" t="s">
        <v>82</v>
      </c>
      <c r="E34" s="142">
        <v>4092</v>
      </c>
      <c r="F34" s="143" t="s">
        <v>480</v>
      </c>
      <c r="G34" s="144">
        <v>2.4192814679252703</v>
      </c>
      <c r="H34" s="145">
        <v>90.353776333210064</v>
      </c>
      <c r="I34" s="146">
        <v>0.71409633100755199</v>
      </c>
      <c r="J34" s="147">
        <v>0.94376055993083852</v>
      </c>
      <c r="K34" s="148">
        <v>191</v>
      </c>
      <c r="M34" s="138">
        <f t="shared" si="0"/>
        <v>0.71409633100755199</v>
      </c>
      <c r="N34" s="149"/>
      <c r="U34" s="141">
        <f t="shared" si="2"/>
        <v>10981460.644333929</v>
      </c>
      <c r="V34" s="141">
        <f t="shared" si="3"/>
        <v>1714212.8745657357</v>
      </c>
      <c r="W34" s="141">
        <f t="shared" si="4"/>
        <v>1088650.8835857534</v>
      </c>
      <c r="X34" s="141">
        <f t="shared" si="5"/>
        <v>853969.97399192466</v>
      </c>
      <c r="Y34" s="141">
        <f t="shared" si="1"/>
        <v>448083.63412797533</v>
      </c>
      <c r="Z34" s="141">
        <f t="shared" si="6"/>
        <v>204676.32688917391</v>
      </c>
    </row>
    <row r="35" spans="1:26" ht="19.5" thickBot="1" x14ac:dyDescent="0.35">
      <c r="A35" s="142">
        <v>262</v>
      </c>
      <c r="B35" s="143" t="s">
        <v>476</v>
      </c>
      <c r="C35" s="142">
        <v>5060</v>
      </c>
      <c r="D35" s="143" t="s">
        <v>82</v>
      </c>
      <c r="E35" s="142">
        <v>4041</v>
      </c>
      <c r="F35" s="143" t="s">
        <v>481</v>
      </c>
      <c r="G35" s="144">
        <v>2.4492784858856167</v>
      </c>
      <c r="H35" s="145">
        <v>243.10702472230324</v>
      </c>
      <c r="I35" s="146">
        <v>1.6637449394761494</v>
      </c>
      <c r="J35" s="147">
        <v>0.86896994179760023</v>
      </c>
      <c r="K35" s="148">
        <v>47</v>
      </c>
      <c r="M35" s="138">
        <f t="shared" si="0"/>
        <v>1.6637449394761494</v>
      </c>
      <c r="N35" s="149"/>
      <c r="U35" s="141">
        <f t="shared" si="2"/>
        <v>10236578.203960422</v>
      </c>
      <c r="V35" s="141">
        <f t="shared" si="3"/>
        <v>854424.49973264127</v>
      </c>
      <c r="W35" s="141">
        <f t="shared" si="4"/>
        <v>221106.07589128157</v>
      </c>
      <c r="X35" s="141">
        <f t="shared" si="5"/>
        <v>-16484.6759649581</v>
      </c>
      <c r="Y35" s="141">
        <f t="shared" si="1"/>
        <v>-427403.6587802046</v>
      </c>
      <c r="Z35" s="141">
        <f t="shared" si="6"/>
        <v>-673829.00813759572</v>
      </c>
    </row>
    <row r="36" spans="1:26" ht="19.5" thickBot="1" x14ac:dyDescent="0.35">
      <c r="A36" s="142">
        <v>262</v>
      </c>
      <c r="B36" s="143" t="s">
        <v>476</v>
      </c>
      <c r="C36" s="142">
        <v>5060</v>
      </c>
      <c r="D36" s="143" t="s">
        <v>82</v>
      </c>
      <c r="E36" s="142">
        <v>4085</v>
      </c>
      <c r="F36" s="143" t="s">
        <v>482</v>
      </c>
      <c r="G36" s="144">
        <v>3.7485407748762594</v>
      </c>
      <c r="H36" s="145">
        <v>251.44724053885056</v>
      </c>
      <c r="I36" s="146">
        <v>1.5433640686117327</v>
      </c>
      <c r="J36" s="147">
        <v>0.87845066936680716</v>
      </c>
      <c r="K36" s="148">
        <v>60</v>
      </c>
      <c r="M36" s="138">
        <f t="shared" si="0"/>
        <v>1.5433640686117327</v>
      </c>
      <c r="N36" s="149"/>
      <c r="U36" s="141">
        <f t="shared" si="2"/>
        <v>15837677.821634306</v>
      </c>
      <c r="V36" s="141">
        <f t="shared" si="3"/>
        <v>1478597.8235353839</v>
      </c>
      <c r="W36" s="141">
        <f t="shared" si="4"/>
        <v>509324.64821849164</v>
      </c>
      <c r="X36" s="141">
        <f t="shared" si="5"/>
        <v>145699.75778689608</v>
      </c>
      <c r="Y36" s="141">
        <f t="shared" si="1"/>
        <v>-483198.33245892014</v>
      </c>
      <c r="Z36" s="141">
        <f t="shared" si="6"/>
        <v>-860344.28599278338</v>
      </c>
    </row>
    <row r="37" spans="1:26" ht="19.5" thickBot="1" x14ac:dyDescent="0.35">
      <c r="A37" s="142">
        <v>262</v>
      </c>
      <c r="B37" s="143" t="s">
        <v>476</v>
      </c>
      <c r="C37" s="142">
        <v>5060</v>
      </c>
      <c r="D37" s="143" t="s">
        <v>82</v>
      </c>
      <c r="E37" s="142">
        <v>4066</v>
      </c>
      <c r="F37" s="143" t="s">
        <v>483</v>
      </c>
      <c r="G37" s="144">
        <v>5.8039269676717034</v>
      </c>
      <c r="H37" s="145">
        <v>150.51579569590024</v>
      </c>
      <c r="I37" s="146">
        <v>0.96486442339685241</v>
      </c>
      <c r="J37" s="147">
        <v>0.92401104366699305</v>
      </c>
      <c r="K37" s="148">
        <v>139</v>
      </c>
      <c r="M37" s="138">
        <f t="shared" si="0"/>
        <v>0.96486442339685241</v>
      </c>
      <c r="N37" s="149"/>
      <c r="U37" s="141">
        <f t="shared" si="2"/>
        <v>25793542.20719827</v>
      </c>
      <c r="V37" s="141">
        <f t="shared" si="3"/>
        <v>3561143.8855679678</v>
      </c>
      <c r="W37" s="141">
        <f t="shared" si="4"/>
        <v>2060402.3813093682</v>
      </c>
      <c r="X37" s="141">
        <f t="shared" si="5"/>
        <v>1497396.0184501372</v>
      </c>
      <c r="Y37" s="141">
        <f t="shared" si="1"/>
        <v>523662.82329357258</v>
      </c>
      <c r="Z37" s="141">
        <f t="shared" si="6"/>
        <v>-60278.422626502914</v>
      </c>
    </row>
    <row r="38" spans="1:26" ht="19.5" thickBot="1" x14ac:dyDescent="0.35">
      <c r="A38" s="142">
        <v>262</v>
      </c>
      <c r="B38" s="143" t="s">
        <v>476</v>
      </c>
      <c r="C38" s="142">
        <v>5060</v>
      </c>
      <c r="D38" s="143" t="s">
        <v>82</v>
      </c>
      <c r="E38" s="142">
        <v>4067</v>
      </c>
      <c r="F38" s="143" t="s">
        <v>484</v>
      </c>
      <c r="G38" s="144">
        <v>2.9206349206349214</v>
      </c>
      <c r="H38" s="145">
        <v>161.6498303894021</v>
      </c>
      <c r="I38" s="146">
        <v>0.89250288361385832</v>
      </c>
      <c r="J38" s="147">
        <v>0.92970995612911977</v>
      </c>
      <c r="K38" s="148">
        <v>157</v>
      </c>
      <c r="M38" s="138">
        <f t="shared" si="0"/>
        <v>0.89250288361385832</v>
      </c>
      <c r="N38" s="149"/>
      <c r="U38" s="141">
        <f t="shared" si="2"/>
        <v>13059803.485865185</v>
      </c>
      <c r="V38" s="141">
        <f t="shared" si="3"/>
        <v>1872081.9191916804</v>
      </c>
      <c r="W38" s="141">
        <f t="shared" si="4"/>
        <v>1116883.2289603706</v>
      </c>
      <c r="X38" s="141">
        <f t="shared" si="5"/>
        <v>833568.83629736898</v>
      </c>
      <c r="Y38" s="141">
        <f t="shared" si="1"/>
        <v>343569.70484783157</v>
      </c>
      <c r="Z38" s="141">
        <f t="shared" si="6"/>
        <v>49720.52240069188</v>
      </c>
    </row>
    <row r="39" spans="1:26" ht="19.5" thickBot="1" x14ac:dyDescent="0.35">
      <c r="A39" s="142">
        <v>262</v>
      </c>
      <c r="B39" s="143" t="s">
        <v>476</v>
      </c>
      <c r="C39" s="142">
        <v>5060</v>
      </c>
      <c r="D39" s="143" t="s">
        <v>82</v>
      </c>
      <c r="E39" s="142">
        <v>4095</v>
      </c>
      <c r="F39" s="143" t="s">
        <v>93</v>
      </c>
      <c r="G39" s="144">
        <v>4.1371847501813255</v>
      </c>
      <c r="H39" s="145">
        <v>140.68412878697052</v>
      </c>
      <c r="I39" s="146">
        <v>0.60366459982734411</v>
      </c>
      <c r="J39" s="147">
        <v>0.95245773208782214</v>
      </c>
      <c r="K39" s="148">
        <v>213</v>
      </c>
      <c r="M39" s="138">
        <f t="shared" si="0"/>
        <v>0.60366459982734411</v>
      </c>
      <c r="N39" s="149"/>
      <c r="U39" s="141">
        <f t="shared" si="2"/>
        <v>18952325.806802168</v>
      </c>
      <c r="V39" s="141">
        <f t="shared" si="3"/>
        <v>3104514.5216949447</v>
      </c>
      <c r="W39" s="141">
        <f t="shared" si="4"/>
        <v>2034748.3271913645</v>
      </c>
      <c r="X39" s="141">
        <f t="shared" si="5"/>
        <v>1633423.2671672769</v>
      </c>
      <c r="Y39" s="141">
        <f t="shared" si="1"/>
        <v>939321.8168585134</v>
      </c>
      <c r="Z39" s="141">
        <f t="shared" si="6"/>
        <v>523073.84697898052</v>
      </c>
    </row>
    <row r="40" spans="1:26" ht="19.5" thickBot="1" x14ac:dyDescent="0.35">
      <c r="A40" s="142">
        <v>262</v>
      </c>
      <c r="B40" s="143" t="s">
        <v>476</v>
      </c>
      <c r="C40" s="142">
        <v>5060</v>
      </c>
      <c r="D40" s="143" t="s">
        <v>82</v>
      </c>
      <c r="E40" s="142">
        <v>4087</v>
      </c>
      <c r="F40" s="143" t="s">
        <v>94</v>
      </c>
      <c r="G40" s="144">
        <v>7.6785695594795067</v>
      </c>
      <c r="H40" s="145">
        <v>275.34118401648141</v>
      </c>
      <c r="I40" s="146">
        <v>1.2574034131136358</v>
      </c>
      <c r="J40" s="147">
        <v>0.90097181455226438</v>
      </c>
      <c r="K40" s="148">
        <v>97</v>
      </c>
      <c r="M40" s="138">
        <f t="shared" si="0"/>
        <v>1.2574034131136358</v>
      </c>
      <c r="N40" s="149"/>
      <c r="U40" s="141">
        <f t="shared" si="2"/>
        <v>33273877.589528922</v>
      </c>
      <c r="V40" s="141">
        <f t="shared" si="3"/>
        <v>3860513.5107633499</v>
      </c>
      <c r="W40" s="141">
        <f t="shared" si="4"/>
        <v>1875039.176672902</v>
      </c>
      <c r="X40" s="141">
        <f t="shared" si="5"/>
        <v>1130184.2631421057</v>
      </c>
      <c r="Y40" s="141">
        <f t="shared" si="1"/>
        <v>-158060.42240109167</v>
      </c>
      <c r="Z40" s="141">
        <f t="shared" si="6"/>
        <v>-930612.09309262643</v>
      </c>
    </row>
    <row r="41" spans="1:26" ht="19.5" thickBot="1" x14ac:dyDescent="0.35">
      <c r="A41" s="142">
        <v>262</v>
      </c>
      <c r="B41" s="143" t="s">
        <v>476</v>
      </c>
      <c r="C41" s="142">
        <v>5060</v>
      </c>
      <c r="D41" s="143" t="s">
        <v>82</v>
      </c>
      <c r="E41" s="142">
        <v>4073</v>
      </c>
      <c r="F41" s="143" t="s">
        <v>485</v>
      </c>
      <c r="G41" s="144">
        <v>2.4205745913741672</v>
      </c>
      <c r="H41" s="145">
        <v>141.67774478922837</v>
      </c>
      <c r="I41" s="146">
        <v>0.48621779382219144</v>
      </c>
      <c r="J41" s="147">
        <v>0.96170738415972357</v>
      </c>
      <c r="K41" s="148">
        <v>235</v>
      </c>
      <c r="M41" s="138">
        <f t="shared" si="0"/>
        <v>0.48621779382219144</v>
      </c>
      <c r="N41" s="149"/>
      <c r="U41" s="141">
        <f t="shared" si="2"/>
        <v>11196268.570953684</v>
      </c>
      <c r="V41" s="141">
        <f t="shared" si="3"/>
        <v>1924067.3902009889</v>
      </c>
      <c r="W41" s="141">
        <f t="shared" si="4"/>
        <v>1298171.0318106825</v>
      </c>
      <c r="X41" s="141">
        <f t="shared" si="5"/>
        <v>1063364.6835726828</v>
      </c>
      <c r="Y41" s="141">
        <f t="shared" si="1"/>
        <v>657261.39452335599</v>
      </c>
      <c r="Z41" s="141">
        <f t="shared" si="6"/>
        <v>413723.98431770428</v>
      </c>
    </row>
    <row r="42" spans="1:26" ht="19.5" thickBot="1" x14ac:dyDescent="0.35">
      <c r="A42" s="142">
        <v>262</v>
      </c>
      <c r="B42" s="143" t="s">
        <v>476</v>
      </c>
      <c r="C42" s="142">
        <v>5060</v>
      </c>
      <c r="D42" s="143" t="s">
        <v>82</v>
      </c>
      <c r="E42" s="142">
        <v>4074</v>
      </c>
      <c r="F42" s="143" t="s">
        <v>486</v>
      </c>
      <c r="G42" s="144">
        <v>1.6157698529477824</v>
      </c>
      <c r="H42" s="145">
        <v>151.98167644481737</v>
      </c>
      <c r="I42" s="146">
        <v>1.0256230489612654</v>
      </c>
      <c r="J42" s="147">
        <v>0.91922593144509834</v>
      </c>
      <c r="K42" s="148">
        <v>130</v>
      </c>
      <c r="M42" s="138">
        <f t="shared" si="0"/>
        <v>1.0256230489612654</v>
      </c>
      <c r="N42" s="149"/>
      <c r="U42" s="141">
        <f t="shared" si="2"/>
        <v>7143542.8614406399</v>
      </c>
      <c r="V42" s="141">
        <f t="shared" si="3"/>
        <v>954209.47270096047</v>
      </c>
      <c r="W42" s="141">
        <f t="shared" si="4"/>
        <v>536414.26384406781</v>
      </c>
      <c r="X42" s="141">
        <f t="shared" si="5"/>
        <v>379677.50385505386</v>
      </c>
      <c r="Y42" s="141">
        <f t="shared" si="1"/>
        <v>108597.46609578283</v>
      </c>
      <c r="Z42" s="141">
        <f t="shared" si="6"/>
        <v>-53967.408739112689</v>
      </c>
    </row>
    <row r="43" spans="1:26" ht="19.5" thickBot="1" x14ac:dyDescent="0.35">
      <c r="A43" s="142">
        <v>262</v>
      </c>
      <c r="B43" s="143" t="s">
        <v>476</v>
      </c>
      <c r="C43" s="142">
        <v>5060</v>
      </c>
      <c r="D43" s="143" t="s">
        <v>82</v>
      </c>
      <c r="E43" s="142">
        <v>4079</v>
      </c>
      <c r="F43" s="143" t="s">
        <v>487</v>
      </c>
      <c r="G43" s="144">
        <v>2.3852260407453945</v>
      </c>
      <c r="H43" s="145">
        <v>109.15190348946498</v>
      </c>
      <c r="I43" s="146">
        <v>1.0255661459387508</v>
      </c>
      <c r="J43" s="147">
        <v>0.91923041290507157</v>
      </c>
      <c r="K43" s="148">
        <v>131</v>
      </c>
      <c r="M43" s="138">
        <f t="shared" si="0"/>
        <v>1.0255661459387508</v>
      </c>
      <c r="N43" s="149"/>
      <c r="U43" s="141">
        <f t="shared" si="2"/>
        <v>10545466.91441503</v>
      </c>
      <c r="V43" s="141">
        <f t="shared" si="3"/>
        <v>1408671.1345311967</v>
      </c>
      <c r="W43" s="141">
        <f t="shared" si="4"/>
        <v>791914.97334520938</v>
      </c>
      <c r="X43" s="141">
        <f t="shared" si="5"/>
        <v>560537.58950195543</v>
      </c>
      <c r="Y43" s="141">
        <f t="shared" si="1"/>
        <v>160364.77775526038</v>
      </c>
      <c r="Z43" s="141">
        <f t="shared" si="6"/>
        <v>-79616.165111879323</v>
      </c>
    </row>
    <row r="44" spans="1:26" ht="19.5" thickBot="1" x14ac:dyDescent="0.35">
      <c r="A44" s="142">
        <v>262</v>
      </c>
      <c r="B44" s="143" t="s">
        <v>476</v>
      </c>
      <c r="C44" s="142">
        <v>5060</v>
      </c>
      <c r="D44" s="143" t="s">
        <v>82</v>
      </c>
      <c r="E44" s="142">
        <v>4031</v>
      </c>
      <c r="F44" s="143" t="s">
        <v>488</v>
      </c>
      <c r="G44" s="144">
        <v>2.9406015037593991</v>
      </c>
      <c r="H44" s="145">
        <v>208.20897299999996</v>
      </c>
      <c r="I44" s="146">
        <v>1.2461601874021988</v>
      </c>
      <c r="J44" s="147">
        <v>0.9018572871294589</v>
      </c>
      <c r="K44" s="148">
        <v>98</v>
      </c>
      <c r="M44" s="138">
        <f t="shared" si="0"/>
        <v>1.2461601874021988</v>
      </c>
      <c r="N44" s="149"/>
      <c r="U44" s="141">
        <f t="shared" si="2"/>
        <v>12755159.11132754</v>
      </c>
      <c r="V44" s="141">
        <f t="shared" si="3"/>
        <v>1490953.9790237446</v>
      </c>
      <c r="W44" s="141">
        <f t="shared" si="4"/>
        <v>730592.46021791326</v>
      </c>
      <c r="X44" s="141">
        <f t="shared" si="5"/>
        <v>445341.2214494638</v>
      </c>
      <c r="Y44" s="141">
        <f t="shared" si="1"/>
        <v>-48007.732437614723</v>
      </c>
      <c r="Z44" s="141">
        <f t="shared" si="6"/>
        <v>-343865.7808631545</v>
      </c>
    </row>
    <row r="45" spans="1:26" ht="19.5" thickBot="1" x14ac:dyDescent="0.35">
      <c r="A45" s="142">
        <v>262</v>
      </c>
      <c r="B45" s="143" t="s">
        <v>476</v>
      </c>
      <c r="C45" s="142">
        <v>5060</v>
      </c>
      <c r="D45" s="143" t="s">
        <v>82</v>
      </c>
      <c r="E45" s="142">
        <v>4071</v>
      </c>
      <c r="F45" s="143" t="s">
        <v>99</v>
      </c>
      <c r="G45" s="144">
        <v>8.6630214135911014</v>
      </c>
      <c r="H45" s="145">
        <v>191.93849542970591</v>
      </c>
      <c r="I45" s="146">
        <v>1.1347670793676288</v>
      </c>
      <c r="J45" s="147">
        <v>0.91063017357544962</v>
      </c>
      <c r="K45" s="148">
        <v>110</v>
      </c>
      <c r="M45" s="138">
        <f t="shared" si="0"/>
        <v>1.1347670793676288</v>
      </c>
      <c r="N45" s="149"/>
      <c r="U45" s="141">
        <f t="shared" si="2"/>
        <v>37942270.080379516</v>
      </c>
      <c r="V45" s="141">
        <f t="shared" si="3"/>
        <v>4757885.8163174903</v>
      </c>
      <c r="W45" s="141">
        <f t="shared" si="4"/>
        <v>2517858.3555872915</v>
      </c>
      <c r="X45" s="141">
        <f t="shared" si="5"/>
        <v>1677507.2959332543</v>
      </c>
      <c r="Y45" s="141">
        <f t="shared" si="1"/>
        <v>224099.70349592774</v>
      </c>
      <c r="Z45" s="141">
        <f t="shared" si="6"/>
        <v>-647499.05125443079</v>
      </c>
    </row>
    <row r="46" spans="1:26" ht="19.5" thickBot="1" x14ac:dyDescent="0.35">
      <c r="A46" s="142">
        <v>262</v>
      </c>
      <c r="B46" s="143" t="s">
        <v>476</v>
      </c>
      <c r="C46" s="142">
        <v>5060</v>
      </c>
      <c r="D46" s="143" t="s">
        <v>82</v>
      </c>
      <c r="E46" s="142">
        <v>4080</v>
      </c>
      <c r="F46" s="143" t="s">
        <v>489</v>
      </c>
      <c r="G46" s="144">
        <v>2.3098195906539942</v>
      </c>
      <c r="H46" s="145">
        <v>79.391625364160291</v>
      </c>
      <c r="I46" s="146">
        <v>0.39115046839835221</v>
      </c>
      <c r="J46" s="147">
        <v>0.96919451568323356</v>
      </c>
      <c r="K46" s="148">
        <v>251</v>
      </c>
      <c r="M46" s="138">
        <f t="shared" si="0"/>
        <v>0.39115046839835221</v>
      </c>
      <c r="N46" s="149"/>
      <c r="U46" s="141">
        <f t="shared" si="2"/>
        <v>10767153.267292818</v>
      </c>
      <c r="V46" s="141">
        <f t="shared" si="3"/>
        <v>1919207.8199149228</v>
      </c>
      <c r="W46" s="141">
        <f t="shared" si="4"/>
        <v>1321949.7657815074</v>
      </c>
      <c r="X46" s="141">
        <f t="shared" si="5"/>
        <v>1097887.1382125067</v>
      </c>
      <c r="Y46" s="141">
        <f t="shared" si="1"/>
        <v>710365.37531461695</v>
      </c>
      <c r="Z46" s="141">
        <f t="shared" si="6"/>
        <v>477971.18132664973</v>
      </c>
    </row>
    <row r="47" spans="1:26" ht="19.5" thickBot="1" x14ac:dyDescent="0.35">
      <c r="A47" s="142">
        <v>262</v>
      </c>
      <c r="B47" s="143" t="s">
        <v>476</v>
      </c>
      <c r="C47" s="142">
        <v>5101</v>
      </c>
      <c r="D47" s="143" t="s">
        <v>101</v>
      </c>
      <c r="E47" s="142">
        <v>4113</v>
      </c>
      <c r="F47" s="143" t="s">
        <v>490</v>
      </c>
      <c r="G47" s="144">
        <v>2.9631336405529956</v>
      </c>
      <c r="H47" s="145">
        <v>194.47439413919128</v>
      </c>
      <c r="I47" s="146">
        <v>1.3750696101035771</v>
      </c>
      <c r="J47" s="147">
        <v>0.89170488410263582</v>
      </c>
      <c r="K47" s="148">
        <v>79</v>
      </c>
      <c r="M47" s="138">
        <f t="shared" si="0"/>
        <v>1.3750696101035771</v>
      </c>
      <c r="N47" s="149"/>
      <c r="U47" s="141">
        <f t="shared" si="2"/>
        <v>12708206.733247478</v>
      </c>
      <c r="V47" s="141">
        <f t="shared" si="3"/>
        <v>1357690.4803828974</v>
      </c>
      <c r="W47" s="141">
        <f t="shared" si="4"/>
        <v>591502.74890172854</v>
      </c>
      <c r="X47" s="141">
        <f t="shared" si="5"/>
        <v>304065.79407339927</v>
      </c>
      <c r="Y47" s="141">
        <f t="shared" si="1"/>
        <v>-193063.40888916602</v>
      </c>
      <c r="Z47" s="141">
        <f t="shared" si="6"/>
        <v>-491188.44725199859</v>
      </c>
    </row>
    <row r="48" spans="1:26" ht="19.5" thickBot="1" x14ac:dyDescent="0.35">
      <c r="A48" s="142">
        <v>262</v>
      </c>
      <c r="B48" s="143" t="s">
        <v>476</v>
      </c>
      <c r="C48" s="142">
        <v>5101</v>
      </c>
      <c r="D48" s="143" t="s">
        <v>101</v>
      </c>
      <c r="E48" s="142">
        <v>4111</v>
      </c>
      <c r="F48" s="143" t="s">
        <v>491</v>
      </c>
      <c r="G48" s="144">
        <v>3.6627518924840063</v>
      </c>
      <c r="H48" s="145">
        <v>129.0477375767444</v>
      </c>
      <c r="I48" s="146">
        <v>0.94731112192173994</v>
      </c>
      <c r="J48" s="147">
        <v>0.92539347318449616</v>
      </c>
      <c r="K48" s="148">
        <v>142</v>
      </c>
      <c r="M48" s="138">
        <f t="shared" si="0"/>
        <v>0.94731112192173994</v>
      </c>
      <c r="N48" s="149"/>
      <c r="U48" s="141">
        <f t="shared" si="2"/>
        <v>16302185.110446092</v>
      </c>
      <c r="V48" s="141">
        <f t="shared" si="3"/>
        <v>2271726.1676319493</v>
      </c>
      <c r="W48" s="141">
        <f t="shared" si="4"/>
        <v>1324635.7208585315</v>
      </c>
      <c r="X48" s="141">
        <f t="shared" si="5"/>
        <v>969332.72815556906</v>
      </c>
      <c r="Y48" s="141">
        <f t="shared" si="1"/>
        <v>354827.56239450572</v>
      </c>
      <c r="Z48" s="141">
        <f t="shared" si="6"/>
        <v>-13687.051160536395</v>
      </c>
    </row>
    <row r="49" spans="1:26" ht="19.5" thickBot="1" x14ac:dyDescent="0.35">
      <c r="A49" s="142">
        <v>262</v>
      </c>
      <c r="B49" s="143" t="s">
        <v>476</v>
      </c>
      <c r="C49" s="142">
        <v>5101</v>
      </c>
      <c r="D49" s="143" t="s">
        <v>101</v>
      </c>
      <c r="E49" s="142">
        <v>4104</v>
      </c>
      <c r="F49" s="143" t="s">
        <v>492</v>
      </c>
      <c r="G49" s="144">
        <v>4.5139963627053952</v>
      </c>
      <c r="H49" s="145">
        <v>145.17321441022361</v>
      </c>
      <c r="I49" s="146">
        <v>0.70356701880383732</v>
      </c>
      <c r="J49" s="147">
        <v>0.94458980746641219</v>
      </c>
      <c r="K49" s="148">
        <v>196</v>
      </c>
      <c r="M49" s="138">
        <f t="shared" si="0"/>
        <v>0.70356701880383732</v>
      </c>
      <c r="N49" s="149"/>
      <c r="U49" s="141">
        <f t="shared" si="2"/>
        <v>20507671.236810781</v>
      </c>
      <c r="V49" s="141">
        <f t="shared" si="3"/>
        <v>3216453.4601136758</v>
      </c>
      <c r="W49" s="141">
        <f t="shared" si="4"/>
        <v>2049253.7814619769</v>
      </c>
      <c r="X49" s="141">
        <f t="shared" si="5"/>
        <v>1611376.3429134914</v>
      </c>
      <c r="Y49" s="141">
        <f t="shared" si="1"/>
        <v>854056.66510481271</v>
      </c>
      <c r="Z49" s="141">
        <f t="shared" si="6"/>
        <v>399897.14952181501</v>
      </c>
    </row>
    <row r="50" spans="1:26" ht="19.5" thickBot="1" x14ac:dyDescent="0.35">
      <c r="A50" s="142">
        <v>262</v>
      </c>
      <c r="B50" s="143" t="s">
        <v>476</v>
      </c>
      <c r="C50" s="142">
        <v>5101</v>
      </c>
      <c r="D50" s="143" t="s">
        <v>101</v>
      </c>
      <c r="E50" s="142">
        <v>4008</v>
      </c>
      <c r="F50" s="143" t="s">
        <v>493</v>
      </c>
      <c r="G50" s="144">
        <v>2.2098362646270302</v>
      </c>
      <c r="H50" s="145">
        <v>212.14222532868186</v>
      </c>
      <c r="I50" s="146">
        <v>1.57669453885447</v>
      </c>
      <c r="J50" s="147">
        <v>0.8758256916119872</v>
      </c>
      <c r="K50" s="148">
        <v>55</v>
      </c>
      <c r="M50" s="138">
        <f t="shared" si="0"/>
        <v>1.57669453885447</v>
      </c>
      <c r="N50" s="149"/>
      <c r="U50" s="141">
        <f t="shared" si="2"/>
        <v>9308713.4950290862</v>
      </c>
      <c r="V50" s="141">
        <f t="shared" si="3"/>
        <v>843762.03467660199</v>
      </c>
      <c r="W50" s="141">
        <f t="shared" si="4"/>
        <v>272357.01555521658</v>
      </c>
      <c r="X50" s="141">
        <f t="shared" si="5"/>
        <v>57993.208982165263</v>
      </c>
      <c r="Y50" s="141">
        <f t="shared" si="1"/>
        <v>-312754.20715758955</v>
      </c>
      <c r="Z50" s="141">
        <f t="shared" si="6"/>
        <v>-535088.9382514467</v>
      </c>
    </row>
    <row r="51" spans="1:26" ht="19.5" thickBot="1" x14ac:dyDescent="0.35">
      <c r="A51" s="142">
        <v>262</v>
      </c>
      <c r="B51" s="143" t="s">
        <v>476</v>
      </c>
      <c r="C51" s="142">
        <v>5101</v>
      </c>
      <c r="D51" s="143" t="s">
        <v>101</v>
      </c>
      <c r="E51" s="142">
        <v>4007</v>
      </c>
      <c r="F51" s="143" t="s">
        <v>494</v>
      </c>
      <c r="G51" s="144">
        <v>7.7514398573821319</v>
      </c>
      <c r="H51" s="145">
        <v>249.85338512502932</v>
      </c>
      <c r="I51" s="146">
        <v>2.0172752729685706</v>
      </c>
      <c r="J51" s="147">
        <v>0.84112727248290886</v>
      </c>
      <c r="K51" s="148">
        <v>25</v>
      </c>
      <c r="M51" s="138">
        <f t="shared" si="0"/>
        <v>2.0172752729685706</v>
      </c>
      <c r="N51" s="149"/>
      <c r="U51" s="141">
        <f t="shared" si="2"/>
        <v>31358550.731669612</v>
      </c>
      <c r="V51" s="141">
        <f t="shared" si="3"/>
        <v>1666051.2506477714</v>
      </c>
      <c r="W51" s="141">
        <f t="shared" si="4"/>
        <v>-338265.40883706824</v>
      </c>
      <c r="X51" s="141">
        <f t="shared" si="5"/>
        <v>-1090189.0607601888</v>
      </c>
      <c r="Y51" s="141">
        <f t="shared" si="1"/>
        <v>-2390659.3012429927</v>
      </c>
      <c r="Z51" s="141">
        <f t="shared" si="6"/>
        <v>-3170542.5549790491</v>
      </c>
    </row>
    <row r="52" spans="1:26" ht="19.5" thickBot="1" x14ac:dyDescent="0.35">
      <c r="A52" s="142">
        <v>262</v>
      </c>
      <c r="B52" s="143" t="s">
        <v>476</v>
      </c>
      <c r="C52" s="142">
        <v>5101</v>
      </c>
      <c r="D52" s="143" t="s">
        <v>101</v>
      </c>
      <c r="E52" s="142">
        <v>4015</v>
      </c>
      <c r="F52" s="143" t="s">
        <v>107</v>
      </c>
      <c r="G52" s="144">
        <v>4.7798890689306095</v>
      </c>
      <c r="H52" s="145">
        <v>145.03324052143685</v>
      </c>
      <c r="I52" s="146">
        <v>0.66016862054624581</v>
      </c>
      <c r="J52" s="147">
        <v>0.94800769593877243</v>
      </c>
      <c r="K52" s="148">
        <v>204</v>
      </c>
      <c r="M52" s="138">
        <f t="shared" si="0"/>
        <v>0.66016862054624581</v>
      </c>
      <c r="N52" s="149"/>
      <c r="U52" s="141">
        <f t="shared" si="2"/>
        <v>21794231.884228107</v>
      </c>
      <c r="V52" s="141">
        <f t="shared" si="3"/>
        <v>3484491.2025147397</v>
      </c>
      <c r="W52" s="141">
        <f t="shared" si="4"/>
        <v>2248538.7256051581</v>
      </c>
      <c r="X52" s="141">
        <f t="shared" si="5"/>
        <v>1784868.5287610414</v>
      </c>
      <c r="Y52" s="141">
        <f t="shared" si="1"/>
        <v>982939.64827913058</v>
      </c>
      <c r="Z52" s="141">
        <f t="shared" si="6"/>
        <v>502028.29398088832</v>
      </c>
    </row>
    <row r="53" spans="1:26" ht="19.5" thickBot="1" x14ac:dyDescent="0.35">
      <c r="A53" s="142">
        <v>262</v>
      </c>
      <c r="B53" s="143" t="s">
        <v>476</v>
      </c>
      <c r="C53" s="142">
        <v>5101</v>
      </c>
      <c r="D53" s="143" t="s">
        <v>101</v>
      </c>
      <c r="E53" s="142">
        <v>4109</v>
      </c>
      <c r="F53" s="143" t="s">
        <v>495</v>
      </c>
      <c r="G53" s="144">
        <v>2.5187938061803754</v>
      </c>
      <c r="H53" s="145">
        <v>88.161492312363521</v>
      </c>
      <c r="I53" s="146">
        <v>0.51214386392993294</v>
      </c>
      <c r="J53" s="147">
        <v>0.95966554806178994</v>
      </c>
      <c r="K53" s="148">
        <v>231</v>
      </c>
      <c r="M53" s="138">
        <f t="shared" si="0"/>
        <v>0.51214386392993294</v>
      </c>
      <c r="N53" s="149"/>
      <c r="U53" s="141">
        <f t="shared" si="2"/>
        <v>11625841.756788753</v>
      </c>
      <c r="V53" s="141">
        <f t="shared" si="3"/>
        <v>1977404.1556654219</v>
      </c>
      <c r="W53" s="141">
        <f t="shared" si="4"/>
        <v>1326110.9146133582</v>
      </c>
      <c r="X53" s="141">
        <f t="shared" si="5"/>
        <v>1081776.8719024702</v>
      </c>
      <c r="Y53" s="141">
        <f t="shared" si="1"/>
        <v>659195.20357791544</v>
      </c>
      <c r="Z53" s="141">
        <f t="shared" si="6"/>
        <v>405775.82018640242</v>
      </c>
    </row>
    <row r="54" spans="1:26" ht="19.5" thickBot="1" x14ac:dyDescent="0.35">
      <c r="A54" s="142">
        <v>262</v>
      </c>
      <c r="B54" s="143" t="s">
        <v>476</v>
      </c>
      <c r="C54" s="142">
        <v>5101</v>
      </c>
      <c r="D54" s="143" t="s">
        <v>101</v>
      </c>
      <c r="E54" s="142">
        <v>4129</v>
      </c>
      <c r="F54" s="143" t="s">
        <v>496</v>
      </c>
      <c r="G54" s="144">
        <v>2.5697043736581602</v>
      </c>
      <c r="H54" s="145">
        <v>117.22400871784944</v>
      </c>
      <c r="I54" s="146">
        <v>1.1787939518458239</v>
      </c>
      <c r="J54" s="147">
        <v>0.90716278892627134</v>
      </c>
      <c r="K54" s="148">
        <v>102</v>
      </c>
      <c r="M54" s="138">
        <f t="shared" si="0"/>
        <v>1.1787939518458239</v>
      </c>
      <c r="N54" s="149"/>
      <c r="U54" s="141">
        <f t="shared" si="2"/>
        <v>11211927.425376823</v>
      </c>
      <c r="V54" s="141">
        <f t="shared" si="3"/>
        <v>1368472.89498286</v>
      </c>
      <c r="W54" s="141">
        <f t="shared" si="4"/>
        <v>704015.53211381915</v>
      </c>
      <c r="X54" s="141">
        <f t="shared" si="5"/>
        <v>454742.94114303385</v>
      </c>
      <c r="Y54" s="141">
        <f t="shared" si="1"/>
        <v>23619.933512608513</v>
      </c>
      <c r="Z54" s="141">
        <f t="shared" si="6"/>
        <v>-234921.6335950449</v>
      </c>
    </row>
    <row r="55" spans="1:26" ht="19.5" thickBot="1" x14ac:dyDescent="0.35">
      <c r="A55" s="142">
        <v>262</v>
      </c>
      <c r="B55" s="143" t="s">
        <v>476</v>
      </c>
      <c r="C55" s="142">
        <v>5101</v>
      </c>
      <c r="D55" s="143" t="s">
        <v>101</v>
      </c>
      <c r="E55" s="142">
        <v>4116</v>
      </c>
      <c r="F55" s="143" t="s">
        <v>110</v>
      </c>
      <c r="G55" s="144">
        <v>5.2395012254440703</v>
      </c>
      <c r="H55" s="145">
        <v>156.69362179802087</v>
      </c>
      <c r="I55" s="146">
        <v>1.197243558077103</v>
      </c>
      <c r="J55" s="147">
        <v>0.90570976994425301</v>
      </c>
      <c r="K55" s="148">
        <v>101</v>
      </c>
      <c r="M55" s="138">
        <f t="shared" si="0"/>
        <v>1.197243558077103</v>
      </c>
      <c r="N55" s="149"/>
      <c r="U55" s="141">
        <f t="shared" si="2"/>
        <v>22823954.112947453</v>
      </c>
      <c r="V55" s="141">
        <f t="shared" si="3"/>
        <v>2753632.9494348941</v>
      </c>
      <c r="W55" s="141">
        <f t="shared" si="4"/>
        <v>1398836.9648479144</v>
      </c>
      <c r="X55" s="141">
        <f t="shared" si="5"/>
        <v>890582.37367804698</v>
      </c>
      <c r="Y55" s="141">
        <f t="shared" si="1"/>
        <v>11543.699053742779</v>
      </c>
      <c r="Z55" s="141">
        <f t="shared" si="6"/>
        <v>-515609.88000187767</v>
      </c>
    </row>
    <row r="56" spans="1:26" ht="19.5" thickBot="1" x14ac:dyDescent="0.35">
      <c r="A56" s="142">
        <v>262</v>
      </c>
      <c r="B56" s="143" t="s">
        <v>476</v>
      </c>
      <c r="C56" s="142">
        <v>5101</v>
      </c>
      <c r="D56" s="143" t="s">
        <v>101</v>
      </c>
      <c r="E56" s="142">
        <v>4126</v>
      </c>
      <c r="F56" s="143" t="s">
        <v>497</v>
      </c>
      <c r="G56" s="144">
        <v>2.6352440240385908</v>
      </c>
      <c r="H56" s="145">
        <v>269.18301061655762</v>
      </c>
      <c r="I56" s="146">
        <v>1.3203185126543895</v>
      </c>
      <c r="J56" s="147">
        <v>0.89601686685623694</v>
      </c>
      <c r="K56" s="148">
        <v>86</v>
      </c>
      <c r="M56" s="138">
        <f t="shared" si="0"/>
        <v>1.3203185126543895</v>
      </c>
      <c r="N56" s="149"/>
      <c r="U56" s="141">
        <f t="shared" si="2"/>
        <v>11356615.152686583</v>
      </c>
      <c r="V56" s="141">
        <f t="shared" si="3"/>
        <v>1262105.8414116227</v>
      </c>
      <c r="W56" s="141">
        <f t="shared" si="4"/>
        <v>580701.66407569218</v>
      </c>
      <c r="X56" s="141">
        <f t="shared" si="5"/>
        <v>325071.43966305227</v>
      </c>
      <c r="Y56" s="141">
        <f t="shared" si="1"/>
        <v>-117047.24960324701</v>
      </c>
      <c r="Z56" s="141">
        <f t="shared" si="6"/>
        <v>-382182.85300968378</v>
      </c>
    </row>
    <row r="57" spans="1:26" ht="19.5" thickBot="1" x14ac:dyDescent="0.35">
      <c r="A57" s="142">
        <v>262</v>
      </c>
      <c r="B57" s="143" t="s">
        <v>476</v>
      </c>
      <c r="C57" s="142">
        <v>5101</v>
      </c>
      <c r="D57" s="143" t="s">
        <v>101</v>
      </c>
      <c r="E57" s="142">
        <v>4119</v>
      </c>
      <c r="F57" s="143" t="s">
        <v>498</v>
      </c>
      <c r="G57" s="144">
        <v>5.3559300765240208</v>
      </c>
      <c r="H57" s="145">
        <v>205.35456700992037</v>
      </c>
      <c r="I57" s="146">
        <v>1.9578815379541992</v>
      </c>
      <c r="J57" s="147">
        <v>0.84580489125195002</v>
      </c>
      <c r="K57" s="148">
        <v>28</v>
      </c>
      <c r="M57" s="138">
        <f t="shared" si="0"/>
        <v>1.9578815379541992</v>
      </c>
      <c r="N57" s="149"/>
      <c r="U57" s="141">
        <f t="shared" si="2"/>
        <v>21787980.481988158</v>
      </c>
      <c r="V57" s="141">
        <f t="shared" si="3"/>
        <v>1271669.4554471197</v>
      </c>
      <c r="W57" s="141">
        <f t="shared" si="4"/>
        <v>-113231.94054184403</v>
      </c>
      <c r="X57" s="141">
        <f t="shared" si="5"/>
        <v>-632780.64074229042</v>
      </c>
      <c r="Y57" s="141">
        <f t="shared" si="1"/>
        <v>-1531352.7515731442</v>
      </c>
      <c r="Z57" s="141">
        <f t="shared" si="6"/>
        <v>-2070220.4009021102</v>
      </c>
    </row>
    <row r="58" spans="1:26" ht="19.5" thickBot="1" x14ac:dyDescent="0.35">
      <c r="A58" s="142">
        <v>262</v>
      </c>
      <c r="B58" s="143" t="s">
        <v>476</v>
      </c>
      <c r="C58" s="142">
        <v>5101</v>
      </c>
      <c r="D58" s="143" t="s">
        <v>101</v>
      </c>
      <c r="E58" s="142">
        <v>4127</v>
      </c>
      <c r="F58" s="143" t="s">
        <v>499</v>
      </c>
      <c r="G58" s="144">
        <v>1.3827908004778966</v>
      </c>
      <c r="H58" s="145">
        <v>154.35562915679941</v>
      </c>
      <c r="I58" s="146">
        <v>0.58339456823201152</v>
      </c>
      <c r="J58" s="147">
        <v>0.9540541206667934</v>
      </c>
      <c r="K58" s="148">
        <v>220</v>
      </c>
      <c r="M58" s="138">
        <f t="shared" si="0"/>
        <v>0.58339456823201152</v>
      </c>
      <c r="N58" s="149"/>
      <c r="U58" s="141">
        <f t="shared" si="2"/>
        <v>6345142.4993372709</v>
      </c>
      <c r="V58" s="141">
        <f t="shared" si="3"/>
        <v>1048253.6785526532</v>
      </c>
      <c r="W58" s="141">
        <f t="shared" si="4"/>
        <v>690700.67046981002</v>
      </c>
      <c r="X58" s="141">
        <f t="shared" si="5"/>
        <v>556563.9000540761</v>
      </c>
      <c r="Y58" s="141">
        <f t="shared" si="1"/>
        <v>324571.09382436681</v>
      </c>
      <c r="Z58" s="141">
        <f t="shared" si="6"/>
        <v>185446.56876132925</v>
      </c>
    </row>
    <row r="59" spans="1:26" ht="19.5" thickBot="1" x14ac:dyDescent="0.35">
      <c r="A59" s="142">
        <v>262</v>
      </c>
      <c r="B59" s="143" t="s">
        <v>476</v>
      </c>
      <c r="C59" s="142">
        <v>5101</v>
      </c>
      <c r="D59" s="143" t="s">
        <v>101</v>
      </c>
      <c r="E59" s="142">
        <v>4121</v>
      </c>
      <c r="F59" s="143" t="s">
        <v>500</v>
      </c>
      <c r="G59" s="144">
        <v>3.0026688585262442</v>
      </c>
      <c r="H59" s="145">
        <v>102.19369581120195</v>
      </c>
      <c r="I59" s="146">
        <v>0.38372187148719172</v>
      </c>
      <c r="J59" s="147">
        <v>0.96977956298377599</v>
      </c>
      <c r="K59" s="148">
        <v>255</v>
      </c>
      <c r="M59" s="138">
        <f t="shared" si="0"/>
        <v>0.38372187148719172</v>
      </c>
      <c r="N59" s="149"/>
      <c r="U59" s="141">
        <f t="shared" si="2"/>
        <v>14005298.003276305</v>
      </c>
      <c r="V59" s="141">
        <f t="shared" si="3"/>
        <v>2503338.9912919728</v>
      </c>
      <c r="W59" s="141">
        <f t="shared" si="4"/>
        <v>1726928.5015261378</v>
      </c>
      <c r="X59" s="141">
        <f t="shared" si="5"/>
        <v>1435656.4572144384</v>
      </c>
      <c r="Y59" s="141">
        <f t="shared" si="1"/>
        <v>931894.37373274658</v>
      </c>
      <c r="Z59" s="141">
        <f t="shared" si="6"/>
        <v>629791.64154819411</v>
      </c>
    </row>
    <row r="60" spans="1:26" ht="19.5" thickBot="1" x14ac:dyDescent="0.35">
      <c r="A60" s="142">
        <v>262</v>
      </c>
      <c r="B60" s="143" t="s">
        <v>476</v>
      </c>
      <c r="C60" s="142">
        <v>5101</v>
      </c>
      <c r="D60" s="143" t="s">
        <v>101</v>
      </c>
      <c r="E60" s="142">
        <v>4101</v>
      </c>
      <c r="F60" s="143" t="s">
        <v>501</v>
      </c>
      <c r="G60" s="144">
        <v>8.0969419466873145</v>
      </c>
      <c r="H60" s="145">
        <v>198.07641976563329</v>
      </c>
      <c r="I60" s="146">
        <v>1.1312845461733356</v>
      </c>
      <c r="J60" s="147">
        <v>0.91090444429827067</v>
      </c>
      <c r="K60" s="148">
        <v>111</v>
      </c>
      <c r="M60" s="138">
        <f t="shared" si="0"/>
        <v>1.1312845461733356</v>
      </c>
      <c r="N60" s="149"/>
      <c r="U60" s="141">
        <f t="shared" si="2"/>
        <v>35473638.274915509</v>
      </c>
      <c r="V60" s="141">
        <f t="shared" si="3"/>
        <v>4457665.8912927378</v>
      </c>
      <c r="W60" s="141">
        <f t="shared" si="4"/>
        <v>2364011.5595531501</v>
      </c>
      <c r="X60" s="141">
        <f t="shared" si="5"/>
        <v>1578572.6901327274</v>
      </c>
      <c r="Y60" s="141">
        <f t="shared" si="1"/>
        <v>220137.06600083105</v>
      </c>
      <c r="Z60" s="141">
        <f t="shared" si="6"/>
        <v>-594507.63832215371</v>
      </c>
    </row>
    <row r="61" spans="1:26" ht="19.5" thickBot="1" x14ac:dyDescent="0.35">
      <c r="A61" s="142">
        <v>262</v>
      </c>
      <c r="B61" s="143" t="s">
        <v>476</v>
      </c>
      <c r="C61" s="142">
        <v>5101</v>
      </c>
      <c r="D61" s="143" t="s">
        <v>101</v>
      </c>
      <c r="E61" s="142">
        <v>4110</v>
      </c>
      <c r="F61" s="143" t="s">
        <v>116</v>
      </c>
      <c r="G61" s="144">
        <v>1.8954203691045792</v>
      </c>
      <c r="H61" s="145">
        <v>334.48848267865134</v>
      </c>
      <c r="I61" s="146">
        <v>1.2642825934344393</v>
      </c>
      <c r="J61" s="147">
        <v>0.90043003715812642</v>
      </c>
      <c r="K61" s="148">
        <v>94</v>
      </c>
      <c r="M61" s="138">
        <f t="shared" si="0"/>
        <v>1.2642825934344393</v>
      </c>
      <c r="N61" s="149"/>
      <c r="U61" s="141">
        <f t="shared" si="2"/>
        <v>8208568.0752795599</v>
      </c>
      <c r="V61" s="141">
        <f t="shared" si="3"/>
        <v>948011.40949345322</v>
      </c>
      <c r="W61" s="141">
        <f t="shared" si="4"/>
        <v>457905.99779949692</v>
      </c>
      <c r="X61" s="141">
        <f t="shared" si="5"/>
        <v>274041.91163113486</v>
      </c>
      <c r="Y61" s="141">
        <f t="shared" si="1"/>
        <v>-43955.496408861458</v>
      </c>
      <c r="Z61" s="141">
        <f t="shared" si="6"/>
        <v>-234656.40254400973</v>
      </c>
    </row>
    <row r="62" spans="1:26" ht="19.5" thickBot="1" x14ac:dyDescent="0.35">
      <c r="A62" s="142">
        <v>262</v>
      </c>
      <c r="B62" s="143" t="s">
        <v>476</v>
      </c>
      <c r="C62" s="142">
        <v>5101</v>
      </c>
      <c r="D62" s="143" t="s">
        <v>101</v>
      </c>
      <c r="E62" s="142">
        <v>4107</v>
      </c>
      <c r="F62" s="143" t="s">
        <v>117</v>
      </c>
      <c r="G62" s="144">
        <v>2.1204174576225512</v>
      </c>
      <c r="H62" s="145">
        <v>143.00311789546507</v>
      </c>
      <c r="I62" s="146">
        <v>0.43138375405831303</v>
      </c>
      <c r="J62" s="147">
        <v>0.96602589912632408</v>
      </c>
      <c r="K62" s="148">
        <v>242</v>
      </c>
      <c r="M62" s="138">
        <f t="shared" si="0"/>
        <v>0.43138375405831303</v>
      </c>
      <c r="N62" s="149"/>
      <c r="U62" s="141">
        <f t="shared" si="2"/>
        <v>9851946.1163650621</v>
      </c>
      <c r="V62" s="141">
        <f t="shared" si="3"/>
        <v>1729520.4227635774</v>
      </c>
      <c r="W62" s="141">
        <f t="shared" si="4"/>
        <v>1181236.7343688509</v>
      </c>
      <c r="X62" s="141">
        <f t="shared" si="5"/>
        <v>975546.94412702147</v>
      </c>
      <c r="Y62" s="141">
        <f t="shared" si="1"/>
        <v>619801.45015764295</v>
      </c>
      <c r="Z62" s="141">
        <f t="shared" si="6"/>
        <v>406463.27085737762</v>
      </c>
    </row>
    <row r="63" spans="1:26" ht="19.5" thickBot="1" x14ac:dyDescent="0.35">
      <c r="A63" s="142">
        <v>262</v>
      </c>
      <c r="B63" s="143" t="s">
        <v>476</v>
      </c>
      <c r="C63" s="142">
        <v>5101</v>
      </c>
      <c r="D63" s="143" t="s">
        <v>101</v>
      </c>
      <c r="E63" s="142">
        <v>4120</v>
      </c>
      <c r="F63" s="143" t="s">
        <v>502</v>
      </c>
      <c r="G63" s="144">
        <v>2.5505437581225676</v>
      </c>
      <c r="H63" s="145">
        <v>124.39234996051913</v>
      </c>
      <c r="I63" s="146">
        <v>0.37628612024145475</v>
      </c>
      <c r="J63" s="147">
        <v>0.97036517373178777</v>
      </c>
      <c r="K63" s="148">
        <v>258</v>
      </c>
      <c r="M63" s="138">
        <f t="shared" si="0"/>
        <v>0.37628612024145475</v>
      </c>
      <c r="N63" s="149"/>
      <c r="U63" s="141">
        <f t="shared" si="2"/>
        <v>11903642.270679448</v>
      </c>
      <c r="V63" s="141">
        <f t="shared" si="3"/>
        <v>2133583.9837337043</v>
      </c>
      <c r="W63" s="141">
        <f t="shared" si="4"/>
        <v>1474081.04760738</v>
      </c>
      <c r="X63" s="141">
        <f t="shared" si="5"/>
        <v>1226667.1203522005</v>
      </c>
      <c r="Y63" s="141">
        <f t="shared" si="1"/>
        <v>798758.71681492822</v>
      </c>
      <c r="Z63" s="141">
        <f t="shared" si="6"/>
        <v>542144.92615428567</v>
      </c>
    </row>
    <row r="64" spans="1:26" ht="19.5" thickBot="1" x14ac:dyDescent="0.35">
      <c r="A64" s="142">
        <v>262</v>
      </c>
      <c r="B64" s="143" t="s">
        <v>476</v>
      </c>
      <c r="C64" s="142">
        <v>5006</v>
      </c>
      <c r="D64" s="143" t="s">
        <v>119</v>
      </c>
      <c r="E64" s="142">
        <v>4028</v>
      </c>
      <c r="F64" s="143" t="s">
        <v>503</v>
      </c>
      <c r="G64" s="144">
        <v>2.7952903573694758</v>
      </c>
      <c r="H64" s="145">
        <v>217.80711127016761</v>
      </c>
      <c r="I64" s="146">
        <v>1.0901793746277375</v>
      </c>
      <c r="J64" s="147">
        <v>0.91414172718475395</v>
      </c>
      <c r="K64" s="148">
        <v>119</v>
      </c>
      <c r="M64" s="138">
        <f t="shared" si="0"/>
        <v>1.0901793746277375</v>
      </c>
      <c r="N64" s="149"/>
      <c r="U64" s="141">
        <f t="shared" si="2"/>
        <v>12290013.117371079</v>
      </c>
      <c r="V64" s="141">
        <f t="shared" si="3"/>
        <v>1582433.7498483148</v>
      </c>
      <c r="W64" s="141">
        <f t="shared" si="4"/>
        <v>859645.83760808036</v>
      </c>
      <c r="X64" s="141">
        <f t="shared" si="5"/>
        <v>588490.41714809509</v>
      </c>
      <c r="Y64" s="141">
        <f t="shared" si="1"/>
        <v>119520.52379266289</v>
      </c>
      <c r="Z64" s="141">
        <f t="shared" si="6"/>
        <v>-161717.56605282502</v>
      </c>
    </row>
    <row r="65" spans="1:26" ht="19.5" thickBot="1" x14ac:dyDescent="0.35">
      <c r="A65" s="142">
        <v>262</v>
      </c>
      <c r="B65" s="143" t="s">
        <v>476</v>
      </c>
      <c r="C65" s="142">
        <v>5006</v>
      </c>
      <c r="D65" s="143" t="s">
        <v>119</v>
      </c>
      <c r="E65" s="142">
        <v>4033</v>
      </c>
      <c r="F65" s="143" t="s">
        <v>504</v>
      </c>
      <c r="G65" s="144">
        <v>1.4210880737196536</v>
      </c>
      <c r="H65" s="145">
        <v>743.11964972434998</v>
      </c>
      <c r="I65" s="146">
        <v>12.697429599750254</v>
      </c>
      <c r="J65" s="147">
        <v>0</v>
      </c>
      <c r="K65" s="148">
        <v>1</v>
      </c>
      <c r="M65" s="138">
        <f t="shared" si="0"/>
        <v>12.697429599750254</v>
      </c>
      <c r="N65" s="149"/>
      <c r="U65" s="141">
        <f t="shared" si="2"/>
        <v>0</v>
      </c>
      <c r="V65" s="141">
        <f t="shared" si="3"/>
        <v>-5443589.535332826</v>
      </c>
      <c r="W65" s="141">
        <f t="shared" si="4"/>
        <v>-5811045.2020421419</v>
      </c>
      <c r="X65" s="141">
        <f t="shared" si="5"/>
        <v>-5948896.9758745907</v>
      </c>
      <c r="Y65" s="141">
        <f t="shared" si="1"/>
        <v>-6187314.9708510228</v>
      </c>
      <c r="Z65" s="141">
        <f t="shared" si="6"/>
        <v>-6330292.6383772064</v>
      </c>
    </row>
    <row r="66" spans="1:26" ht="19.5" thickBot="1" x14ac:dyDescent="0.35">
      <c r="A66" s="142">
        <v>262</v>
      </c>
      <c r="B66" s="143" t="s">
        <v>476</v>
      </c>
      <c r="C66" s="142">
        <v>5006</v>
      </c>
      <c r="D66" s="143" t="s">
        <v>119</v>
      </c>
      <c r="E66" s="142">
        <v>4037</v>
      </c>
      <c r="F66" s="143" t="s">
        <v>122</v>
      </c>
      <c r="G66" s="144">
        <v>4.3565891624630178</v>
      </c>
      <c r="H66" s="145">
        <v>192.19452912025824</v>
      </c>
      <c r="I66" s="146">
        <v>2.1596055387813644</v>
      </c>
      <c r="J66" s="147">
        <v>0.82991789623123091</v>
      </c>
      <c r="K66" s="148">
        <v>22</v>
      </c>
      <c r="M66" s="138">
        <f t="shared" si="0"/>
        <v>2.1596055387813644</v>
      </c>
      <c r="N66" s="149"/>
      <c r="U66" s="141">
        <f t="shared" si="2"/>
        <v>17389761.401499659</v>
      </c>
      <c r="V66" s="141">
        <f t="shared" si="3"/>
        <v>701504.27437202842</v>
      </c>
      <c r="W66" s="141">
        <f t="shared" si="4"/>
        <v>-424994.07916157634</v>
      </c>
      <c r="X66" s="141">
        <f t="shared" si="5"/>
        <v>-847602.32914343383</v>
      </c>
      <c r="Y66" s="141">
        <f t="shared" si="1"/>
        <v>-1578513.5740261986</v>
      </c>
      <c r="Z66" s="141">
        <f t="shared" si="6"/>
        <v>-2016836.1300577915</v>
      </c>
    </row>
    <row r="67" spans="1:26" ht="19.5" thickBot="1" x14ac:dyDescent="0.35">
      <c r="A67" s="142">
        <v>262</v>
      </c>
      <c r="B67" s="143" t="s">
        <v>476</v>
      </c>
      <c r="C67" s="142">
        <v>5006</v>
      </c>
      <c r="D67" s="143" t="s">
        <v>119</v>
      </c>
      <c r="E67" s="142">
        <v>4038</v>
      </c>
      <c r="F67" s="143" t="s">
        <v>123</v>
      </c>
      <c r="G67" s="144">
        <v>4.5469934366708564</v>
      </c>
      <c r="H67" s="145">
        <v>253.03759917067279</v>
      </c>
      <c r="I67" s="146">
        <v>1.8962423828156796</v>
      </c>
      <c r="J67" s="147">
        <v>0.85065935054658814</v>
      </c>
      <c r="K67" s="148">
        <v>31</v>
      </c>
      <c r="M67" s="138">
        <f t="shared" si="0"/>
        <v>1.8962423828156796</v>
      </c>
      <c r="N67" s="149"/>
      <c r="U67" s="141">
        <f t="shared" si="2"/>
        <v>18603381.584717676</v>
      </c>
      <c r="V67" s="141">
        <f t="shared" si="3"/>
        <v>1185765.9232893058</v>
      </c>
      <c r="W67" s="141">
        <f t="shared" si="4"/>
        <v>10034.076901022716</v>
      </c>
      <c r="X67" s="141">
        <f t="shared" si="5"/>
        <v>-431044.22249594831</v>
      </c>
      <c r="Y67" s="141">
        <f t="shared" si="1"/>
        <v>-1193899.866977222</v>
      </c>
      <c r="Z67" s="141">
        <f t="shared" si="6"/>
        <v>-1651379.2645281414</v>
      </c>
    </row>
    <row r="68" spans="1:26" ht="19.5" thickBot="1" x14ac:dyDescent="0.35">
      <c r="A68" s="142">
        <v>262</v>
      </c>
      <c r="B68" s="143" t="s">
        <v>476</v>
      </c>
      <c r="C68" s="142">
        <v>5006</v>
      </c>
      <c r="D68" s="143" t="s">
        <v>119</v>
      </c>
      <c r="E68" s="142">
        <v>4039</v>
      </c>
      <c r="F68" s="143" t="s">
        <v>505</v>
      </c>
      <c r="G68" s="144">
        <v>1.5103209234800916</v>
      </c>
      <c r="H68" s="145">
        <v>84.228354068536362</v>
      </c>
      <c r="I68" s="146">
        <v>0.3247786737733464</v>
      </c>
      <c r="J68" s="147">
        <v>0.97442169919337573</v>
      </c>
      <c r="K68" s="148">
        <v>265</v>
      </c>
      <c r="M68" s="138">
        <f t="shared" si="0"/>
        <v>0.3247786737733464</v>
      </c>
      <c r="N68" s="149"/>
      <c r="U68" s="141">
        <f t="shared" si="2"/>
        <v>7078285.4440978235</v>
      </c>
      <c r="V68" s="141">
        <f t="shared" si="3"/>
        <v>1292882.4658497968</v>
      </c>
      <c r="W68" s="141">
        <f t="shared" si="4"/>
        <v>902353.55202267854</v>
      </c>
      <c r="X68" s="141">
        <f t="shared" si="5"/>
        <v>755845.80052699859</v>
      </c>
      <c r="Y68" s="141">
        <f t="shared" si="1"/>
        <v>502457.08169512695</v>
      </c>
      <c r="Z68" s="141">
        <f t="shared" si="6"/>
        <v>350501.57179491856</v>
      </c>
    </row>
    <row r="69" spans="1:26" ht="19.5" thickBot="1" x14ac:dyDescent="0.35">
      <c r="A69" s="142">
        <v>262</v>
      </c>
      <c r="B69" s="143" t="s">
        <v>476</v>
      </c>
      <c r="C69" s="142">
        <v>5006</v>
      </c>
      <c r="D69" s="143" t="s">
        <v>119</v>
      </c>
      <c r="E69" s="142">
        <v>4027</v>
      </c>
      <c r="F69" s="143" t="s">
        <v>506</v>
      </c>
      <c r="G69" s="144">
        <v>3.0536943670474646</v>
      </c>
      <c r="H69" s="145">
        <v>217.47885273866297</v>
      </c>
      <c r="I69" s="146">
        <v>1.6255037554460166</v>
      </c>
      <c r="J69" s="147">
        <v>0.8719816682048791</v>
      </c>
      <c r="K69" s="148">
        <v>52</v>
      </c>
      <c r="M69" s="138">
        <f t="shared" ref="M69:M132" si="7">I69</f>
        <v>1.6255037554460166</v>
      </c>
      <c r="N69" s="149"/>
      <c r="U69" s="141">
        <f t="shared" si="2"/>
        <v>12806923.32693905</v>
      </c>
      <c r="V69" s="141">
        <f t="shared" si="3"/>
        <v>1109507.0949851528</v>
      </c>
      <c r="W69" s="141">
        <f t="shared" si="4"/>
        <v>319902.76269851543</v>
      </c>
      <c r="X69" s="141">
        <f t="shared" si="5"/>
        <v>23681.020341752755</v>
      </c>
      <c r="Y69" s="141">
        <f t="shared" si="1"/>
        <v>-488641.68627038278</v>
      </c>
      <c r="Z69" s="141">
        <f t="shared" si="6"/>
        <v>-795878.16655093152</v>
      </c>
    </row>
    <row r="70" spans="1:26" ht="19.5" thickBot="1" x14ac:dyDescent="0.35">
      <c r="A70" s="142">
        <v>262</v>
      </c>
      <c r="B70" s="143" t="s">
        <v>476</v>
      </c>
      <c r="C70" s="142">
        <v>5006</v>
      </c>
      <c r="D70" s="143" t="s">
        <v>119</v>
      </c>
      <c r="E70" s="142">
        <v>4029</v>
      </c>
      <c r="F70" s="143" t="s">
        <v>507</v>
      </c>
      <c r="G70" s="144">
        <v>2.1938047859956189</v>
      </c>
      <c r="H70" s="145">
        <v>254.39956525881817</v>
      </c>
      <c r="I70" s="146">
        <v>1.2913391947106718</v>
      </c>
      <c r="J70" s="147">
        <v>0.89829916483757699</v>
      </c>
      <c r="K70" s="148">
        <v>91</v>
      </c>
      <c r="M70" s="138">
        <f t="shared" si="7"/>
        <v>1.2913391947106718</v>
      </c>
      <c r="N70" s="149"/>
      <c r="U70" s="141">
        <f t="shared" si="2"/>
        <v>9478308.9848767221</v>
      </c>
      <c r="V70" s="141">
        <f t="shared" si="3"/>
        <v>1074767.363173743</v>
      </c>
      <c r="W70" s="141">
        <f t="shared" si="4"/>
        <v>507507.65902458318</v>
      </c>
      <c r="X70" s="141">
        <f t="shared" si="5"/>
        <v>294698.97616790544</v>
      </c>
      <c r="Y70" s="141">
        <f t="shared" ref="Y70:Y133" si="8">((((($R$5-$M70)))/0.003)*G70*1000)+(((((($R$5/$O$2)-($M70/$O$2))))/0.003)*G70*1000)*$O$3</f>
        <v>-73358.81568853237</v>
      </c>
      <c r="Z70" s="141">
        <f t="shared" si="6"/>
        <v>-294080.59719530627</v>
      </c>
    </row>
    <row r="71" spans="1:26" ht="19.5" thickBot="1" x14ac:dyDescent="0.35">
      <c r="A71" s="142">
        <v>262</v>
      </c>
      <c r="B71" s="143" t="s">
        <v>476</v>
      </c>
      <c r="C71" s="142">
        <v>5006</v>
      </c>
      <c r="D71" s="143" t="s">
        <v>119</v>
      </c>
      <c r="E71" s="142">
        <v>4019</v>
      </c>
      <c r="F71" s="143" t="s">
        <v>127</v>
      </c>
      <c r="G71" s="144">
        <v>4.5919046557416676</v>
      </c>
      <c r="H71" s="145">
        <v>452.93775069989363</v>
      </c>
      <c r="I71" s="146">
        <v>2.9494830433086303</v>
      </c>
      <c r="J71" s="147">
        <v>0.76771022669291711</v>
      </c>
      <c r="K71" s="148">
        <v>6</v>
      </c>
      <c r="M71" s="138">
        <f t="shared" si="7"/>
        <v>2.9494830433086303</v>
      </c>
      <c r="N71" s="149"/>
      <c r="U71" s="141">
        <f t="shared" ref="U71:U134" si="9">((((($N$5-$M71)))/0.003)*G71*1000)+(((((($N$5/$O$2)-($M71/$O$2))))/0.003)*G71*1000)*$O$3</f>
        <v>16955167.112289868</v>
      </c>
      <c r="V71" s="141">
        <f t="shared" ref="V71:V134" si="10">((((($O$5-$M71)))/0.003)*G71*1000)+(((((($O$5/$O$2)-($M71/$O$2))))/0.003)*G71*1000)*$O$3</f>
        <v>-634484.50290806347</v>
      </c>
      <c r="W71" s="141">
        <f t="shared" ref="W71:W134" si="11">((((($P$5-$M71)))/0.003)*G71*1000)+(((((($P$5/$O$2)-($M71/$O$2))))/0.003)*G71*1000)*$O$3</f>
        <v>-1821829.1988104496</v>
      </c>
      <c r="X71" s="141">
        <f t="shared" ref="X71:X134" si="12">((((($Q$5-$M71)))/0.003)*G71*1000)+(((((($Q$5/$O$2)-($M71/$O$2))))/0.003)*G71*1000)*$O$3</f>
        <v>-2267264.0833680322</v>
      </c>
      <c r="Y71" s="141">
        <f t="shared" si="8"/>
        <v>-3037654.5478234002</v>
      </c>
      <c r="Z71" s="141">
        <f t="shared" ref="Z71:Z134" si="13">((((($S$5-$M71)))/0.003)*G71*1000)+(((((($S$5/$O$2)-($M71/$O$2))))/0.003)*G71*1000)*$O$3</f>
        <v>-3499652.5262189922</v>
      </c>
    </row>
    <row r="72" spans="1:26" ht="19.5" thickBot="1" x14ac:dyDescent="0.35">
      <c r="A72" s="142">
        <v>262</v>
      </c>
      <c r="B72" s="143" t="s">
        <v>476</v>
      </c>
      <c r="C72" s="142">
        <v>5006</v>
      </c>
      <c r="D72" s="143" t="s">
        <v>119</v>
      </c>
      <c r="E72" s="142">
        <v>4024</v>
      </c>
      <c r="F72" s="143" t="s">
        <v>508</v>
      </c>
      <c r="G72" s="144">
        <v>2.7606706159337735</v>
      </c>
      <c r="H72" s="145">
        <v>174.16224341467546</v>
      </c>
      <c r="I72" s="146">
        <v>1.1503151064350594</v>
      </c>
      <c r="J72" s="147">
        <v>0.90940567164415032</v>
      </c>
      <c r="K72" s="148">
        <v>107</v>
      </c>
      <c r="M72" s="138">
        <f t="shared" si="7"/>
        <v>1.1503151064350594</v>
      </c>
      <c r="N72" s="149"/>
      <c r="U72" s="141">
        <f t="shared" si="9"/>
        <v>12074916.545650858</v>
      </c>
      <c r="V72" s="141">
        <f t="shared" si="10"/>
        <v>1499950.8181131505</v>
      </c>
      <c r="W72" s="141">
        <f t="shared" si="11"/>
        <v>786114.6523591578</v>
      </c>
      <c r="X72" s="141">
        <f t="shared" si="12"/>
        <v>518317.49860676692</v>
      </c>
      <c r="Y72" s="141">
        <f t="shared" si="8"/>
        <v>55155.80918488701</v>
      </c>
      <c r="Z72" s="141">
        <f t="shared" si="13"/>
        <v>-222599.13983887815</v>
      </c>
    </row>
    <row r="73" spans="1:26" ht="19.5" thickBot="1" x14ac:dyDescent="0.35">
      <c r="A73" s="142">
        <v>262</v>
      </c>
      <c r="B73" s="143" t="s">
        <v>476</v>
      </c>
      <c r="C73" s="142">
        <v>5006</v>
      </c>
      <c r="D73" s="143" t="s">
        <v>119</v>
      </c>
      <c r="E73" s="142">
        <v>4047</v>
      </c>
      <c r="F73" s="143" t="s">
        <v>129</v>
      </c>
      <c r="G73" s="144">
        <v>5.5965996495066284</v>
      </c>
      <c r="H73" s="145">
        <v>101.93404547889919</v>
      </c>
      <c r="I73" s="146">
        <v>0.72698768795418034</v>
      </c>
      <c r="J73" s="147">
        <v>0.94274528696985416</v>
      </c>
      <c r="K73" s="148">
        <v>188</v>
      </c>
      <c r="M73" s="138">
        <f t="shared" si="7"/>
        <v>0.72698768795418034</v>
      </c>
      <c r="N73" s="149"/>
      <c r="U73" s="141">
        <f t="shared" si="9"/>
        <v>25376428.412120216</v>
      </c>
      <c r="V73" s="141">
        <f t="shared" si="10"/>
        <v>3938213.674479845</v>
      </c>
      <c r="W73" s="141">
        <f t="shared" si="11"/>
        <v>2491081.5131833558</v>
      </c>
      <c r="X73" s="141">
        <f t="shared" si="12"/>
        <v>1948186.8092012359</v>
      </c>
      <c r="Y73" s="141">
        <f t="shared" si="8"/>
        <v>1009237.2171266216</v>
      </c>
      <c r="Z73" s="141">
        <f t="shared" si="13"/>
        <v>446155.46395291144</v>
      </c>
    </row>
    <row r="74" spans="1:26" ht="19.5" thickBot="1" x14ac:dyDescent="0.35">
      <c r="A74" s="142">
        <v>262</v>
      </c>
      <c r="B74" s="143" t="s">
        <v>476</v>
      </c>
      <c r="C74" s="142">
        <v>5006</v>
      </c>
      <c r="D74" s="143" t="s">
        <v>119</v>
      </c>
      <c r="E74" s="142">
        <v>4026</v>
      </c>
      <c r="F74" s="143" t="s">
        <v>130</v>
      </c>
      <c r="G74" s="144">
        <v>4.2868855299321398</v>
      </c>
      <c r="H74" s="145">
        <v>183.28387612030261</v>
      </c>
      <c r="I74" s="146">
        <v>1.2604451439540851</v>
      </c>
      <c r="J74" s="147">
        <v>0.90073225970247739</v>
      </c>
      <c r="K74" s="148">
        <v>96</v>
      </c>
      <c r="M74" s="138">
        <f t="shared" si="7"/>
        <v>1.2604451439540851</v>
      </c>
      <c r="N74" s="149"/>
      <c r="U74" s="141">
        <f t="shared" si="9"/>
        <v>18571607.261216439</v>
      </c>
      <c r="V74" s="141">
        <f t="shared" si="10"/>
        <v>2150355.375802373</v>
      </c>
      <c r="W74" s="141">
        <f t="shared" si="11"/>
        <v>1041880.5320267901</v>
      </c>
      <c r="X74" s="141">
        <f t="shared" si="12"/>
        <v>626033.84001212905</v>
      </c>
      <c r="Y74" s="141">
        <f t="shared" si="8"/>
        <v>-93183.125945975786</v>
      </c>
      <c r="Z74" s="141">
        <f t="shared" si="13"/>
        <v>-524492.70158481842</v>
      </c>
    </row>
    <row r="75" spans="1:26" ht="19.5" thickBot="1" x14ac:dyDescent="0.35">
      <c r="A75" s="142">
        <v>262</v>
      </c>
      <c r="B75" s="143" t="s">
        <v>476</v>
      </c>
      <c r="C75" s="142">
        <v>5006</v>
      </c>
      <c r="D75" s="143" t="s">
        <v>119</v>
      </c>
      <c r="E75" s="142">
        <v>4045</v>
      </c>
      <c r="F75" s="143" t="s">
        <v>509</v>
      </c>
      <c r="G75" s="144">
        <v>5.9599043153562459</v>
      </c>
      <c r="H75" s="145">
        <v>258.41957634984936</v>
      </c>
      <c r="I75" s="146">
        <v>1.8754611560792942</v>
      </c>
      <c r="J75" s="147">
        <v>0.85229599885978624</v>
      </c>
      <c r="K75" s="148">
        <v>32</v>
      </c>
      <c r="M75" s="138">
        <f t="shared" si="7"/>
        <v>1.8754611560792942</v>
      </c>
      <c r="N75" s="149"/>
      <c r="U75" s="141">
        <f t="shared" si="9"/>
        <v>24431021.37427412</v>
      </c>
      <c r="V75" s="141">
        <f t="shared" si="10"/>
        <v>1601139.5656547872</v>
      </c>
      <c r="W75" s="141">
        <f t="shared" si="11"/>
        <v>60066.458207825825</v>
      </c>
      <c r="X75" s="141">
        <f t="shared" si="12"/>
        <v>-518070.3912508139</v>
      </c>
      <c r="Y75" s="141">
        <f t="shared" si="8"/>
        <v>-1517972.1309081796</v>
      </c>
      <c r="Z75" s="141">
        <f t="shared" si="13"/>
        <v>-2117606.476905074</v>
      </c>
    </row>
    <row r="76" spans="1:26" ht="19.5" thickBot="1" x14ac:dyDescent="0.35">
      <c r="A76" s="142">
        <v>262</v>
      </c>
      <c r="B76" s="143" t="s">
        <v>476</v>
      </c>
      <c r="C76" s="142">
        <v>5006</v>
      </c>
      <c r="D76" s="143" t="s">
        <v>119</v>
      </c>
      <c r="E76" s="142">
        <v>4043</v>
      </c>
      <c r="F76" s="143" t="s">
        <v>132</v>
      </c>
      <c r="G76" s="144">
        <v>8.4737407849749893</v>
      </c>
      <c r="H76" s="145">
        <v>339.87308043297679</v>
      </c>
      <c r="I76" s="146">
        <v>1.8226729638149519</v>
      </c>
      <c r="J76" s="147">
        <v>0.85645339086181649</v>
      </c>
      <c r="K76" s="148">
        <v>36</v>
      </c>
      <c r="M76" s="138">
        <f t="shared" si="7"/>
        <v>1.8226729638149519</v>
      </c>
      <c r="N76" s="149"/>
      <c r="U76" s="141">
        <f t="shared" si="9"/>
        <v>34905253.345682718</v>
      </c>
      <c r="V76" s="141">
        <f t="shared" si="10"/>
        <v>2445923.4031863711</v>
      </c>
      <c r="W76" s="141">
        <f t="shared" si="11"/>
        <v>254838.89037722681</v>
      </c>
      <c r="X76" s="141">
        <f t="shared" si="12"/>
        <v>-567151.118410656</v>
      </c>
      <c r="Y76" s="141">
        <f t="shared" si="8"/>
        <v>-1988802.8268904097</v>
      </c>
      <c r="Z76" s="141">
        <f t="shared" si="13"/>
        <v>-2841357.7916829889</v>
      </c>
    </row>
    <row r="77" spans="1:26" ht="19.5" thickBot="1" x14ac:dyDescent="0.35">
      <c r="A77" s="142">
        <v>262</v>
      </c>
      <c r="B77" s="143" t="s">
        <v>476</v>
      </c>
      <c r="C77" s="142">
        <v>5006</v>
      </c>
      <c r="D77" s="143" t="s">
        <v>119</v>
      </c>
      <c r="E77" s="142">
        <v>4048</v>
      </c>
      <c r="F77" s="143" t="s">
        <v>510</v>
      </c>
      <c r="G77" s="144">
        <v>2.7902579681527038</v>
      </c>
      <c r="H77" s="145">
        <v>85.193020263060731</v>
      </c>
      <c r="I77" s="146">
        <v>0.46769130177019591</v>
      </c>
      <c r="J77" s="147">
        <v>0.96316645836891301</v>
      </c>
      <c r="K77" s="148">
        <v>238</v>
      </c>
      <c r="M77" s="138">
        <f t="shared" si="7"/>
        <v>0.46769130177019591</v>
      </c>
      <c r="N77" s="149"/>
      <c r="U77" s="141">
        <f t="shared" si="9"/>
        <v>12925804.823621644</v>
      </c>
      <c r="V77" s="141">
        <f t="shared" si="10"/>
        <v>2237502.4184383359</v>
      </c>
      <c r="W77" s="141">
        <f t="shared" si="11"/>
        <v>1516015.7485130478</v>
      </c>
      <c r="X77" s="141">
        <f t="shared" si="12"/>
        <v>1245348.4918713199</v>
      </c>
      <c r="Y77" s="141">
        <f t="shared" si="8"/>
        <v>777222.88971021422</v>
      </c>
      <c r="Z77" s="141">
        <f t="shared" si="13"/>
        <v>496491.1156136262</v>
      </c>
    </row>
    <row r="78" spans="1:26" ht="19.5" thickBot="1" x14ac:dyDescent="0.35">
      <c r="A78" s="142">
        <v>262</v>
      </c>
      <c r="B78" s="143" t="s">
        <v>476</v>
      </c>
      <c r="C78" s="142">
        <v>5006</v>
      </c>
      <c r="D78" s="143" t="s">
        <v>119</v>
      </c>
      <c r="E78" s="142">
        <v>4010</v>
      </c>
      <c r="F78" s="143" t="s">
        <v>134</v>
      </c>
      <c r="G78" s="144">
        <v>2.4499054331821712</v>
      </c>
      <c r="H78" s="145">
        <v>253.04188579425178</v>
      </c>
      <c r="I78" s="146">
        <v>1.4176454476403235</v>
      </c>
      <c r="J78" s="147">
        <v>0.88835177730237569</v>
      </c>
      <c r="K78" s="148">
        <v>73</v>
      </c>
      <c r="M78" s="138">
        <f t="shared" si="7"/>
        <v>1.4176454476403235</v>
      </c>
      <c r="N78" s="149"/>
      <c r="U78" s="141">
        <f t="shared" si="9"/>
        <v>10467577.454309193</v>
      </c>
      <c r="V78" s="141">
        <f t="shared" si="10"/>
        <v>1083022.1791965081</v>
      </c>
      <c r="W78" s="141">
        <f t="shared" si="11"/>
        <v>449541.64342056296</v>
      </c>
      <c r="X78" s="141">
        <f t="shared" si="12"/>
        <v>211890.07492774198</v>
      </c>
      <c r="Y78" s="141">
        <f t="shared" si="8"/>
        <v>-199134.09173934645</v>
      </c>
      <c r="Z78" s="141">
        <f t="shared" si="13"/>
        <v>-445622.51914501679</v>
      </c>
    </row>
    <row r="79" spans="1:26" ht="19.5" thickBot="1" x14ac:dyDescent="0.35">
      <c r="A79" s="142">
        <v>262</v>
      </c>
      <c r="B79" s="143" t="s">
        <v>476</v>
      </c>
      <c r="C79" s="142">
        <v>5006</v>
      </c>
      <c r="D79" s="143" t="s">
        <v>119</v>
      </c>
      <c r="E79" s="142">
        <v>4054</v>
      </c>
      <c r="F79" s="143" t="s">
        <v>511</v>
      </c>
      <c r="G79" s="144">
        <v>2.6774806508153159</v>
      </c>
      <c r="H79" s="145">
        <v>176.94522092465306</v>
      </c>
      <c r="I79" s="146">
        <v>1.1128452655419487</v>
      </c>
      <c r="J79" s="147">
        <v>0.91235665007634004</v>
      </c>
      <c r="K79" s="148">
        <v>114</v>
      </c>
      <c r="M79" s="138">
        <f t="shared" si="7"/>
        <v>1.1128452655419487</v>
      </c>
      <c r="N79" s="149"/>
      <c r="U79" s="141">
        <f t="shared" si="9"/>
        <v>11749053.182795823</v>
      </c>
      <c r="V79" s="141">
        <f t="shared" si="10"/>
        <v>1492753.1537029776</v>
      </c>
      <c r="W79" s="141">
        <f t="shared" si="11"/>
        <v>800427.70544879138</v>
      </c>
      <c r="X79" s="141">
        <f t="shared" si="12"/>
        <v>540700.34305466746</v>
      </c>
      <c r="Y79" s="141">
        <f t="shared" si="8"/>
        <v>91495.55401953627</v>
      </c>
      <c r="Z79" s="141">
        <f t="shared" si="13"/>
        <v>-177889.5357434382</v>
      </c>
    </row>
    <row r="80" spans="1:26" ht="19.5" thickBot="1" x14ac:dyDescent="0.35">
      <c r="A80" s="142">
        <v>262</v>
      </c>
      <c r="B80" s="143" t="s">
        <v>476</v>
      </c>
      <c r="C80" s="142">
        <v>5006</v>
      </c>
      <c r="D80" s="143" t="s">
        <v>119</v>
      </c>
      <c r="E80" s="142">
        <v>4006</v>
      </c>
      <c r="F80" s="143" t="s">
        <v>136</v>
      </c>
      <c r="G80" s="144">
        <v>5.5613445738930185</v>
      </c>
      <c r="H80" s="145">
        <v>166.25560011520088</v>
      </c>
      <c r="I80" s="146">
        <v>1.1349971222663218</v>
      </c>
      <c r="J80" s="147">
        <v>0.91061205629455544</v>
      </c>
      <c r="K80" s="148">
        <v>108</v>
      </c>
      <c r="M80" s="138">
        <f t="shared" si="7"/>
        <v>1.1349971222663218</v>
      </c>
      <c r="N80" s="149"/>
      <c r="U80" s="141">
        <f t="shared" si="9"/>
        <v>24357072.393810481</v>
      </c>
      <c r="V80" s="141">
        <f t="shared" si="10"/>
        <v>3053904.9936481412</v>
      </c>
      <c r="W80" s="141">
        <f t="shared" si="11"/>
        <v>1615888.8593974486</v>
      </c>
      <c r="X80" s="141">
        <f t="shared" si="12"/>
        <v>1076414.0523237672</v>
      </c>
      <c r="Y80" s="141">
        <f t="shared" si="8"/>
        <v>143379.25511372325</v>
      </c>
      <c r="Z80" s="141">
        <f t="shared" si="13"/>
        <v>-416155.43537406961</v>
      </c>
    </row>
    <row r="81" spans="1:26" ht="19.5" thickBot="1" x14ac:dyDescent="0.35">
      <c r="A81" s="142">
        <v>262</v>
      </c>
      <c r="B81" s="143" t="s">
        <v>476</v>
      </c>
      <c r="C81" s="142">
        <v>5006</v>
      </c>
      <c r="D81" s="143" t="s">
        <v>119</v>
      </c>
      <c r="E81" s="142">
        <v>4020</v>
      </c>
      <c r="F81" s="143" t="s">
        <v>137</v>
      </c>
      <c r="G81" s="144">
        <v>4.68169107143878</v>
      </c>
      <c r="H81" s="145">
        <v>270.95342777714671</v>
      </c>
      <c r="I81" s="146">
        <v>1.4132766457327577</v>
      </c>
      <c r="J81" s="147">
        <v>0.88869584709014215</v>
      </c>
      <c r="K81" s="148">
        <v>75</v>
      </c>
      <c r="M81" s="138">
        <f t="shared" si="7"/>
        <v>1.4132766457327577</v>
      </c>
      <c r="N81" s="149"/>
      <c r="U81" s="141">
        <f t="shared" si="9"/>
        <v>20010953.838474713</v>
      </c>
      <c r="V81" s="141">
        <f t="shared" si="10"/>
        <v>2077368.3025419991</v>
      </c>
      <c r="W81" s="141">
        <f t="shared" si="11"/>
        <v>866807.22205968678</v>
      </c>
      <c r="X81" s="141">
        <f t="shared" si="12"/>
        <v>412662.66151593701</v>
      </c>
      <c r="Y81" s="141">
        <f t="shared" si="8"/>
        <v>-372791.399350169</v>
      </c>
      <c r="Z81" s="141">
        <f t="shared" si="13"/>
        <v>-843822.91516635718</v>
      </c>
    </row>
    <row r="82" spans="1:26" ht="19.5" thickBot="1" x14ac:dyDescent="0.35">
      <c r="A82" s="142">
        <v>262</v>
      </c>
      <c r="B82" s="143" t="s">
        <v>476</v>
      </c>
      <c r="C82" s="142">
        <v>5006</v>
      </c>
      <c r="D82" s="143" t="s">
        <v>119</v>
      </c>
      <c r="E82" s="142">
        <v>4012</v>
      </c>
      <c r="F82" s="143" t="s">
        <v>512</v>
      </c>
      <c r="G82" s="144">
        <v>2.8572871572871579</v>
      </c>
      <c r="H82" s="145">
        <v>95.811839423210955</v>
      </c>
      <c r="I82" s="146">
        <v>0.76374585219216196</v>
      </c>
      <c r="J82" s="147">
        <v>0.93985035741350487</v>
      </c>
      <c r="K82" s="148">
        <v>180</v>
      </c>
      <c r="M82" s="138">
        <f t="shared" si="7"/>
        <v>0.76374585219216196</v>
      </c>
      <c r="N82" s="149"/>
      <c r="U82" s="141">
        <f t="shared" si="9"/>
        <v>12915894.435994022</v>
      </c>
      <c r="V82" s="141">
        <f t="shared" si="10"/>
        <v>1970831.4546846328</v>
      </c>
      <c r="W82" s="141">
        <f t="shared" si="11"/>
        <v>1232012.8150961865</v>
      </c>
      <c r="X82" s="141">
        <f t="shared" si="12"/>
        <v>954843.43322266371</v>
      </c>
      <c r="Y82" s="141">
        <f t="shared" si="8"/>
        <v>475472.24736138457</v>
      </c>
      <c r="Z82" s="141">
        <f t="shared" si="13"/>
        <v>187996.57237937808</v>
      </c>
    </row>
    <row r="83" spans="1:26" ht="19.5" thickBot="1" x14ac:dyDescent="0.35">
      <c r="A83" s="142">
        <v>262</v>
      </c>
      <c r="B83" s="143" t="s">
        <v>476</v>
      </c>
      <c r="C83" s="142">
        <v>5006</v>
      </c>
      <c r="D83" s="143" t="s">
        <v>119</v>
      </c>
      <c r="E83" s="142">
        <v>4023</v>
      </c>
      <c r="F83" s="143" t="s">
        <v>139</v>
      </c>
      <c r="G83" s="144">
        <v>3.2583336914296166</v>
      </c>
      <c r="H83" s="145">
        <v>173.9712520792454</v>
      </c>
      <c r="I83" s="146">
        <v>2.0088234710847415</v>
      </c>
      <c r="J83" s="147">
        <v>0.84179290341375435</v>
      </c>
      <c r="K83" s="148">
        <v>26</v>
      </c>
      <c r="M83" s="138">
        <f t="shared" si="7"/>
        <v>2.0088234710847415</v>
      </c>
      <c r="N83" s="149"/>
      <c r="U83" s="141">
        <f t="shared" si="9"/>
        <v>13192062.675549971</v>
      </c>
      <c r="V83" s="141">
        <f t="shared" si="10"/>
        <v>710759.43101389462</v>
      </c>
      <c r="W83" s="141">
        <f t="shared" si="11"/>
        <v>-131759.20036960664</v>
      </c>
      <c r="X83" s="141">
        <f t="shared" si="12"/>
        <v>-447831.85442117736</v>
      </c>
      <c r="Y83" s="141">
        <f t="shared" si="8"/>
        <v>-994487.19552289706</v>
      </c>
      <c r="Z83" s="141">
        <f t="shared" si="13"/>
        <v>-1322312.7257190573</v>
      </c>
    </row>
    <row r="84" spans="1:26" ht="19.5" thickBot="1" x14ac:dyDescent="0.35">
      <c r="A84" s="142">
        <v>264</v>
      </c>
      <c r="B84" s="143" t="s">
        <v>513</v>
      </c>
      <c r="C84" s="142">
        <v>5130</v>
      </c>
      <c r="D84" s="143" t="s">
        <v>141</v>
      </c>
      <c r="E84" s="142">
        <v>4132</v>
      </c>
      <c r="F84" s="143" t="s">
        <v>142</v>
      </c>
      <c r="G84" s="144">
        <v>3.7189131555400916</v>
      </c>
      <c r="H84" s="145">
        <v>238.04543607887334</v>
      </c>
      <c r="I84" s="146">
        <v>1.452494531514684</v>
      </c>
      <c r="J84" s="147">
        <v>0.8856071994647442</v>
      </c>
      <c r="K84" s="148">
        <v>71</v>
      </c>
      <c r="M84" s="138">
        <f t="shared" si="7"/>
        <v>1.452494531514684</v>
      </c>
      <c r="N84" s="149"/>
      <c r="U84" s="141">
        <f t="shared" si="9"/>
        <v>15840506.423657339</v>
      </c>
      <c r="V84" s="141">
        <f t="shared" si="10"/>
        <v>1594917.3495607853</v>
      </c>
      <c r="W84" s="141">
        <f t="shared" si="11"/>
        <v>633305.09042320168</v>
      </c>
      <c r="X84" s="141">
        <f t="shared" si="12"/>
        <v>272554.20896786393</v>
      </c>
      <c r="Y84" s="141">
        <f t="shared" si="8"/>
        <v>-351373.21286641259</v>
      </c>
      <c r="Z84" s="141">
        <f t="shared" si="13"/>
        <v>-725538.28999621794</v>
      </c>
    </row>
    <row r="85" spans="1:26" ht="19.5" thickBot="1" x14ac:dyDescent="0.35">
      <c r="A85" s="142">
        <v>264</v>
      </c>
      <c r="B85" s="143" t="s">
        <v>513</v>
      </c>
      <c r="C85" s="142">
        <v>5130</v>
      </c>
      <c r="D85" s="143" t="s">
        <v>141</v>
      </c>
      <c r="E85" s="142">
        <v>4130</v>
      </c>
      <c r="F85" s="143" t="s">
        <v>143</v>
      </c>
      <c r="G85" s="144">
        <v>8.0608712013089097</v>
      </c>
      <c r="H85" s="145">
        <v>528.79016342648686</v>
      </c>
      <c r="I85" s="146">
        <v>5.759716794998667</v>
      </c>
      <c r="J85" s="147">
        <v>0.54638718413434206</v>
      </c>
      <c r="K85" s="148">
        <v>2</v>
      </c>
      <c r="M85" s="138">
        <f t="shared" si="7"/>
        <v>5.759716794998667</v>
      </c>
      <c r="N85" s="149"/>
      <c r="U85" s="141">
        <f t="shared" si="9"/>
        <v>21183336.875293233</v>
      </c>
      <c r="V85" s="141">
        <f t="shared" si="10"/>
        <v>-9694463.6837222259</v>
      </c>
      <c r="W85" s="141">
        <f t="shared" si="11"/>
        <v>-11778791.077858973</v>
      </c>
      <c r="X85" s="141">
        <f t="shared" si="12"/>
        <v>-12560730.926827513</v>
      </c>
      <c r="Y85" s="141">
        <f t="shared" si="8"/>
        <v>-13913114.91000241</v>
      </c>
      <c r="Z85" s="141">
        <f t="shared" si="13"/>
        <v>-14724130.485958543</v>
      </c>
    </row>
    <row r="86" spans="1:26" ht="19.5" thickBot="1" x14ac:dyDescent="0.35">
      <c r="A86" s="142">
        <v>264</v>
      </c>
      <c r="B86" s="143" t="s">
        <v>513</v>
      </c>
      <c r="C86" s="142">
        <v>5130</v>
      </c>
      <c r="D86" s="143" t="s">
        <v>141</v>
      </c>
      <c r="E86" s="142">
        <v>4134</v>
      </c>
      <c r="F86" s="143" t="s">
        <v>514</v>
      </c>
      <c r="G86" s="144">
        <v>1.0089105472865201</v>
      </c>
      <c r="H86" s="145">
        <v>148.92933620737415</v>
      </c>
      <c r="I86" s="146">
        <v>0.70626487771035373</v>
      </c>
      <c r="J86" s="147">
        <v>0.94437733462808526</v>
      </c>
      <c r="K86" s="148">
        <v>194</v>
      </c>
      <c r="M86" s="138">
        <f t="shared" si="7"/>
        <v>0.70626487771035373</v>
      </c>
      <c r="N86" s="149"/>
      <c r="U86" s="141">
        <f t="shared" si="9"/>
        <v>4582580.5160288215</v>
      </c>
      <c r="V86" s="141">
        <f t="shared" si="10"/>
        <v>717869.38456430379</v>
      </c>
      <c r="W86" s="141">
        <f t="shared" si="11"/>
        <v>456991.88889096677</v>
      </c>
      <c r="X86" s="141">
        <f t="shared" si="12"/>
        <v>359123.14229197789</v>
      </c>
      <c r="Y86" s="141">
        <f t="shared" si="8"/>
        <v>189856.76518066082</v>
      </c>
      <c r="Z86" s="141">
        <f t="shared" si="13"/>
        <v>88348.857640477494</v>
      </c>
    </row>
    <row r="87" spans="1:26" ht="19.5" thickBot="1" x14ac:dyDescent="0.35">
      <c r="A87" s="142">
        <v>264</v>
      </c>
      <c r="B87" s="143" t="s">
        <v>513</v>
      </c>
      <c r="C87" s="142">
        <v>5130</v>
      </c>
      <c r="D87" s="143" t="s">
        <v>141</v>
      </c>
      <c r="E87" s="142">
        <v>4135</v>
      </c>
      <c r="F87" s="143" t="s">
        <v>515</v>
      </c>
      <c r="G87" s="144">
        <v>6.5973797197457635</v>
      </c>
      <c r="H87" s="145">
        <v>163.3380865853097</v>
      </c>
      <c r="I87" s="146">
        <v>1.129938418943585</v>
      </c>
      <c r="J87" s="147">
        <v>0.91101046002524722</v>
      </c>
      <c r="K87" s="148">
        <v>112</v>
      </c>
      <c r="M87" s="138">
        <f t="shared" si="7"/>
        <v>1.129938418943585</v>
      </c>
      <c r="N87" s="149"/>
      <c r="U87" s="141">
        <f t="shared" si="9"/>
        <v>28907246.865375716</v>
      </c>
      <c r="V87" s="141">
        <f t="shared" si="10"/>
        <v>3635465.4274928621</v>
      </c>
      <c r="W87" s="141">
        <f t="shared" si="11"/>
        <v>1929558.0961419486</v>
      </c>
      <c r="X87" s="141">
        <f t="shared" si="12"/>
        <v>1289583.3374820603</v>
      </c>
      <c r="Y87" s="141">
        <f t="shared" si="8"/>
        <v>182731.43015245377</v>
      </c>
      <c r="Z87" s="141">
        <f t="shared" si="13"/>
        <v>-481040.21184352343</v>
      </c>
    </row>
    <row r="88" spans="1:26" ht="19.5" thickBot="1" x14ac:dyDescent="0.35">
      <c r="A88" s="142">
        <v>264</v>
      </c>
      <c r="B88" s="143" t="s">
        <v>513</v>
      </c>
      <c r="C88" s="142">
        <v>5130</v>
      </c>
      <c r="D88" s="143" t="s">
        <v>141</v>
      </c>
      <c r="E88" s="142">
        <v>4133</v>
      </c>
      <c r="F88" s="143" t="s">
        <v>516</v>
      </c>
      <c r="G88" s="144">
        <v>1.6302270011947426</v>
      </c>
      <c r="H88" s="145">
        <v>69.578382284719694</v>
      </c>
      <c r="I88" s="146">
        <v>0.23645943308354714</v>
      </c>
      <c r="J88" s="147">
        <v>0.98137737789952395</v>
      </c>
      <c r="K88" s="148">
        <v>280</v>
      </c>
      <c r="M88" s="138">
        <f t="shared" si="7"/>
        <v>0.23645943308354714</v>
      </c>
      <c r="N88" s="149"/>
      <c r="U88" s="141">
        <f t="shared" si="9"/>
        <v>7694776.5252962941</v>
      </c>
      <c r="V88" s="141">
        <f t="shared" si="10"/>
        <v>1450063.8941554632</v>
      </c>
      <c r="W88" s="141">
        <f t="shared" si="11"/>
        <v>1028530.4503882617</v>
      </c>
      <c r="X88" s="141">
        <f t="shared" si="12"/>
        <v>870391.28363273002</v>
      </c>
      <c r="Y88" s="141">
        <f t="shared" si="8"/>
        <v>596885.74926852644</v>
      </c>
      <c r="Z88" s="141">
        <f t="shared" si="13"/>
        <v>432866.32043824042</v>
      </c>
    </row>
    <row r="89" spans="1:26" ht="19.5" thickBot="1" x14ac:dyDescent="0.35">
      <c r="A89" s="142">
        <v>264</v>
      </c>
      <c r="B89" s="143" t="s">
        <v>513</v>
      </c>
      <c r="C89" s="142">
        <v>5130</v>
      </c>
      <c r="D89" s="143" t="s">
        <v>141</v>
      </c>
      <c r="E89" s="142">
        <v>4162</v>
      </c>
      <c r="F89" s="143" t="s">
        <v>517</v>
      </c>
      <c r="G89" s="144">
        <v>4.5991464216095785</v>
      </c>
      <c r="H89" s="145">
        <v>103.27608159380347</v>
      </c>
      <c r="I89" s="146">
        <v>0.80109962926785172</v>
      </c>
      <c r="J89" s="147">
        <v>0.93690851971460365</v>
      </c>
      <c r="K89" s="148">
        <v>170</v>
      </c>
      <c r="M89" s="138">
        <f t="shared" si="7"/>
        <v>0.80109962926785172</v>
      </c>
      <c r="N89" s="149"/>
      <c r="U89" s="141">
        <f t="shared" si="9"/>
        <v>20724607.353799593</v>
      </c>
      <c r="V89" s="141">
        <f t="shared" si="10"/>
        <v>3107215.5853874376</v>
      </c>
      <c r="W89" s="141">
        <f t="shared" si="11"/>
        <v>1917998.3609948354</v>
      </c>
      <c r="X89" s="141">
        <f t="shared" si="12"/>
        <v>1471860.9933969458</v>
      </c>
      <c r="Y89" s="141">
        <f t="shared" si="8"/>
        <v>700255.56744112913</v>
      </c>
      <c r="Z89" s="141">
        <f t="shared" si="13"/>
        <v>237528.98480790231</v>
      </c>
    </row>
    <row r="90" spans="1:26" ht="19.5" thickBot="1" x14ac:dyDescent="0.35">
      <c r="A90" s="142">
        <v>264</v>
      </c>
      <c r="B90" s="143" t="s">
        <v>513</v>
      </c>
      <c r="C90" s="142">
        <v>5130</v>
      </c>
      <c r="D90" s="143" t="s">
        <v>141</v>
      </c>
      <c r="E90" s="142">
        <v>4147</v>
      </c>
      <c r="F90" s="143" t="s">
        <v>518</v>
      </c>
      <c r="G90" s="144">
        <v>5.8587699797465023</v>
      </c>
      <c r="H90" s="145">
        <v>149.14760054085764</v>
      </c>
      <c r="I90" s="146">
        <v>1.1582455902106625</v>
      </c>
      <c r="J90" s="147">
        <v>0.90878109769291859</v>
      </c>
      <c r="K90" s="148">
        <v>106</v>
      </c>
      <c r="M90" s="138">
        <f t="shared" si="7"/>
        <v>1.1582455902106625</v>
      </c>
      <c r="N90" s="149"/>
      <c r="U90" s="141">
        <f t="shared" si="9"/>
        <v>25608115.47949297</v>
      </c>
      <c r="V90" s="141">
        <f t="shared" si="10"/>
        <v>3165636.6905520968</v>
      </c>
      <c r="W90" s="141">
        <f t="shared" si="11"/>
        <v>1650714.2386527613</v>
      </c>
      <c r="X90" s="141">
        <f t="shared" si="12"/>
        <v>1082387.8631661378</v>
      </c>
      <c r="Y90" s="141">
        <f t="shared" si="8"/>
        <v>99453.576804073964</v>
      </c>
      <c r="Z90" s="141">
        <f t="shared" si="13"/>
        <v>-490005.50160757999</v>
      </c>
    </row>
    <row r="91" spans="1:26" ht="19.5" thickBot="1" x14ac:dyDescent="0.35">
      <c r="A91" s="142">
        <v>264</v>
      </c>
      <c r="B91" s="143" t="s">
        <v>513</v>
      </c>
      <c r="C91" s="142">
        <v>5130</v>
      </c>
      <c r="D91" s="143" t="s">
        <v>141</v>
      </c>
      <c r="E91" s="142">
        <v>4141</v>
      </c>
      <c r="F91" s="143" t="s">
        <v>519</v>
      </c>
      <c r="G91" s="144">
        <v>3.2458373859052978</v>
      </c>
      <c r="H91" s="145">
        <v>203.30485486904595</v>
      </c>
      <c r="I91" s="146">
        <v>1.0780616868253963</v>
      </c>
      <c r="J91" s="147">
        <v>0.91509606898339479</v>
      </c>
      <c r="K91" s="148">
        <v>124</v>
      </c>
      <c r="M91" s="138">
        <f t="shared" si="7"/>
        <v>1.0780616868253963</v>
      </c>
      <c r="N91" s="149"/>
      <c r="U91" s="141">
        <f t="shared" si="9"/>
        <v>14285825.292560576</v>
      </c>
      <c r="V91" s="141">
        <f t="shared" si="10"/>
        <v>1852390.1282937604</v>
      </c>
      <c r="W91" s="141">
        <f t="shared" si="11"/>
        <v>1013102.7099242581</v>
      </c>
      <c r="X91" s="141">
        <f t="shared" si="12"/>
        <v>698242.25229790295</v>
      </c>
      <c r="Y91" s="141">
        <f t="shared" si="8"/>
        <v>153683.43439050065</v>
      </c>
      <c r="Z91" s="141">
        <f t="shared" si="13"/>
        <v>-172884.82495130293</v>
      </c>
    </row>
    <row r="92" spans="1:26" ht="19.5" thickBot="1" x14ac:dyDescent="0.35">
      <c r="A92" s="142">
        <v>264</v>
      </c>
      <c r="B92" s="143" t="s">
        <v>513</v>
      </c>
      <c r="C92" s="142">
        <v>5130</v>
      </c>
      <c r="D92" s="143" t="s">
        <v>141</v>
      </c>
      <c r="E92" s="142">
        <v>4139</v>
      </c>
      <c r="F92" s="143" t="s">
        <v>520</v>
      </c>
      <c r="G92" s="144">
        <v>5.9735728475228482</v>
      </c>
      <c r="H92" s="145">
        <v>177.80996931852306</v>
      </c>
      <c r="I92" s="146">
        <v>1.1625439550971239</v>
      </c>
      <c r="J92" s="147">
        <v>0.90844257525003402</v>
      </c>
      <c r="K92" s="148">
        <v>105</v>
      </c>
      <c r="M92" s="138">
        <f t="shared" si="7"/>
        <v>1.1625439550971239</v>
      </c>
      <c r="N92" s="149"/>
      <c r="U92" s="141">
        <f t="shared" si="9"/>
        <v>26100181.699310992</v>
      </c>
      <c r="V92" s="141">
        <f t="shared" si="10"/>
        <v>3217941.5041556889</v>
      </c>
      <c r="W92" s="141">
        <f t="shared" si="11"/>
        <v>1673334.0769905485</v>
      </c>
      <c r="X92" s="141">
        <f t="shared" si="12"/>
        <v>1093871.3199828293</v>
      </c>
      <c r="Y92" s="141">
        <f t="shared" si="8"/>
        <v>91676.390977316943</v>
      </c>
      <c r="Z92" s="141">
        <f t="shared" si="13"/>
        <v>-509333.1652432282</v>
      </c>
    </row>
    <row r="93" spans="1:26" ht="19.5" thickBot="1" x14ac:dyDescent="0.35">
      <c r="A93" s="142">
        <v>264</v>
      </c>
      <c r="B93" s="143" t="s">
        <v>513</v>
      </c>
      <c r="C93" s="142">
        <v>5130</v>
      </c>
      <c r="D93" s="143" t="s">
        <v>141</v>
      </c>
      <c r="E93" s="142">
        <v>4143</v>
      </c>
      <c r="F93" s="143" t="s">
        <v>521</v>
      </c>
      <c r="G93" s="144">
        <v>5.3472902686824586</v>
      </c>
      <c r="H93" s="145">
        <v>221.07985911175942</v>
      </c>
      <c r="I93" s="146">
        <v>1.902068202313254</v>
      </c>
      <c r="J93" s="147">
        <v>0.85020053173985188</v>
      </c>
      <c r="K93" s="148">
        <v>30</v>
      </c>
      <c r="M93" s="138">
        <f t="shared" si="7"/>
        <v>1.902068202313254</v>
      </c>
      <c r="N93" s="149"/>
      <c r="U93" s="141">
        <f t="shared" si="9"/>
        <v>21865882.934630733</v>
      </c>
      <c r="V93" s="141">
        <f t="shared" si="10"/>
        <v>1382667.3709419784</v>
      </c>
      <c r="W93" s="141">
        <f t="shared" si="11"/>
        <v>0</v>
      </c>
      <c r="X93" s="141">
        <f t="shared" si="12"/>
        <v>-518710.60095905769</v>
      </c>
      <c r="Y93" s="141">
        <f t="shared" si="8"/>
        <v>-1415833.1987719215</v>
      </c>
      <c r="Z93" s="141">
        <f t="shared" si="13"/>
        <v>-1953831.5848962306</v>
      </c>
    </row>
    <row r="94" spans="1:26" ht="19.5" thickBot="1" x14ac:dyDescent="0.35">
      <c r="A94" s="142">
        <v>264</v>
      </c>
      <c r="B94" s="143" t="s">
        <v>513</v>
      </c>
      <c r="C94" s="142">
        <v>5130</v>
      </c>
      <c r="D94" s="143" t="s">
        <v>141</v>
      </c>
      <c r="E94" s="142">
        <v>4159</v>
      </c>
      <c r="F94" s="143" t="s">
        <v>153</v>
      </c>
      <c r="G94" s="144">
        <v>1.8576732234626969</v>
      </c>
      <c r="H94" s="145">
        <v>64.132136737122082</v>
      </c>
      <c r="I94" s="146">
        <v>0.22654560781984104</v>
      </c>
      <c r="J94" s="147">
        <v>0.98215815208581303</v>
      </c>
      <c r="K94" s="148">
        <v>281</v>
      </c>
      <c r="M94" s="138">
        <f t="shared" si="7"/>
        <v>0.22654560781984104</v>
      </c>
      <c r="N94" s="149"/>
      <c r="U94" s="141">
        <f t="shared" si="9"/>
        <v>8775313.3578479998</v>
      </c>
      <c r="V94" s="141">
        <f t="shared" si="10"/>
        <v>1659350.0996098127</v>
      </c>
      <c r="W94" s="141">
        <f t="shared" si="11"/>
        <v>1179005.0981428635</v>
      </c>
      <c r="X94" s="141">
        <f t="shared" si="12"/>
        <v>998802.6506020251</v>
      </c>
      <c r="Y94" s="141">
        <f t="shared" si="8"/>
        <v>687138.13560817542</v>
      </c>
      <c r="Z94" s="141">
        <f t="shared" si="13"/>
        <v>500235.02282549755</v>
      </c>
    </row>
    <row r="95" spans="1:26" ht="19.5" thickBot="1" x14ac:dyDescent="0.35">
      <c r="A95" s="142">
        <v>264</v>
      </c>
      <c r="B95" s="143" t="s">
        <v>513</v>
      </c>
      <c r="C95" s="142">
        <v>5130</v>
      </c>
      <c r="D95" s="143" t="s">
        <v>141</v>
      </c>
      <c r="E95" s="142">
        <v>4157</v>
      </c>
      <c r="F95" s="143" t="s">
        <v>522</v>
      </c>
      <c r="G95" s="144">
        <v>3.3075077187919297</v>
      </c>
      <c r="H95" s="145">
        <v>139.13704100381881</v>
      </c>
      <c r="I95" s="146">
        <v>1.0924568038770184</v>
      </c>
      <c r="J95" s="147">
        <v>0.91396236574538625</v>
      </c>
      <c r="K95" s="148">
        <v>118</v>
      </c>
      <c r="M95" s="138">
        <f t="shared" si="7"/>
        <v>1.0924568038770184</v>
      </c>
      <c r="N95" s="149"/>
      <c r="U95" s="141">
        <f t="shared" si="9"/>
        <v>14539218.598000411</v>
      </c>
      <c r="V95" s="141">
        <f t="shared" si="10"/>
        <v>1869550.3775631553</v>
      </c>
      <c r="W95" s="141">
        <f t="shared" si="11"/>
        <v>1014316.6475567339</v>
      </c>
      <c r="X95" s="141">
        <f t="shared" si="12"/>
        <v>693473.89725023007</v>
      </c>
      <c r="Y95" s="141">
        <f t="shared" si="8"/>
        <v>138568.55868146269</v>
      </c>
      <c r="Z95" s="141">
        <f t="shared" si="13"/>
        <v>-194204.43949022528</v>
      </c>
    </row>
    <row r="96" spans="1:26" ht="19.5" thickBot="1" x14ac:dyDescent="0.35">
      <c r="A96" s="142">
        <v>264</v>
      </c>
      <c r="B96" s="143" t="s">
        <v>513</v>
      </c>
      <c r="C96" s="142">
        <v>5130</v>
      </c>
      <c r="D96" s="143" t="s">
        <v>141</v>
      </c>
      <c r="E96" s="142">
        <v>4148</v>
      </c>
      <c r="F96" s="143" t="s">
        <v>155</v>
      </c>
      <c r="G96" s="144">
        <v>3.0547893160973465</v>
      </c>
      <c r="H96" s="145">
        <v>206.19102962056058</v>
      </c>
      <c r="I96" s="146">
        <v>1.7464870212050942</v>
      </c>
      <c r="J96" s="147">
        <v>0.86245349836478347</v>
      </c>
      <c r="K96" s="148">
        <v>45</v>
      </c>
      <c r="M96" s="138">
        <f t="shared" si="7"/>
        <v>1.7464870212050942</v>
      </c>
      <c r="N96" s="149"/>
      <c r="U96" s="141">
        <f t="shared" si="9"/>
        <v>12671523.632626999</v>
      </c>
      <c r="V96" s="141">
        <f t="shared" si="10"/>
        <v>969913.11229655019</v>
      </c>
      <c r="W96" s="141">
        <f t="shared" si="11"/>
        <v>180025.65524053512</v>
      </c>
      <c r="X96" s="141">
        <f t="shared" si="12"/>
        <v>-116302.30197480935</v>
      </c>
      <c r="Y96" s="141">
        <f t="shared" si="8"/>
        <v>-628808.70976768236</v>
      </c>
      <c r="Z96" s="141">
        <f t="shared" si="13"/>
        <v>-936155.35441038944</v>
      </c>
    </row>
    <row r="97" spans="1:26" ht="19.5" thickBot="1" x14ac:dyDescent="0.35">
      <c r="A97" s="142">
        <v>264</v>
      </c>
      <c r="B97" s="143" t="s">
        <v>513</v>
      </c>
      <c r="C97" s="142">
        <v>5130</v>
      </c>
      <c r="D97" s="143" t="s">
        <v>141</v>
      </c>
      <c r="E97" s="142">
        <v>4144</v>
      </c>
      <c r="F97" s="143" t="s">
        <v>156</v>
      </c>
      <c r="G97" s="144">
        <v>2.7451908808211134</v>
      </c>
      <c r="H97" s="145">
        <v>111.8841970319129</v>
      </c>
      <c r="I97" s="146">
        <v>0.42960731817936226</v>
      </c>
      <c r="J97" s="147">
        <v>0.9661658042831115</v>
      </c>
      <c r="K97" s="148">
        <v>244</v>
      </c>
      <c r="M97" s="138">
        <f t="shared" si="7"/>
        <v>0.42960731817936226</v>
      </c>
      <c r="N97" s="149"/>
      <c r="U97" s="141">
        <f t="shared" si="9"/>
        <v>12756634.035947908</v>
      </c>
      <c r="V97" s="141">
        <f t="shared" si="10"/>
        <v>2240964.6501551853</v>
      </c>
      <c r="W97" s="141">
        <f t="shared" si="11"/>
        <v>1531131.1331402098</v>
      </c>
      <c r="X97" s="141">
        <f t="shared" si="12"/>
        <v>1264835.5815637847</v>
      </c>
      <c r="Y97" s="141">
        <f t="shared" si="8"/>
        <v>804270.94961960684</v>
      </c>
      <c r="Z97" s="141">
        <f t="shared" si="13"/>
        <v>528073.43849238113</v>
      </c>
    </row>
    <row r="98" spans="1:26" ht="19.5" thickBot="1" x14ac:dyDescent="0.35">
      <c r="A98" s="142">
        <v>264</v>
      </c>
      <c r="B98" s="143" t="s">
        <v>513</v>
      </c>
      <c r="C98" s="142">
        <v>5130</v>
      </c>
      <c r="D98" s="143" t="s">
        <v>141</v>
      </c>
      <c r="E98" s="142">
        <v>4153</v>
      </c>
      <c r="F98" s="143" t="s">
        <v>157</v>
      </c>
      <c r="G98" s="144">
        <v>3.7565036017871338</v>
      </c>
      <c r="H98" s="145">
        <v>76.211224049885203</v>
      </c>
      <c r="I98" s="146">
        <v>0.30761600823974955</v>
      </c>
      <c r="J98" s="147">
        <v>0.97577336374869128</v>
      </c>
      <c r="K98" s="148">
        <v>268</v>
      </c>
      <c r="M98" s="138">
        <f t="shared" si="7"/>
        <v>0.30761600823974955</v>
      </c>
      <c r="N98" s="149"/>
      <c r="U98" s="141">
        <f t="shared" si="9"/>
        <v>17629689.159841061</v>
      </c>
      <c r="V98" s="141">
        <f t="shared" si="10"/>
        <v>3240106.9275419395</v>
      </c>
      <c r="W98" s="141">
        <f t="shared" si="11"/>
        <v>2268774.7764827716</v>
      </c>
      <c r="X98" s="141">
        <f t="shared" si="12"/>
        <v>1904377.4569282497</v>
      </c>
      <c r="Y98" s="141">
        <f t="shared" si="8"/>
        <v>1274143.4317312196</v>
      </c>
      <c r="Z98" s="141">
        <f t="shared" si="13"/>
        <v>896196.32699519931</v>
      </c>
    </row>
    <row r="99" spans="1:26" ht="19.5" thickBot="1" x14ac:dyDescent="0.35">
      <c r="A99" s="142">
        <v>264</v>
      </c>
      <c r="B99" s="143" t="s">
        <v>513</v>
      </c>
      <c r="C99" s="142">
        <v>5130</v>
      </c>
      <c r="D99" s="143" t="s">
        <v>141</v>
      </c>
      <c r="E99" s="142">
        <v>4164</v>
      </c>
      <c r="F99" s="143" t="s">
        <v>523</v>
      </c>
      <c r="G99" s="144">
        <v>2.8448773448773443</v>
      </c>
      <c r="H99" s="145">
        <v>56.397179684707091</v>
      </c>
      <c r="I99" s="146">
        <v>0.37647905570641649</v>
      </c>
      <c r="J99" s="147">
        <v>0.97034997888755203</v>
      </c>
      <c r="K99" s="148">
        <v>257</v>
      </c>
      <c r="M99" s="138">
        <f t="shared" si="7"/>
        <v>0.37647905570641649</v>
      </c>
      <c r="N99" s="149"/>
      <c r="U99" s="141">
        <f t="shared" si="9"/>
        <v>13277118.587160798</v>
      </c>
      <c r="V99" s="141">
        <f t="shared" si="10"/>
        <v>2379592.3674489381</v>
      </c>
      <c r="W99" s="141">
        <f t="shared" si="11"/>
        <v>1643982.5760502096</v>
      </c>
      <c r="X99" s="141">
        <f t="shared" si="12"/>
        <v>1368017.0003905715</v>
      </c>
      <c r="Y99" s="141">
        <f t="shared" si="8"/>
        <v>890727.82664908818</v>
      </c>
      <c r="Z99" s="141">
        <f t="shared" si="13"/>
        <v>604500.72032767721</v>
      </c>
    </row>
    <row r="100" spans="1:26" ht="19.5" thickBot="1" x14ac:dyDescent="0.35">
      <c r="A100" s="142">
        <v>264</v>
      </c>
      <c r="B100" s="143" t="s">
        <v>513</v>
      </c>
      <c r="C100" s="142">
        <v>5130</v>
      </c>
      <c r="D100" s="143" t="s">
        <v>141</v>
      </c>
      <c r="E100" s="142">
        <v>4140</v>
      </c>
      <c r="F100" s="143" t="s">
        <v>159</v>
      </c>
      <c r="G100" s="144">
        <v>2.4566604814326558</v>
      </c>
      <c r="H100" s="145">
        <v>256.94012105893171</v>
      </c>
      <c r="I100" s="146">
        <v>3.9408092561712791</v>
      </c>
      <c r="J100" s="147">
        <v>0.68963724309613095</v>
      </c>
      <c r="K100" s="148">
        <v>3</v>
      </c>
      <c r="M100" s="138">
        <f t="shared" si="7"/>
        <v>3.9408092561712791</v>
      </c>
      <c r="N100" s="149"/>
      <c r="U100" s="141">
        <f t="shared" si="9"/>
        <v>8148501.1927953465</v>
      </c>
      <c r="V100" s="141">
        <f t="shared" si="10"/>
        <v>-1261929.8254517934</v>
      </c>
      <c r="W100" s="141">
        <f t="shared" si="11"/>
        <v>-1897157.037457339</v>
      </c>
      <c r="X100" s="141">
        <f t="shared" si="12"/>
        <v>-2135463.8752475907</v>
      </c>
      <c r="Y100" s="141">
        <f t="shared" si="8"/>
        <v>-2547621.3460987289</v>
      </c>
      <c r="Z100" s="141">
        <f t="shared" si="13"/>
        <v>-2794789.4083987754</v>
      </c>
    </row>
    <row r="101" spans="1:26" ht="19.5" thickBot="1" x14ac:dyDescent="0.35">
      <c r="A101" s="142">
        <v>264</v>
      </c>
      <c r="B101" s="143" t="s">
        <v>513</v>
      </c>
      <c r="C101" s="142">
        <v>5169</v>
      </c>
      <c r="D101" s="143" t="s">
        <v>160</v>
      </c>
      <c r="E101" s="142">
        <v>4189</v>
      </c>
      <c r="F101" s="143" t="s">
        <v>161</v>
      </c>
      <c r="G101" s="144">
        <v>3.9968760643589416</v>
      </c>
      <c r="H101" s="145">
        <v>105.23625307042454</v>
      </c>
      <c r="I101" s="146">
        <v>0.51891188758504903</v>
      </c>
      <c r="J101" s="147">
        <v>0.95913252493282142</v>
      </c>
      <c r="K101" s="148">
        <v>229</v>
      </c>
      <c r="M101" s="138">
        <f t="shared" si="7"/>
        <v>0.51891188758504903</v>
      </c>
      <c r="N101" s="149"/>
      <c r="U101" s="141">
        <f t="shared" si="9"/>
        <v>18437888.614819899</v>
      </c>
      <c r="V101" s="141">
        <f t="shared" si="10"/>
        <v>3127540.776196924</v>
      </c>
      <c r="W101" s="141">
        <f t="shared" si="11"/>
        <v>2094054.6846985172</v>
      </c>
      <c r="X101" s="141">
        <f t="shared" si="12"/>
        <v>1706340.1823748329</v>
      </c>
      <c r="Y101" s="141">
        <f t="shared" si="8"/>
        <v>1035778.52257602</v>
      </c>
      <c r="Z101" s="141">
        <f t="shared" si="13"/>
        <v>633647.20669108408</v>
      </c>
    </row>
    <row r="102" spans="1:26" ht="19.5" thickBot="1" x14ac:dyDescent="0.35">
      <c r="A102" s="142">
        <v>264</v>
      </c>
      <c r="B102" s="143" t="s">
        <v>513</v>
      </c>
      <c r="C102" s="142">
        <v>5169</v>
      </c>
      <c r="D102" s="143" t="s">
        <v>160</v>
      </c>
      <c r="E102" s="142">
        <v>4195</v>
      </c>
      <c r="F102" s="143" t="s">
        <v>524</v>
      </c>
      <c r="G102" s="144">
        <v>3.1170158207509644</v>
      </c>
      <c r="H102" s="145">
        <v>149.86641663161524</v>
      </c>
      <c r="I102" s="146">
        <v>1.1071218898621411</v>
      </c>
      <c r="J102" s="147">
        <v>0.91280740080780476</v>
      </c>
      <c r="K102" s="148">
        <v>115</v>
      </c>
      <c r="M102" s="138">
        <f t="shared" si="7"/>
        <v>1.1071218898621411</v>
      </c>
      <c r="N102" s="149"/>
      <c r="U102" s="141">
        <f t="shared" si="9"/>
        <v>13684535.037535274</v>
      </c>
      <c r="V102" s="141">
        <f t="shared" si="10"/>
        <v>1744561.0013770242</v>
      </c>
      <c r="W102" s="141">
        <f t="shared" si="11"/>
        <v>938583.4214233933</v>
      </c>
      <c r="X102" s="141">
        <f t="shared" si="12"/>
        <v>636219.22042799823</v>
      </c>
      <c r="Y102" s="141">
        <f t="shared" si="8"/>
        <v>113272.98223455434</v>
      </c>
      <c r="Z102" s="141">
        <f t="shared" si="13"/>
        <v>-200334.35846085689</v>
      </c>
    </row>
    <row r="103" spans="1:26" ht="19.5" thickBot="1" x14ac:dyDescent="0.35">
      <c r="A103" s="142">
        <v>264</v>
      </c>
      <c r="B103" s="143" t="s">
        <v>513</v>
      </c>
      <c r="C103" s="142">
        <v>5169</v>
      </c>
      <c r="D103" s="143" t="s">
        <v>160</v>
      </c>
      <c r="E103" s="142">
        <v>4193</v>
      </c>
      <c r="F103" s="143" t="s">
        <v>525</v>
      </c>
      <c r="G103" s="144">
        <v>3.5189073531009014</v>
      </c>
      <c r="H103" s="145">
        <v>130.10068750362822</v>
      </c>
      <c r="I103" s="146">
        <v>0.48997343058226311</v>
      </c>
      <c r="J103" s="147">
        <v>0.96141160486592503</v>
      </c>
      <c r="K103" s="148">
        <v>234</v>
      </c>
      <c r="M103" s="138">
        <f t="shared" si="7"/>
        <v>0.48997343058226311</v>
      </c>
      <c r="N103" s="149"/>
      <c r="U103" s="141">
        <f t="shared" si="9"/>
        <v>16271555.78649326</v>
      </c>
      <c r="V103" s="141">
        <f t="shared" si="10"/>
        <v>2792104.6550747058</v>
      </c>
      <c r="W103" s="141">
        <f t="shared" si="11"/>
        <v>1882208.5892119403</v>
      </c>
      <c r="X103" s="141">
        <f t="shared" si="12"/>
        <v>1540859.1475075239</v>
      </c>
      <c r="Y103" s="141">
        <f t="shared" si="8"/>
        <v>950486.98750609788</v>
      </c>
      <c r="Z103" s="141">
        <f t="shared" si="13"/>
        <v>596444.77513977478</v>
      </c>
    </row>
    <row r="104" spans="1:26" ht="19.5" thickBot="1" x14ac:dyDescent="0.35">
      <c r="A104" s="142">
        <v>264</v>
      </c>
      <c r="B104" s="143" t="s">
        <v>513</v>
      </c>
      <c r="C104" s="142">
        <v>5169</v>
      </c>
      <c r="D104" s="143" t="s">
        <v>160</v>
      </c>
      <c r="E104" s="142">
        <v>4184</v>
      </c>
      <c r="F104" s="143" t="s">
        <v>526</v>
      </c>
      <c r="G104" s="144">
        <v>3.2768242683852011</v>
      </c>
      <c r="H104" s="145">
        <v>149.9539873226542</v>
      </c>
      <c r="I104" s="146">
        <v>0.73519920419388241</v>
      </c>
      <c r="J104" s="147">
        <v>0.94209857999855784</v>
      </c>
      <c r="K104" s="148">
        <v>183</v>
      </c>
      <c r="M104" s="138">
        <f t="shared" si="7"/>
        <v>0.73519920419388241</v>
      </c>
      <c r="N104" s="149"/>
      <c r="U104" s="141">
        <f t="shared" si="9"/>
        <v>14847775.327338722</v>
      </c>
      <c r="V104" s="141">
        <f t="shared" si="10"/>
        <v>2295642.4747867072</v>
      </c>
      <c r="W104" s="141">
        <f t="shared" si="11"/>
        <v>1448342.6708575315</v>
      </c>
      <c r="X104" s="141">
        <f t="shared" si="12"/>
        <v>1130476.3497703623</v>
      </c>
      <c r="Y104" s="141">
        <f t="shared" si="8"/>
        <v>580718.81791408313</v>
      </c>
      <c r="Z104" s="141">
        <f t="shared" si="13"/>
        <v>251032.92479375654</v>
      </c>
    </row>
    <row r="105" spans="1:26" ht="19.5" thickBot="1" x14ac:dyDescent="0.35">
      <c r="A105" s="142">
        <v>264</v>
      </c>
      <c r="B105" s="143" t="s">
        <v>513</v>
      </c>
      <c r="C105" s="142">
        <v>5169</v>
      </c>
      <c r="D105" s="143" t="s">
        <v>160</v>
      </c>
      <c r="E105" s="142">
        <v>4196</v>
      </c>
      <c r="F105" s="143" t="s">
        <v>165</v>
      </c>
      <c r="G105" s="144">
        <v>2.5224867724867721</v>
      </c>
      <c r="H105" s="145">
        <v>39.952424987603578</v>
      </c>
      <c r="I105" s="146">
        <v>0.51688366330445745</v>
      </c>
      <c r="J105" s="147">
        <v>0.9592922599614474</v>
      </c>
      <c r="K105" s="148">
        <v>230</v>
      </c>
      <c r="M105" s="138">
        <f t="shared" si="7"/>
        <v>0.51688366330445745</v>
      </c>
      <c r="N105" s="149"/>
      <c r="U105" s="141">
        <f t="shared" si="9"/>
        <v>11638358.335739404</v>
      </c>
      <c r="V105" s="141">
        <f t="shared" si="10"/>
        <v>1975774.5369865214</v>
      </c>
      <c r="W105" s="141">
        <f t="shared" si="11"/>
        <v>1323526.3928419985</v>
      </c>
      <c r="X105" s="141">
        <f t="shared" si="12"/>
        <v>1078834.116207785</v>
      </c>
      <c r="Y105" s="141">
        <f t="shared" si="8"/>
        <v>655632.87360168551</v>
      </c>
      <c r="Z105" s="141">
        <f t="shared" si="13"/>
        <v>401841.93568198651</v>
      </c>
    </row>
    <row r="106" spans="1:26" ht="19.5" thickBot="1" x14ac:dyDescent="0.35">
      <c r="A106" s="142">
        <v>264</v>
      </c>
      <c r="B106" s="143" t="s">
        <v>513</v>
      </c>
      <c r="C106" s="142">
        <v>5169</v>
      </c>
      <c r="D106" s="143" t="s">
        <v>160</v>
      </c>
      <c r="E106" s="142">
        <v>4174</v>
      </c>
      <c r="F106" s="143" t="s">
        <v>527</v>
      </c>
      <c r="G106" s="144">
        <v>5.5385385716069759</v>
      </c>
      <c r="H106" s="145">
        <v>51.169991071809228</v>
      </c>
      <c r="I106" s="146">
        <v>0.35336366308127981</v>
      </c>
      <c r="J106" s="147">
        <v>0.97217045699641202</v>
      </c>
      <c r="K106" s="148">
        <v>259</v>
      </c>
      <c r="M106" s="138">
        <f t="shared" si="7"/>
        <v>0.35336366308127981</v>
      </c>
      <c r="N106" s="149"/>
      <c r="U106" s="141">
        <f t="shared" si="9"/>
        <v>25897002.01541701</v>
      </c>
      <c r="V106" s="141">
        <f t="shared" si="10"/>
        <v>4681194.7991045881</v>
      </c>
      <c r="W106" s="141">
        <f t="shared" si="11"/>
        <v>3249075.6918784464</v>
      </c>
      <c r="X106" s="141">
        <f t="shared" si="12"/>
        <v>2711813.1670181598</v>
      </c>
      <c r="Y106" s="141">
        <f t="shared" si="8"/>
        <v>1782604.5656921151</v>
      </c>
      <c r="Z106" s="141">
        <f t="shared" si="13"/>
        <v>1225364.4191335528</v>
      </c>
    </row>
    <row r="107" spans="1:26" ht="19.5" thickBot="1" x14ac:dyDescent="0.35">
      <c r="A107" s="142">
        <v>264</v>
      </c>
      <c r="B107" s="143" t="s">
        <v>513</v>
      </c>
      <c r="C107" s="142">
        <v>5169</v>
      </c>
      <c r="D107" s="143" t="s">
        <v>160</v>
      </c>
      <c r="E107" s="142">
        <v>4170</v>
      </c>
      <c r="F107" s="143" t="s">
        <v>528</v>
      </c>
      <c r="G107" s="144">
        <v>4.7470153232994274</v>
      </c>
      <c r="H107" s="145">
        <v>73.034289255048904</v>
      </c>
      <c r="I107" s="146">
        <v>0.42690418771419941</v>
      </c>
      <c r="J107" s="147">
        <v>0.96637869228882378</v>
      </c>
      <c r="K107" s="148">
        <v>245</v>
      </c>
      <c r="M107" s="138">
        <f t="shared" si="7"/>
        <v>0.42690418771419941</v>
      </c>
      <c r="N107" s="149"/>
      <c r="U107" s="141">
        <f t="shared" si="9"/>
        <v>22063777.331769001</v>
      </c>
      <c r="V107" s="141">
        <f t="shared" si="10"/>
        <v>3879962.1159113152</v>
      </c>
      <c r="W107" s="141">
        <f t="shared" si="11"/>
        <v>2652509.9173036409</v>
      </c>
      <c r="X107" s="141">
        <f t="shared" si="12"/>
        <v>2192028.6179188583</v>
      </c>
      <c r="Y107" s="141">
        <f t="shared" si="8"/>
        <v>1395615.0131370926</v>
      </c>
      <c r="Z107" s="141">
        <f t="shared" si="13"/>
        <v>918011.1325698013</v>
      </c>
    </row>
    <row r="108" spans="1:26" ht="19.5" thickBot="1" x14ac:dyDescent="0.35">
      <c r="A108" s="142">
        <v>264</v>
      </c>
      <c r="B108" s="143" t="s">
        <v>513</v>
      </c>
      <c r="C108" s="142">
        <v>5169</v>
      </c>
      <c r="D108" s="143" t="s">
        <v>160</v>
      </c>
      <c r="E108" s="142">
        <v>4169</v>
      </c>
      <c r="F108" s="143" t="s">
        <v>168</v>
      </c>
      <c r="G108" s="144">
        <v>5.825472477958602</v>
      </c>
      <c r="H108" s="145">
        <v>86.86854779499933</v>
      </c>
      <c r="I108" s="146">
        <v>0.45204064272959971</v>
      </c>
      <c r="J108" s="147">
        <v>0.96439904319386893</v>
      </c>
      <c r="K108" s="148">
        <v>240</v>
      </c>
      <c r="M108" s="138">
        <f t="shared" si="7"/>
        <v>0.45204064272959971</v>
      </c>
      <c r="N108" s="149"/>
      <c r="U108" s="141">
        <f t="shared" si="9"/>
        <v>27020900.132962883</v>
      </c>
      <c r="V108" s="141">
        <f t="shared" si="10"/>
        <v>4705970.0411347132</v>
      </c>
      <c r="W108" s="141">
        <f t="shared" si="11"/>
        <v>3199657.4396348689</v>
      </c>
      <c r="X108" s="141">
        <f t="shared" si="12"/>
        <v>2634561.0678127175</v>
      </c>
      <c r="Y108" s="141">
        <f t="shared" si="8"/>
        <v>1657213.1513321595</v>
      </c>
      <c r="Z108" s="141">
        <f t="shared" si="13"/>
        <v>1071104.181353702</v>
      </c>
    </row>
    <row r="109" spans="1:26" ht="19.5" thickBot="1" x14ac:dyDescent="0.35">
      <c r="A109" s="142">
        <v>264</v>
      </c>
      <c r="B109" s="143" t="s">
        <v>513</v>
      </c>
      <c r="C109" s="142">
        <v>5169</v>
      </c>
      <c r="D109" s="143" t="s">
        <v>160</v>
      </c>
      <c r="E109" s="142">
        <v>4188</v>
      </c>
      <c r="F109" s="143" t="s">
        <v>169</v>
      </c>
      <c r="G109" s="144">
        <v>2.9978898043414177</v>
      </c>
      <c r="H109" s="145">
        <v>54.875122091467205</v>
      </c>
      <c r="I109" s="146">
        <v>0.31034425472966548</v>
      </c>
      <c r="J109" s="147">
        <v>0.97555849770289182</v>
      </c>
      <c r="K109" s="148">
        <v>267</v>
      </c>
      <c r="M109" s="138">
        <f t="shared" si="7"/>
        <v>0.31034425472966548</v>
      </c>
      <c r="N109" s="149"/>
      <c r="U109" s="141">
        <f t="shared" si="9"/>
        <v>14066332.144448567</v>
      </c>
      <c r="V109" s="141">
        <f t="shared" si="10"/>
        <v>2582679.6750567835</v>
      </c>
      <c r="W109" s="141">
        <f t="shared" si="11"/>
        <v>1807504.9218889819</v>
      </c>
      <c r="X109" s="141">
        <f t="shared" si="12"/>
        <v>1516696.4667867084</v>
      </c>
      <c r="Y109" s="141">
        <f t="shared" si="8"/>
        <v>1013736.1721157887</v>
      </c>
      <c r="Z109" s="141">
        <f t="shared" si="13"/>
        <v>712114.26728667191</v>
      </c>
    </row>
    <row r="110" spans="1:26" ht="19.5" thickBot="1" x14ac:dyDescent="0.35">
      <c r="A110" s="142">
        <v>264</v>
      </c>
      <c r="B110" s="143" t="s">
        <v>513</v>
      </c>
      <c r="C110" s="142">
        <v>5169</v>
      </c>
      <c r="D110" s="143" t="s">
        <v>160</v>
      </c>
      <c r="E110" s="142">
        <v>4180</v>
      </c>
      <c r="F110" s="143" t="s">
        <v>529</v>
      </c>
      <c r="G110" s="144">
        <v>3.5180638414217369</v>
      </c>
      <c r="H110" s="145">
        <v>193.7024318821361</v>
      </c>
      <c r="I110" s="146">
        <v>1.2914613433973052</v>
      </c>
      <c r="J110" s="147">
        <v>0.89828954488373713</v>
      </c>
      <c r="K110" s="148">
        <v>90</v>
      </c>
      <c r="M110" s="138">
        <f t="shared" si="7"/>
        <v>1.2914613433973052</v>
      </c>
      <c r="N110" s="149"/>
      <c r="U110" s="141">
        <f t="shared" si="9"/>
        <v>15199592.613287671</v>
      </c>
      <c r="V110" s="141">
        <f t="shared" si="10"/>
        <v>1723372.6196392132</v>
      </c>
      <c r="W110" s="141">
        <f t="shared" si="11"/>
        <v>813694.66351375135</v>
      </c>
      <c r="X110" s="141">
        <f t="shared" si="12"/>
        <v>472427.04614054394</v>
      </c>
      <c r="Y110" s="141">
        <f t="shared" si="8"/>
        <v>-117803.59669033891</v>
      </c>
      <c r="Z110" s="141">
        <f t="shared" si="13"/>
        <v>-471760.94216160593</v>
      </c>
    </row>
    <row r="111" spans="1:26" ht="19.5" thickBot="1" x14ac:dyDescent="0.35">
      <c r="A111" s="142">
        <v>264</v>
      </c>
      <c r="B111" s="143" t="s">
        <v>513</v>
      </c>
      <c r="C111" s="142">
        <v>5169</v>
      </c>
      <c r="D111" s="143" t="s">
        <v>160</v>
      </c>
      <c r="E111" s="142">
        <v>4185</v>
      </c>
      <c r="F111" s="143" t="s">
        <v>530</v>
      </c>
      <c r="G111" s="144">
        <v>3.3305764510330889</v>
      </c>
      <c r="H111" s="145">
        <v>90.848281926134945</v>
      </c>
      <c r="I111" s="146">
        <v>0.68846448022196127</v>
      </c>
      <c r="J111" s="147">
        <v>0.94577922446323281</v>
      </c>
      <c r="K111" s="148">
        <v>199</v>
      </c>
      <c r="M111" s="138">
        <f t="shared" si="7"/>
        <v>0.68846448022196127</v>
      </c>
      <c r="N111" s="149"/>
      <c r="U111" s="141">
        <f t="shared" si="9"/>
        <v>15150294.101658598</v>
      </c>
      <c r="V111" s="141">
        <f t="shared" si="10"/>
        <v>2392259.2896330534</v>
      </c>
      <c r="W111" s="141">
        <f t="shared" si="11"/>
        <v>1531060.5976073351</v>
      </c>
      <c r="X111" s="141">
        <f t="shared" si="12"/>
        <v>1207980.0791298652</v>
      </c>
      <c r="Y111" s="141">
        <f t="shared" si="8"/>
        <v>649204.4660937388</v>
      </c>
      <c r="Z111" s="141">
        <f t="shared" si="13"/>
        <v>314110.49036293745</v>
      </c>
    </row>
    <row r="112" spans="1:26" ht="19.5" thickBot="1" x14ac:dyDescent="0.35">
      <c r="A112" s="142">
        <v>264</v>
      </c>
      <c r="B112" s="143" t="s">
        <v>513</v>
      </c>
      <c r="C112" s="142">
        <v>5169</v>
      </c>
      <c r="D112" s="143" t="s">
        <v>160</v>
      </c>
      <c r="E112" s="142">
        <v>4178</v>
      </c>
      <c r="F112" s="143" t="s">
        <v>172</v>
      </c>
      <c r="G112" s="144">
        <v>7.6444229507542065</v>
      </c>
      <c r="H112" s="145">
        <v>168.9574159149019</v>
      </c>
      <c r="I112" s="146">
        <v>0.9827418579735715</v>
      </c>
      <c r="J112" s="147">
        <v>0.92260308669142754</v>
      </c>
      <c r="K112" s="148">
        <v>135</v>
      </c>
      <c r="M112" s="138">
        <f t="shared" si="7"/>
        <v>0.9827418579735715</v>
      </c>
      <c r="N112" s="149"/>
      <c r="U112" s="141">
        <f t="shared" si="9"/>
        <v>33921222.664453268</v>
      </c>
      <c r="V112" s="141">
        <f t="shared" si="10"/>
        <v>4638659.8536468428</v>
      </c>
      <c r="W112" s="141">
        <f t="shared" si="11"/>
        <v>2662014.9264784972</v>
      </c>
      <c r="X112" s="141">
        <f t="shared" si="12"/>
        <v>1920472.3837079625</v>
      </c>
      <c r="Y112" s="141">
        <f t="shared" si="8"/>
        <v>637956.52394135576</v>
      </c>
      <c r="Z112" s="141">
        <f t="shared" si="13"/>
        <v>-131159.60847513477</v>
      </c>
    </row>
    <row r="113" spans="1:26" ht="19.5" thickBot="1" x14ac:dyDescent="0.35">
      <c r="A113" s="142">
        <v>264</v>
      </c>
      <c r="B113" s="143" t="s">
        <v>513</v>
      </c>
      <c r="C113" s="142">
        <v>5169</v>
      </c>
      <c r="D113" s="143" t="s">
        <v>160</v>
      </c>
      <c r="E113" s="142">
        <v>4194</v>
      </c>
      <c r="F113" s="143" t="s">
        <v>173</v>
      </c>
      <c r="G113" s="144">
        <v>6.044791431609327</v>
      </c>
      <c r="H113" s="145">
        <v>112.50801968016582</v>
      </c>
      <c r="I113" s="146">
        <v>0.53644056817138042</v>
      </c>
      <c r="J113" s="147">
        <v>0.95775203446042878</v>
      </c>
      <c r="K113" s="148">
        <v>226</v>
      </c>
      <c r="M113" s="138">
        <f t="shared" si="7"/>
        <v>0.53644056817138042</v>
      </c>
      <c r="N113" s="149"/>
      <c r="U113" s="141">
        <f t="shared" si="9"/>
        <v>27844940.264387492</v>
      </c>
      <c r="V113" s="141">
        <f t="shared" si="10"/>
        <v>4689891.6865401678</v>
      </c>
      <c r="W113" s="141">
        <f t="shared" si="11"/>
        <v>3126869.0233445889</v>
      </c>
      <c r="X113" s="141">
        <f t="shared" si="12"/>
        <v>2540497.7514265589</v>
      </c>
      <c r="Y113" s="141">
        <f t="shared" si="8"/>
        <v>1526354.3778897272</v>
      </c>
      <c r="Z113" s="141">
        <f t="shared" si="13"/>
        <v>918179.4198721284</v>
      </c>
    </row>
    <row r="114" spans="1:26" ht="19.5" thickBot="1" x14ac:dyDescent="0.35">
      <c r="A114" s="142">
        <v>264</v>
      </c>
      <c r="B114" s="143" t="s">
        <v>513</v>
      </c>
      <c r="C114" s="142">
        <v>5169</v>
      </c>
      <c r="D114" s="143" t="s">
        <v>160</v>
      </c>
      <c r="E114" s="142">
        <v>4181</v>
      </c>
      <c r="F114" s="143" t="s">
        <v>174</v>
      </c>
      <c r="G114" s="144">
        <v>4.0103442189703635</v>
      </c>
      <c r="H114" s="145">
        <v>85.14071561110633</v>
      </c>
      <c r="I114" s="146">
        <v>0.5977735648251884</v>
      </c>
      <c r="J114" s="147">
        <v>0.95292168701317748</v>
      </c>
      <c r="K114" s="148">
        <v>216</v>
      </c>
      <c r="M114" s="138">
        <f t="shared" si="7"/>
        <v>0.5977735648251884</v>
      </c>
      <c r="N114" s="149"/>
      <c r="U114" s="141">
        <f t="shared" si="9"/>
        <v>18380221.829996824</v>
      </c>
      <c r="V114" s="141">
        <f t="shared" si="10"/>
        <v>3018283.1668086401</v>
      </c>
      <c r="W114" s="141">
        <f t="shared" si="11"/>
        <v>1981314.5679107232</v>
      </c>
      <c r="X114" s="141">
        <f t="shared" si="12"/>
        <v>1592293.5955393563</v>
      </c>
      <c r="Y114" s="141">
        <f t="shared" si="8"/>
        <v>919472.36402372294</v>
      </c>
      <c r="Z114" s="141">
        <f t="shared" si="13"/>
        <v>515985.99818246521</v>
      </c>
    </row>
    <row r="115" spans="1:26" ht="19.5" thickBot="1" x14ac:dyDescent="0.35">
      <c r="A115" s="142">
        <v>264</v>
      </c>
      <c r="B115" s="143" t="s">
        <v>513</v>
      </c>
      <c r="C115" s="142">
        <v>5169</v>
      </c>
      <c r="D115" s="143" t="s">
        <v>160</v>
      </c>
      <c r="E115" s="142">
        <v>4183</v>
      </c>
      <c r="F115" s="143" t="s">
        <v>531</v>
      </c>
      <c r="G115" s="144">
        <v>2.3561526821289123</v>
      </c>
      <c r="H115" s="145">
        <v>92.57384173546788</v>
      </c>
      <c r="I115" s="146">
        <v>0.79780787160258948</v>
      </c>
      <c r="J115" s="147">
        <v>0.9371677657013131</v>
      </c>
      <c r="K115" s="148">
        <v>171</v>
      </c>
      <c r="M115" s="138">
        <f t="shared" si="7"/>
        <v>0.79780787160258948</v>
      </c>
      <c r="N115" s="149"/>
      <c r="U115" s="141">
        <f t="shared" si="9"/>
        <v>10620199.110263105</v>
      </c>
      <c r="V115" s="141">
        <f t="shared" si="10"/>
        <v>1594771.115141137</v>
      </c>
      <c r="W115" s="141">
        <f t="shared" si="11"/>
        <v>985532.55301988358</v>
      </c>
      <c r="X115" s="141">
        <f t="shared" si="12"/>
        <v>756975.41243295243</v>
      </c>
      <c r="Y115" s="141">
        <f t="shared" si="8"/>
        <v>361680.27997775201</v>
      </c>
      <c r="Z115" s="141">
        <f t="shared" si="13"/>
        <v>124624.44856500413</v>
      </c>
    </row>
    <row r="116" spans="1:26" ht="19.5" thickBot="1" x14ac:dyDescent="0.35">
      <c r="A116" s="142">
        <v>30</v>
      </c>
      <c r="B116" s="143" t="s">
        <v>532</v>
      </c>
      <c r="C116" s="142">
        <v>6</v>
      </c>
      <c r="D116" s="143" t="s">
        <v>177</v>
      </c>
      <c r="E116" s="142">
        <v>551110</v>
      </c>
      <c r="F116" s="143" t="s">
        <v>178</v>
      </c>
      <c r="G116" s="144">
        <v>5.3611493955112479</v>
      </c>
      <c r="H116" s="145">
        <v>124.48645097612629</v>
      </c>
      <c r="I116" s="146">
        <v>1.0020690264475822</v>
      </c>
      <c r="J116" s="147">
        <v>0.92108095433210413</v>
      </c>
      <c r="K116" s="148">
        <v>134</v>
      </c>
      <c r="M116" s="138">
        <f t="shared" si="7"/>
        <v>1.0020690264475822</v>
      </c>
      <c r="N116" s="149"/>
      <c r="U116" s="141">
        <f t="shared" si="9"/>
        <v>23750217.904487766</v>
      </c>
      <c r="V116" s="141">
        <f t="shared" si="10"/>
        <v>3213913.8664326202</v>
      </c>
      <c r="W116" s="141">
        <f t="shared" si="11"/>
        <v>1827662.8930503286</v>
      </c>
      <c r="X116" s="141">
        <f t="shared" si="12"/>
        <v>1307607.8960243072</v>
      </c>
      <c r="Y116" s="141">
        <f t="shared" si="8"/>
        <v>408160.13252203254</v>
      </c>
      <c r="Z116" s="141">
        <f t="shared" si="13"/>
        <v>-131232.63982264837</v>
      </c>
    </row>
    <row r="117" spans="1:26" ht="19.5" thickBot="1" x14ac:dyDescent="0.35">
      <c r="A117" s="142">
        <v>30</v>
      </c>
      <c r="B117" s="143" t="s">
        <v>532</v>
      </c>
      <c r="C117" s="142">
        <v>6</v>
      </c>
      <c r="D117" s="143" t="s">
        <v>177</v>
      </c>
      <c r="E117" s="142">
        <v>451101</v>
      </c>
      <c r="F117" s="143" t="s">
        <v>179</v>
      </c>
      <c r="G117" s="144">
        <v>9.7145609440858518</v>
      </c>
      <c r="H117" s="145">
        <v>351.08949015100825</v>
      </c>
      <c r="I117" s="146">
        <v>2.2155917864515882</v>
      </c>
      <c r="J117" s="147">
        <v>0.82550863786674067</v>
      </c>
      <c r="K117" s="148">
        <v>18</v>
      </c>
      <c r="M117" s="138">
        <f t="shared" si="7"/>
        <v>2.2155917864515882</v>
      </c>
      <c r="N117" s="149"/>
      <c r="U117" s="141">
        <f t="shared" si="9"/>
        <v>38570625.849739954</v>
      </c>
      <c r="V117" s="141">
        <f t="shared" si="10"/>
        <v>1358236.7842533081</v>
      </c>
      <c r="W117" s="141">
        <f t="shared" si="11"/>
        <v>-1153690.8960303317</v>
      </c>
      <c r="X117" s="141">
        <f t="shared" si="12"/>
        <v>-2096045.9005589625</v>
      </c>
      <c r="Y117" s="141">
        <f t="shared" si="8"/>
        <v>-3725871.7960806298</v>
      </c>
      <c r="Z117" s="141">
        <f t="shared" si="13"/>
        <v>-4703267.4202594887</v>
      </c>
    </row>
    <row r="118" spans="1:26" ht="19.5" thickBot="1" x14ac:dyDescent="0.35">
      <c r="A118" s="142">
        <v>30</v>
      </c>
      <c r="B118" s="143" t="s">
        <v>532</v>
      </c>
      <c r="C118" s="142">
        <v>6</v>
      </c>
      <c r="D118" s="143" t="s">
        <v>177</v>
      </c>
      <c r="E118" s="142">
        <v>551103</v>
      </c>
      <c r="F118" s="143" t="s">
        <v>180</v>
      </c>
      <c r="G118" s="144">
        <v>2.7303992303992302</v>
      </c>
      <c r="H118" s="145">
        <v>192.88761135967405</v>
      </c>
      <c r="I118" s="146">
        <v>0.98160279529456018</v>
      </c>
      <c r="J118" s="147">
        <v>0.92269279482251532</v>
      </c>
      <c r="K118" s="148">
        <v>136</v>
      </c>
      <c r="M118" s="138">
        <f t="shared" si="7"/>
        <v>0.98160279529456018</v>
      </c>
      <c r="N118" s="149"/>
      <c r="U118" s="141">
        <f t="shared" si="9"/>
        <v>12117001.70090019</v>
      </c>
      <c r="V118" s="141">
        <f t="shared" si="10"/>
        <v>1657992.8943748064</v>
      </c>
      <c r="W118" s="141">
        <f t="shared" si="11"/>
        <v>951984.10565642267</v>
      </c>
      <c r="X118" s="141">
        <f t="shared" si="12"/>
        <v>687123.40902408923</v>
      </c>
      <c r="Y118" s="141">
        <f t="shared" si="8"/>
        <v>229040.39359699795</v>
      </c>
      <c r="Z118" s="141">
        <f t="shared" si="13"/>
        <v>-45668.908801089659</v>
      </c>
    </row>
    <row r="119" spans="1:26" ht="19.5" thickBot="1" x14ac:dyDescent="0.35">
      <c r="A119" s="142">
        <v>30</v>
      </c>
      <c r="B119" s="143" t="s">
        <v>532</v>
      </c>
      <c r="C119" s="142">
        <v>6</v>
      </c>
      <c r="D119" s="143" t="s">
        <v>177</v>
      </c>
      <c r="E119" s="142">
        <v>551330</v>
      </c>
      <c r="F119" s="143" t="s">
        <v>181</v>
      </c>
      <c r="G119" s="144">
        <v>3.1380264341599156</v>
      </c>
      <c r="H119" s="145">
        <v>76.841915592260989</v>
      </c>
      <c r="I119" s="146">
        <v>0.58720029477167157</v>
      </c>
      <c r="J119" s="147">
        <v>0.95375439649744376</v>
      </c>
      <c r="K119" s="148">
        <v>218</v>
      </c>
      <c r="M119" s="138">
        <f t="shared" si="7"/>
        <v>0.58720029477167157</v>
      </c>
      <c r="N119" s="149"/>
      <c r="U119" s="141">
        <f t="shared" si="9"/>
        <v>14394780.182863962</v>
      </c>
      <c r="V119" s="141">
        <f t="shared" si="10"/>
        <v>2374323.3410309539</v>
      </c>
      <c r="W119" s="141">
        <f t="shared" si="11"/>
        <v>1562912.9739750079</v>
      </c>
      <c r="X119" s="141">
        <f t="shared" si="12"/>
        <v>1258510.6513590785</v>
      </c>
      <c r="Y119" s="141">
        <f t="shared" si="8"/>
        <v>732039.43226204056</v>
      </c>
      <c r="Z119" s="141">
        <f t="shared" si="13"/>
        <v>416318.18423459248</v>
      </c>
    </row>
    <row r="120" spans="1:26" ht="19.5" thickBot="1" x14ac:dyDescent="0.35">
      <c r="A120" s="142">
        <v>30</v>
      </c>
      <c r="B120" s="143" t="s">
        <v>532</v>
      </c>
      <c r="C120" s="142">
        <v>6</v>
      </c>
      <c r="D120" s="143" t="s">
        <v>177</v>
      </c>
      <c r="E120" s="142">
        <v>451115</v>
      </c>
      <c r="F120" s="143" t="s">
        <v>533</v>
      </c>
      <c r="G120" s="144">
        <v>2.9645688839237225</v>
      </c>
      <c r="H120" s="145">
        <v>83.375937425632003</v>
      </c>
      <c r="I120" s="146">
        <v>0.37978929597001371</v>
      </c>
      <c r="J120" s="147">
        <v>0.97008927728353123</v>
      </c>
      <c r="K120" s="148">
        <v>256</v>
      </c>
      <c r="M120" s="138">
        <f t="shared" si="7"/>
        <v>0.37978929597001371</v>
      </c>
      <c r="N120" s="149"/>
      <c r="U120" s="141">
        <f t="shared" si="9"/>
        <v>13832004.987860471</v>
      </c>
      <c r="V120" s="141">
        <f t="shared" si="10"/>
        <v>2475990.9224830549</v>
      </c>
      <c r="W120" s="141">
        <f t="shared" si="11"/>
        <v>1709432.0751509867</v>
      </c>
      <c r="X120" s="141">
        <f t="shared" si="12"/>
        <v>1421855.895422952</v>
      </c>
      <c r="Y120" s="141">
        <f t="shared" si="8"/>
        <v>924485.89961082314</v>
      </c>
      <c r="Z120" s="141">
        <f t="shared" si="13"/>
        <v>626216.45939614612</v>
      </c>
    </row>
    <row r="121" spans="1:26" ht="19.5" thickBot="1" x14ac:dyDescent="0.35">
      <c r="A121" s="142">
        <v>30</v>
      </c>
      <c r="B121" s="143" t="s">
        <v>532</v>
      </c>
      <c r="C121" s="142">
        <v>6</v>
      </c>
      <c r="D121" s="143" t="s">
        <v>177</v>
      </c>
      <c r="E121" s="142">
        <v>551128</v>
      </c>
      <c r="F121" s="143" t="s">
        <v>183</v>
      </c>
      <c r="G121" s="144">
        <v>3.2593973529457401</v>
      </c>
      <c r="H121" s="145">
        <v>291.74339707940175</v>
      </c>
      <c r="I121" s="146">
        <v>2.1736281776559268</v>
      </c>
      <c r="J121" s="147">
        <v>0.82881352792074714</v>
      </c>
      <c r="K121" s="148">
        <v>21</v>
      </c>
      <c r="M121" s="138">
        <f t="shared" si="7"/>
        <v>2.1736281776559268</v>
      </c>
      <c r="N121" s="149"/>
      <c r="U121" s="141">
        <f t="shared" si="9"/>
        <v>12992897.915947298</v>
      </c>
      <c r="V121" s="141">
        <f t="shared" si="10"/>
        <v>507520.23239130148</v>
      </c>
      <c r="W121" s="141">
        <f t="shared" si="11"/>
        <v>-335273.43363557494</v>
      </c>
      <c r="X121" s="141">
        <f t="shared" si="12"/>
        <v>-651449.26751777448</v>
      </c>
      <c r="Y121" s="141">
        <f t="shared" si="8"/>
        <v>-1198283.0606455842</v>
      </c>
      <c r="Z121" s="141">
        <f t="shared" si="13"/>
        <v>-1526215.6073211767</v>
      </c>
    </row>
    <row r="122" spans="1:26" ht="19.5" thickBot="1" x14ac:dyDescent="0.35">
      <c r="A122" s="142">
        <v>30</v>
      </c>
      <c r="B122" s="143" t="s">
        <v>532</v>
      </c>
      <c r="C122" s="142">
        <v>6</v>
      </c>
      <c r="D122" s="143" t="s">
        <v>177</v>
      </c>
      <c r="E122" s="142">
        <v>451120</v>
      </c>
      <c r="F122" s="143" t="s">
        <v>184</v>
      </c>
      <c r="G122" s="144">
        <v>2.4762819978250414</v>
      </c>
      <c r="H122" s="145">
        <v>208.01731809722358</v>
      </c>
      <c r="I122" s="146">
        <v>1.5183164653388732</v>
      </c>
      <c r="J122" s="147">
        <v>0.8804233208452884</v>
      </c>
      <c r="K122" s="148">
        <v>62</v>
      </c>
      <c r="M122" s="138">
        <f t="shared" si="7"/>
        <v>1.5183164653388732</v>
      </c>
      <c r="N122" s="149"/>
      <c r="U122" s="141">
        <f t="shared" si="9"/>
        <v>10485847.19939105</v>
      </c>
      <c r="V122" s="141">
        <f t="shared" si="10"/>
        <v>1000254.4207462079</v>
      </c>
      <c r="W122" s="141">
        <f t="shared" si="11"/>
        <v>359953.60526657174</v>
      </c>
      <c r="X122" s="141">
        <f t="shared" si="12"/>
        <v>119743.39435681126</v>
      </c>
      <c r="Y122" s="141">
        <f t="shared" si="8"/>
        <v>-295706.00658872619</v>
      </c>
      <c r="Z122" s="141">
        <f t="shared" si="13"/>
        <v>-544848.21721848636</v>
      </c>
    </row>
    <row r="123" spans="1:26" ht="19.5" thickBot="1" x14ac:dyDescent="0.35">
      <c r="A123" s="142">
        <v>30</v>
      </c>
      <c r="B123" s="143" t="s">
        <v>532</v>
      </c>
      <c r="C123" s="142">
        <v>6</v>
      </c>
      <c r="D123" s="143" t="s">
        <v>177</v>
      </c>
      <c r="E123" s="142">
        <v>451381</v>
      </c>
      <c r="F123" s="143" t="s">
        <v>534</v>
      </c>
      <c r="G123" s="144">
        <v>6.4918796420425462</v>
      </c>
      <c r="H123" s="145">
        <v>174.35054266407829</v>
      </c>
      <c r="I123" s="146">
        <v>1.0516308375908208</v>
      </c>
      <c r="J123" s="147">
        <v>0.91717765951531594</v>
      </c>
      <c r="K123" s="148">
        <v>126</v>
      </c>
      <c r="M123" s="138">
        <f t="shared" si="7"/>
        <v>1.0516308375908208</v>
      </c>
      <c r="N123" s="149"/>
      <c r="U123" s="141">
        <f t="shared" si="9"/>
        <v>28637546.931586027</v>
      </c>
      <c r="V123" s="141">
        <f t="shared" si="10"/>
        <v>3769891.8315302301</v>
      </c>
      <c r="W123" s="141">
        <f t="shared" si="11"/>
        <v>2091264.0207855592</v>
      </c>
      <c r="X123" s="141">
        <f t="shared" si="12"/>
        <v>1461523.2322221077</v>
      </c>
      <c r="Y123" s="141">
        <f t="shared" si="8"/>
        <v>372371.22503311763</v>
      </c>
      <c r="Z123" s="141">
        <f t="shared" si="13"/>
        <v>-280785.90593233996</v>
      </c>
    </row>
    <row r="124" spans="1:26" ht="19.5" thickBot="1" x14ac:dyDescent="0.35">
      <c r="A124" s="142">
        <v>30</v>
      </c>
      <c r="B124" s="143" t="s">
        <v>532</v>
      </c>
      <c r="C124" s="142">
        <v>6</v>
      </c>
      <c r="D124" s="143" t="s">
        <v>177</v>
      </c>
      <c r="E124" s="142">
        <v>551354</v>
      </c>
      <c r="F124" s="143" t="s">
        <v>186</v>
      </c>
      <c r="G124" s="144">
        <v>2.7823128830548205</v>
      </c>
      <c r="H124" s="145">
        <v>213.0128564905626</v>
      </c>
      <c r="I124" s="146">
        <v>1.0715556588792379</v>
      </c>
      <c r="J124" s="147">
        <v>0.91560845835283755</v>
      </c>
      <c r="K124" s="148">
        <v>125</v>
      </c>
      <c r="M124" s="138">
        <f t="shared" si="7"/>
        <v>1.0715556588792379</v>
      </c>
      <c r="N124" s="149"/>
      <c r="U124" s="141">
        <f t="shared" si="9"/>
        <v>12252582.894869979</v>
      </c>
      <c r="V124" s="141">
        <f t="shared" si="10"/>
        <v>1594714.7624780538</v>
      </c>
      <c r="W124" s="141">
        <f t="shared" si="11"/>
        <v>875282.48073298833</v>
      </c>
      <c r="X124" s="141">
        <f t="shared" si="12"/>
        <v>605385.93218053901</v>
      </c>
      <c r="Y124" s="141">
        <f t="shared" si="8"/>
        <v>138593.28840110239</v>
      </c>
      <c r="Z124" s="141">
        <f t="shared" si="13"/>
        <v>-141339.11952205843</v>
      </c>
    </row>
    <row r="125" spans="1:26" ht="19.5" thickBot="1" x14ac:dyDescent="0.35">
      <c r="A125" s="142">
        <v>30</v>
      </c>
      <c r="B125" s="143" t="s">
        <v>532</v>
      </c>
      <c r="C125" s="142">
        <v>6</v>
      </c>
      <c r="D125" s="143" t="s">
        <v>177</v>
      </c>
      <c r="E125" s="142">
        <v>451166</v>
      </c>
      <c r="F125" s="143" t="s">
        <v>187</v>
      </c>
      <c r="G125" s="144">
        <v>6.3293904736944011</v>
      </c>
      <c r="H125" s="145">
        <v>167.43357943145406</v>
      </c>
      <c r="I125" s="146">
        <v>0.94084662342282954</v>
      </c>
      <c r="J125" s="147">
        <v>0.92590259185675372</v>
      </c>
      <c r="K125" s="148">
        <v>147</v>
      </c>
      <c r="M125" s="138">
        <f t="shared" si="7"/>
        <v>0.94084662342282954</v>
      </c>
      <c r="N125" s="149"/>
      <c r="U125" s="141">
        <f t="shared" si="9"/>
        <v>28186365.262713846</v>
      </c>
      <c r="V125" s="141">
        <f t="shared" si="10"/>
        <v>3941137.6903971932</v>
      </c>
      <c r="W125" s="141">
        <f t="shared" si="11"/>
        <v>2304525.2668706607</v>
      </c>
      <c r="X125" s="141">
        <f t="shared" si="12"/>
        <v>1690546.6400617028</v>
      </c>
      <c r="Y125" s="141">
        <f t="shared" si="8"/>
        <v>628655.67491463991</v>
      </c>
      <c r="Z125" s="141">
        <f t="shared" si="13"/>
        <v>-8153.1925488398101</v>
      </c>
    </row>
    <row r="126" spans="1:26" ht="19.5" thickBot="1" x14ac:dyDescent="0.35">
      <c r="A126" s="142">
        <v>30</v>
      </c>
      <c r="B126" s="143" t="s">
        <v>532</v>
      </c>
      <c r="C126" s="142">
        <v>2</v>
      </c>
      <c r="D126" s="143" t="s">
        <v>188</v>
      </c>
      <c r="E126" s="142">
        <v>508815</v>
      </c>
      <c r="F126" s="143" t="s">
        <v>189</v>
      </c>
      <c r="G126" s="144">
        <v>2.9213564213564207</v>
      </c>
      <c r="H126" s="145">
        <v>155.05341401980741</v>
      </c>
      <c r="I126" s="146">
        <v>0.74474516501817756</v>
      </c>
      <c r="J126" s="147">
        <v>0.94134677737982297</v>
      </c>
      <c r="K126" s="148">
        <v>181</v>
      </c>
      <c r="M126" s="138">
        <f t="shared" si="7"/>
        <v>0.74474516501817756</v>
      </c>
      <c r="N126" s="149"/>
      <c r="U126" s="141">
        <f t="shared" si="9"/>
        <v>13226534.631004354</v>
      </c>
      <c r="V126" s="141">
        <f t="shared" si="10"/>
        <v>2036049.299121696</v>
      </c>
      <c r="W126" s="141">
        <f t="shared" si="11"/>
        <v>1280664.0479491244</v>
      </c>
      <c r="X126" s="141">
        <f t="shared" si="12"/>
        <v>997279.66655275738</v>
      </c>
      <c r="Y126" s="141">
        <f t="shared" si="8"/>
        <v>507159.48788695293</v>
      </c>
      <c r="Z126" s="141">
        <f t="shared" si="13"/>
        <v>213237.71423861597</v>
      </c>
    </row>
    <row r="127" spans="1:26" ht="19.5" thickBot="1" x14ac:dyDescent="0.35">
      <c r="A127" s="142">
        <v>30</v>
      </c>
      <c r="B127" s="143" t="s">
        <v>532</v>
      </c>
      <c r="C127" s="142">
        <v>2</v>
      </c>
      <c r="D127" s="143" t="s">
        <v>188</v>
      </c>
      <c r="E127" s="142">
        <v>408801</v>
      </c>
      <c r="F127" s="143" t="s">
        <v>190</v>
      </c>
      <c r="G127" s="144">
        <v>8.5281722426518165</v>
      </c>
      <c r="H127" s="145">
        <v>261.38666135885296</v>
      </c>
      <c r="I127" s="146">
        <v>1.701713953585366</v>
      </c>
      <c r="J127" s="147">
        <v>0.86597965043107339</v>
      </c>
      <c r="K127" s="148">
        <v>46</v>
      </c>
      <c r="M127" s="138">
        <f t="shared" si="7"/>
        <v>1.701713953585366</v>
      </c>
      <c r="N127" s="149"/>
      <c r="U127" s="141">
        <f t="shared" si="9"/>
        <v>35520210.970346853</v>
      </c>
      <c r="V127" s="141">
        <f t="shared" si="10"/>
        <v>2852377.0520012588</v>
      </c>
      <c r="W127" s="141">
        <f t="shared" si="11"/>
        <v>647218.00859792891</v>
      </c>
      <c r="X127" s="141">
        <f t="shared" si="12"/>
        <v>-180052.09023630581</v>
      </c>
      <c r="Y127" s="141">
        <f t="shared" si="8"/>
        <v>-1610835.8428468539</v>
      </c>
      <c r="Z127" s="141">
        <f t="shared" si="13"/>
        <v>-2468867.2330648564</v>
      </c>
    </row>
    <row r="128" spans="1:26" ht="19.5" thickBot="1" x14ac:dyDescent="0.35">
      <c r="A128" s="142">
        <v>30</v>
      </c>
      <c r="B128" s="143" t="s">
        <v>532</v>
      </c>
      <c r="C128" s="142">
        <v>2</v>
      </c>
      <c r="D128" s="143" t="s">
        <v>188</v>
      </c>
      <c r="E128" s="142">
        <v>408822</v>
      </c>
      <c r="F128" s="143" t="s">
        <v>188</v>
      </c>
      <c r="G128" s="144">
        <v>4.154172973979426</v>
      </c>
      <c r="H128" s="145">
        <v>203.96227054511579</v>
      </c>
      <c r="I128" s="146">
        <v>0.90115558727298672</v>
      </c>
      <c r="J128" s="147">
        <v>0.92902850295852701</v>
      </c>
      <c r="K128" s="148">
        <v>156</v>
      </c>
      <c r="M128" s="138">
        <f t="shared" si="7"/>
        <v>0.90115558727298672</v>
      </c>
      <c r="N128" s="149"/>
      <c r="U128" s="141">
        <f t="shared" si="9"/>
        <v>18562031.324351858</v>
      </c>
      <c r="V128" s="141">
        <f t="shared" si="10"/>
        <v>2649145.3130531916</v>
      </c>
      <c r="W128" s="141">
        <f t="shared" si="11"/>
        <v>1574986.4146649058</v>
      </c>
      <c r="X128" s="141">
        <f t="shared" si="12"/>
        <v>1172013.4224484805</v>
      </c>
      <c r="Y128" s="141">
        <f t="shared" si="8"/>
        <v>475061.83334040007</v>
      </c>
      <c r="Z128" s="141">
        <f t="shared" si="13"/>
        <v>57104.654398470775</v>
      </c>
    </row>
    <row r="129" spans="1:26" ht="19.5" thickBot="1" x14ac:dyDescent="0.35">
      <c r="A129" s="142">
        <v>30</v>
      </c>
      <c r="B129" s="143" t="s">
        <v>532</v>
      </c>
      <c r="C129" s="142">
        <v>2</v>
      </c>
      <c r="D129" s="143" t="s">
        <v>188</v>
      </c>
      <c r="E129" s="142">
        <v>508817</v>
      </c>
      <c r="F129" s="143" t="s">
        <v>191</v>
      </c>
      <c r="G129" s="144">
        <v>3.1974210582415354</v>
      </c>
      <c r="H129" s="145">
        <v>30.426035948328657</v>
      </c>
      <c r="I129" s="146">
        <v>0.14642438566958152</v>
      </c>
      <c r="J129" s="147">
        <v>0.98846818684685112</v>
      </c>
      <c r="K129" s="148">
        <v>290</v>
      </c>
      <c r="M129" s="138">
        <f t="shared" si="7"/>
        <v>0.14642438566958152</v>
      </c>
      <c r="N129" s="149"/>
      <c r="U129" s="141">
        <f t="shared" si="9"/>
        <v>15201078.929394266</v>
      </c>
      <c r="V129" s="141">
        <f t="shared" si="10"/>
        <v>2953106.3127933685</v>
      </c>
      <c r="W129" s="141">
        <f t="shared" si="11"/>
        <v>2126338.0720106135</v>
      </c>
      <c r="X129" s="141">
        <f t="shared" si="12"/>
        <v>1816174.2104463398</v>
      </c>
      <c r="Y129" s="141">
        <f t="shared" si="8"/>
        <v>1279738.2696351486</v>
      </c>
      <c r="Z129" s="141">
        <f t="shared" si="13"/>
        <v>958041.24503773986</v>
      </c>
    </row>
    <row r="130" spans="1:26" ht="19.5" thickBot="1" x14ac:dyDescent="0.35">
      <c r="A130" s="142">
        <v>30</v>
      </c>
      <c r="B130" s="143" t="s">
        <v>532</v>
      </c>
      <c r="C130" s="142">
        <v>2</v>
      </c>
      <c r="D130" s="143" t="s">
        <v>188</v>
      </c>
      <c r="E130" s="142">
        <v>508802</v>
      </c>
      <c r="F130" s="143" t="s">
        <v>192</v>
      </c>
      <c r="G130" s="144">
        <v>3.6646238141786531</v>
      </c>
      <c r="H130" s="145">
        <v>47.406857074342703</v>
      </c>
      <c r="I130" s="146">
        <v>0.28340780261855508</v>
      </c>
      <c r="J130" s="147">
        <v>0.97767990754411194</v>
      </c>
      <c r="K130" s="148">
        <v>270</v>
      </c>
      <c r="M130" s="138">
        <f t="shared" si="7"/>
        <v>0.28340780261855508</v>
      </c>
      <c r="N130" s="149"/>
      <c r="U130" s="141">
        <f t="shared" si="9"/>
        <v>17232090.874053679</v>
      </c>
      <c r="V130" s="141">
        <f t="shared" si="10"/>
        <v>3194461.3880927805</v>
      </c>
      <c r="W130" s="141">
        <f t="shared" si="11"/>
        <v>2246886.9120413372</v>
      </c>
      <c r="X130" s="141">
        <f t="shared" si="12"/>
        <v>1891402.3347266577</v>
      </c>
      <c r="Y130" s="141">
        <f t="shared" si="8"/>
        <v>1276583.1139640473</v>
      </c>
      <c r="Z130" s="141">
        <f t="shared" si="13"/>
        <v>907880.16373751976</v>
      </c>
    </row>
    <row r="131" spans="1:26" ht="19.5" thickBot="1" x14ac:dyDescent="0.35">
      <c r="A131" s="142">
        <v>30</v>
      </c>
      <c r="B131" s="143" t="s">
        <v>532</v>
      </c>
      <c r="C131" s="142">
        <v>2</v>
      </c>
      <c r="D131" s="143" t="s">
        <v>188</v>
      </c>
      <c r="E131" s="142">
        <v>508839</v>
      </c>
      <c r="F131" s="143" t="s">
        <v>193</v>
      </c>
      <c r="G131" s="144">
        <v>2.8205915806701234</v>
      </c>
      <c r="H131" s="145">
        <v>185.45670478308705</v>
      </c>
      <c r="I131" s="146">
        <v>2.40034758475081</v>
      </c>
      <c r="J131" s="147">
        <v>0.81095799225395804</v>
      </c>
      <c r="K131" s="148">
        <v>13</v>
      </c>
      <c r="M131" s="138">
        <f t="shared" si="7"/>
        <v>2.40034758475081</v>
      </c>
      <c r="N131" s="149"/>
      <c r="U131" s="141">
        <f t="shared" si="9"/>
        <v>11001463.19582469</v>
      </c>
      <c r="V131" s="141">
        <f t="shared" si="10"/>
        <v>196965.50428135929</v>
      </c>
      <c r="W131" s="141">
        <f t="shared" si="11"/>
        <v>-532364.63292609039</v>
      </c>
      <c r="X131" s="141">
        <f t="shared" si="12"/>
        <v>-805974.38297804538</v>
      </c>
      <c r="Y131" s="141">
        <f t="shared" si="8"/>
        <v>-1279189.0990445723</v>
      </c>
      <c r="Z131" s="141">
        <f t="shared" si="13"/>
        <v>-1562972.7805110055</v>
      </c>
    </row>
    <row r="132" spans="1:26" ht="19.5" thickBot="1" x14ac:dyDescent="0.35">
      <c r="A132" s="142">
        <v>30</v>
      </c>
      <c r="B132" s="143" t="s">
        <v>532</v>
      </c>
      <c r="C132" s="142">
        <v>2</v>
      </c>
      <c r="D132" s="143" t="s">
        <v>188</v>
      </c>
      <c r="E132" s="142">
        <v>508819</v>
      </c>
      <c r="F132" s="143" t="s">
        <v>194</v>
      </c>
      <c r="G132" s="144">
        <v>1.9545245414810632</v>
      </c>
      <c r="H132" s="145">
        <v>80.702738365451353</v>
      </c>
      <c r="I132" s="146">
        <v>0.27645413328530222</v>
      </c>
      <c r="J132" s="147">
        <v>0.97822755140215623</v>
      </c>
      <c r="K132" s="148">
        <v>274</v>
      </c>
      <c r="M132" s="138">
        <f t="shared" si="7"/>
        <v>0.27645413328530222</v>
      </c>
      <c r="N132" s="149"/>
      <c r="U132" s="141">
        <f t="shared" si="9"/>
        <v>9195871.7342196759</v>
      </c>
      <c r="V132" s="141">
        <f t="shared" si="10"/>
        <v>1708911.8917458691</v>
      </c>
      <c r="W132" s="141">
        <f t="shared" si="11"/>
        <v>1203523.7094287968</v>
      </c>
      <c r="X132" s="141">
        <f t="shared" si="12"/>
        <v>1013926.2594009582</v>
      </c>
      <c r="Y132" s="141">
        <f t="shared" si="8"/>
        <v>686012.85914813681</v>
      </c>
      <c r="Z132" s="141">
        <f t="shared" si="13"/>
        <v>489365.39919712534</v>
      </c>
    </row>
    <row r="133" spans="1:26" ht="19.5" thickBot="1" x14ac:dyDescent="0.35">
      <c r="A133" s="142">
        <v>30</v>
      </c>
      <c r="B133" s="143" t="s">
        <v>532</v>
      </c>
      <c r="C133" s="142">
        <v>2</v>
      </c>
      <c r="D133" s="143" t="s">
        <v>188</v>
      </c>
      <c r="E133" s="142">
        <v>408840</v>
      </c>
      <c r="F133" s="143" t="s">
        <v>195</v>
      </c>
      <c r="G133" s="144">
        <v>5.9904369278843319</v>
      </c>
      <c r="H133" s="145">
        <v>120.3306935416779</v>
      </c>
      <c r="I133" s="146">
        <v>0.74031410335477121</v>
      </c>
      <c r="J133" s="147">
        <v>0.94169575050297327</v>
      </c>
      <c r="K133" s="148">
        <v>182</v>
      </c>
      <c r="M133" s="138">
        <f t="shared" ref="M133:M196" si="14">I133</f>
        <v>0.74031410335477121</v>
      </c>
      <c r="N133" s="149"/>
      <c r="U133" s="141">
        <f t="shared" si="9"/>
        <v>27131949.325979352</v>
      </c>
      <c r="V133" s="141">
        <f t="shared" si="10"/>
        <v>4185109.9458217444</v>
      </c>
      <c r="W133" s="141">
        <f t="shared" si="11"/>
        <v>2636141.914970411</v>
      </c>
      <c r="X133" s="141">
        <f t="shared" si="12"/>
        <v>2055043.2682280045</v>
      </c>
      <c r="Y133" s="141">
        <f t="shared" si="8"/>
        <v>1050019.0281465203</v>
      </c>
      <c r="Z133" s="141">
        <f t="shared" si="13"/>
        <v>447312.75310914079</v>
      </c>
    </row>
    <row r="134" spans="1:26" ht="19.5" thickBot="1" x14ac:dyDescent="0.35">
      <c r="A134" s="142">
        <v>30</v>
      </c>
      <c r="B134" s="143" t="s">
        <v>532</v>
      </c>
      <c r="C134" s="142">
        <v>2</v>
      </c>
      <c r="D134" s="143" t="s">
        <v>188</v>
      </c>
      <c r="E134" s="142">
        <v>408862</v>
      </c>
      <c r="F134" s="143" t="s">
        <v>196</v>
      </c>
      <c r="G134" s="144">
        <v>3.8731675345588394</v>
      </c>
      <c r="H134" s="145">
        <v>70.078073096033947</v>
      </c>
      <c r="I134" s="146">
        <v>0.22174723792262346</v>
      </c>
      <c r="J134" s="147">
        <v>0.98253605297193503</v>
      </c>
      <c r="K134" s="148">
        <v>282</v>
      </c>
      <c r="M134" s="138">
        <f t="shared" si="14"/>
        <v>0.22174723792262346</v>
      </c>
      <c r="N134" s="149"/>
      <c r="U134" s="141">
        <f t="shared" si="9"/>
        <v>18303184.80882543</v>
      </c>
      <c r="V134" s="141">
        <f t="shared" si="10"/>
        <v>3466712.2146048588</v>
      </c>
      <c r="W134" s="141">
        <f t="shared" si="11"/>
        <v>2465213.8662562086</v>
      </c>
      <c r="X134" s="141">
        <f t="shared" si="12"/>
        <v>2089499.6337163041</v>
      </c>
      <c r="Y134" s="141">
        <f t="shared" ref="Y134:Y197" si="15">((((($R$5-$M134)))/0.003)*G134*1000)+(((((($R$5/$O$2)-($M134/$O$2))))/0.003)*G134*1000)*$O$3</f>
        <v>1439692.7323183704</v>
      </c>
      <c r="Z134" s="141">
        <f t="shared" si="13"/>
        <v>1050007.905409741</v>
      </c>
    </row>
    <row r="135" spans="1:26" ht="19.5" thickBot="1" x14ac:dyDescent="0.35">
      <c r="A135" s="142">
        <v>30</v>
      </c>
      <c r="B135" s="143" t="s">
        <v>532</v>
      </c>
      <c r="C135" s="142">
        <v>2</v>
      </c>
      <c r="D135" s="143" t="s">
        <v>188</v>
      </c>
      <c r="E135" s="142">
        <v>508860</v>
      </c>
      <c r="F135" s="143" t="s">
        <v>197</v>
      </c>
      <c r="G135" s="144">
        <v>2.780643064148463</v>
      </c>
      <c r="H135" s="145">
        <v>91.654057975271556</v>
      </c>
      <c r="I135" s="146">
        <v>0.70571480123463548</v>
      </c>
      <c r="J135" s="147">
        <v>0.94442065650448537</v>
      </c>
      <c r="K135" s="148">
        <v>195</v>
      </c>
      <c r="M135" s="138">
        <f t="shared" si="14"/>
        <v>0.70571480123463548</v>
      </c>
      <c r="N135" s="149"/>
      <c r="U135" s="141">
        <f t="shared" ref="U135:U198" si="16">((((($N$5-$M135)))/0.003)*G135*1000)+(((((($N$5/$O$2)-($M135/$O$2))))/0.003)*G135*1000)*$O$3</f>
        <v>12630560.068840509</v>
      </c>
      <c r="V135" s="141">
        <f t="shared" ref="V135:V198" si="17">((((($O$5-$M135)))/0.003)*G135*1000)+(((((($O$5/$O$2)-($M135/$O$2))))/0.003)*G135*1000)*$O$3</f>
        <v>1979088.308983576</v>
      </c>
      <c r="W135" s="141">
        <f t="shared" ref="W135:W198" si="18">((((($P$5-$M135)))/0.003)*G135*1000)+(((((($P$5/$O$2)-($M135/$O$2))))/0.003)*G135*1000)*$O$3</f>
        <v>1260087.7980983653</v>
      </c>
      <c r="X135" s="141">
        <f t="shared" ref="X135:X198" si="19">((((($Q$5-$M135)))/0.003)*G135*1000)+(((((($Q$5/$O$2)-($M135/$O$2))))/0.003)*G135*1000)*$O$3</f>
        <v>990353.22930106102</v>
      </c>
      <c r="Y135" s="141">
        <f t="shared" si="15"/>
        <v>523840.73344699916</v>
      </c>
      <c r="Z135" s="141">
        <f t="shared" ref="Z135:Z198" si="20">((((($S$5-$M135)))/0.003)*G135*1000)+(((((($S$5/$O$2)-($M135/$O$2))))/0.003)*G135*1000)*$O$3</f>
        <v>244076.32834986813</v>
      </c>
    </row>
    <row r="136" spans="1:26" ht="19.5" thickBot="1" x14ac:dyDescent="0.35">
      <c r="A136" s="142">
        <v>30</v>
      </c>
      <c r="B136" s="143" t="s">
        <v>532</v>
      </c>
      <c r="C136" s="142">
        <v>2</v>
      </c>
      <c r="D136" s="143" t="s">
        <v>188</v>
      </c>
      <c r="E136" s="142">
        <v>408806</v>
      </c>
      <c r="F136" s="143" t="s">
        <v>535</v>
      </c>
      <c r="G136" s="144">
        <v>8.6991771745688098</v>
      </c>
      <c r="H136" s="145">
        <v>344.7461635644467</v>
      </c>
      <c r="I136" s="146">
        <v>2.2245917152801549</v>
      </c>
      <c r="J136" s="147">
        <v>0.82479983859694639</v>
      </c>
      <c r="K136" s="148">
        <v>17</v>
      </c>
      <c r="M136" s="138">
        <f t="shared" si="14"/>
        <v>2.2245917152801549</v>
      </c>
      <c r="N136" s="149"/>
      <c r="U136" s="141">
        <f t="shared" si="16"/>
        <v>34509497.074826434</v>
      </c>
      <c r="V136" s="141">
        <f t="shared" si="17"/>
        <v>1186615.3272234397</v>
      </c>
      <c r="W136" s="141">
        <f t="shared" si="18"/>
        <v>-1062761.053887656</v>
      </c>
      <c r="X136" s="141">
        <f t="shared" si="19"/>
        <v>-1906619.3808794545</v>
      </c>
      <c r="Y136" s="141">
        <f t="shared" si="15"/>
        <v>-3366092.877463446</v>
      </c>
      <c r="Z136" s="141">
        <f t="shared" si="20"/>
        <v>-4241329.3141195402</v>
      </c>
    </row>
    <row r="137" spans="1:26" ht="19.5" thickBot="1" x14ac:dyDescent="0.35">
      <c r="A137" s="142">
        <v>30</v>
      </c>
      <c r="B137" s="143" t="s">
        <v>532</v>
      </c>
      <c r="C137" s="142">
        <v>2</v>
      </c>
      <c r="D137" s="143" t="s">
        <v>188</v>
      </c>
      <c r="E137" s="142">
        <v>508833</v>
      </c>
      <c r="F137" s="143" t="s">
        <v>199</v>
      </c>
      <c r="G137" s="144">
        <v>2.9260884420239259</v>
      </c>
      <c r="H137" s="145">
        <v>72.224876102453749</v>
      </c>
      <c r="I137" s="146">
        <v>0.24450411180160422</v>
      </c>
      <c r="J137" s="147">
        <v>0.98074381040030234</v>
      </c>
      <c r="K137" s="148">
        <v>279</v>
      </c>
      <c r="M137" s="138">
        <f t="shared" si="14"/>
        <v>0.24450411180160422</v>
      </c>
      <c r="N137" s="149"/>
      <c r="U137" s="141">
        <f t="shared" si="16"/>
        <v>13802409.598360492</v>
      </c>
      <c r="V137" s="141">
        <f t="shared" si="17"/>
        <v>2593797.8894692771</v>
      </c>
      <c r="W137" s="141">
        <f t="shared" si="18"/>
        <v>1837189.0633181962</v>
      </c>
      <c r="X137" s="141">
        <f t="shared" si="19"/>
        <v>1553345.6551698002</v>
      </c>
      <c r="Y137" s="141">
        <f t="shared" si="15"/>
        <v>1062431.5785742351</v>
      </c>
      <c r="Z137" s="141">
        <f t="shared" si="20"/>
        <v>768033.70967871568</v>
      </c>
    </row>
    <row r="138" spans="1:26" ht="19.5" thickBot="1" x14ac:dyDescent="0.35">
      <c r="A138" s="142">
        <v>30</v>
      </c>
      <c r="B138" s="143" t="s">
        <v>532</v>
      </c>
      <c r="C138" s="142">
        <v>2</v>
      </c>
      <c r="D138" s="143" t="s">
        <v>188</v>
      </c>
      <c r="E138" s="142">
        <v>508820</v>
      </c>
      <c r="F138" s="143" t="s">
        <v>200</v>
      </c>
      <c r="G138" s="144">
        <v>2.846087604152121</v>
      </c>
      <c r="H138" s="145">
        <v>151.06765234589011</v>
      </c>
      <c r="I138" s="146">
        <v>0.60677381668456076</v>
      </c>
      <c r="J138" s="147">
        <v>0.95221286230273761</v>
      </c>
      <c r="K138" s="148">
        <v>212</v>
      </c>
      <c r="M138" s="138">
        <f t="shared" si="14"/>
        <v>0.60677381668456076</v>
      </c>
      <c r="N138" s="149"/>
      <c r="U138" s="141">
        <f t="shared" si="16"/>
        <v>13034494.526611146</v>
      </c>
      <c r="V138" s="141">
        <f t="shared" si="17"/>
        <v>2132332.3136452101</v>
      </c>
      <c r="W138" s="141">
        <f t="shared" si="18"/>
        <v>1396409.5813127502</v>
      </c>
      <c r="X138" s="141">
        <f t="shared" si="19"/>
        <v>1120326.6051971444</v>
      </c>
      <c r="Y138" s="141">
        <f t="shared" si="15"/>
        <v>642834.38451224484</v>
      </c>
      <c r="Z138" s="141">
        <f t="shared" si="20"/>
        <v>356485.51230495423</v>
      </c>
    </row>
    <row r="139" spans="1:26" ht="19.5" thickBot="1" x14ac:dyDescent="0.35">
      <c r="A139" s="142">
        <v>30</v>
      </c>
      <c r="B139" s="143" t="s">
        <v>532</v>
      </c>
      <c r="C139" s="142">
        <v>2</v>
      </c>
      <c r="D139" s="143" t="s">
        <v>188</v>
      </c>
      <c r="E139" s="142">
        <v>408814</v>
      </c>
      <c r="F139" s="143" t="s">
        <v>201</v>
      </c>
      <c r="G139" s="144">
        <v>0.62457229747552401</v>
      </c>
      <c r="H139" s="145">
        <v>250.21821161724571</v>
      </c>
      <c r="I139" s="146">
        <v>2.6397846279190942</v>
      </c>
      <c r="J139" s="147">
        <v>0.79210086520416567</v>
      </c>
      <c r="K139" s="148">
        <v>9</v>
      </c>
      <c r="M139" s="138">
        <f t="shared" si="14"/>
        <v>2.6397846279190942</v>
      </c>
      <c r="N139" s="149"/>
      <c r="U139" s="141">
        <f t="shared" si="16"/>
        <v>2379441.8285036893</v>
      </c>
      <c r="V139" s="141">
        <f t="shared" si="17"/>
        <v>-13031.435801014271</v>
      </c>
      <c r="W139" s="141">
        <f t="shared" si="18"/>
        <v>-174529.25864623903</v>
      </c>
      <c r="X139" s="141">
        <f t="shared" si="19"/>
        <v>-235115.50990387527</v>
      </c>
      <c r="Y139" s="141">
        <f t="shared" si="15"/>
        <v>-339900.90472614847</v>
      </c>
      <c r="Z139" s="141">
        <f t="shared" si="20"/>
        <v>-402740.00101156044</v>
      </c>
    </row>
    <row r="140" spans="1:26" ht="19.5" thickBot="1" x14ac:dyDescent="0.35">
      <c r="A140" s="142">
        <v>30</v>
      </c>
      <c r="B140" s="143" t="s">
        <v>532</v>
      </c>
      <c r="C140" s="142">
        <v>11</v>
      </c>
      <c r="D140" s="143" t="s">
        <v>202</v>
      </c>
      <c r="E140" s="142">
        <v>551367</v>
      </c>
      <c r="F140" s="143" t="s">
        <v>203</v>
      </c>
      <c r="G140" s="144">
        <v>2.7066750453847233</v>
      </c>
      <c r="H140" s="145">
        <v>193.33175576147548</v>
      </c>
      <c r="I140" s="146">
        <v>0.77724551012771281</v>
      </c>
      <c r="J140" s="147">
        <v>0.93878717704069803</v>
      </c>
      <c r="K140" s="148">
        <v>177</v>
      </c>
      <c r="M140" s="138">
        <f t="shared" si="14"/>
        <v>0.77724551012771281</v>
      </c>
      <c r="N140" s="149"/>
      <c r="U140" s="141">
        <f t="shared" si="16"/>
        <v>12221236.671126269</v>
      </c>
      <c r="V140" s="141">
        <f t="shared" si="17"/>
        <v>1853105.2195428899</v>
      </c>
      <c r="W140" s="141">
        <f t="shared" si="18"/>
        <v>1153230.8755382828</v>
      </c>
      <c r="X140" s="141">
        <f t="shared" si="19"/>
        <v>890671.52886972646</v>
      </c>
      <c r="Y140" s="141">
        <f t="shared" si="15"/>
        <v>436568.75416677527</v>
      </c>
      <c r="Z140" s="141">
        <f t="shared" si="20"/>
        <v>164246.37535214666</v>
      </c>
    </row>
    <row r="141" spans="1:26" ht="19.5" thickBot="1" x14ac:dyDescent="0.35">
      <c r="A141" s="142">
        <v>30</v>
      </c>
      <c r="B141" s="143" t="s">
        <v>532</v>
      </c>
      <c r="C141" s="142">
        <v>11</v>
      </c>
      <c r="D141" s="143" t="s">
        <v>202</v>
      </c>
      <c r="E141" s="142">
        <v>551340</v>
      </c>
      <c r="F141" s="143" t="s">
        <v>204</v>
      </c>
      <c r="G141" s="144">
        <v>2.9894179894179898</v>
      </c>
      <c r="H141" s="145">
        <v>263.31388510619468</v>
      </c>
      <c r="I141" s="146">
        <v>1.2667805400265486</v>
      </c>
      <c r="J141" s="147">
        <v>0.90023330863346829</v>
      </c>
      <c r="K141" s="148">
        <v>92</v>
      </c>
      <c r="M141" s="138">
        <f t="shared" si="14"/>
        <v>1.2667805400265486</v>
      </c>
      <c r="N141" s="149"/>
      <c r="U141" s="141">
        <f t="shared" si="16"/>
        <v>12943556.034038588</v>
      </c>
      <c r="V141" s="141">
        <f t="shared" si="17"/>
        <v>1492355.5174253124</v>
      </c>
      <c r="W141" s="141">
        <f t="shared" si="18"/>
        <v>719371.35079362791</v>
      </c>
      <c r="X141" s="141">
        <f t="shared" si="19"/>
        <v>429384.69888312806</v>
      </c>
      <c r="Y141" s="141">
        <f t="shared" si="15"/>
        <v>-72154.267183880263</v>
      </c>
      <c r="Z141" s="141">
        <f t="shared" si="20"/>
        <v>-372923.81081184029</v>
      </c>
    </row>
    <row r="142" spans="1:26" ht="19.5" thickBot="1" x14ac:dyDescent="0.35">
      <c r="A142" s="142">
        <v>30</v>
      </c>
      <c r="B142" s="143" t="s">
        <v>532</v>
      </c>
      <c r="C142" s="142">
        <v>11</v>
      </c>
      <c r="D142" s="143" t="s">
        <v>202</v>
      </c>
      <c r="E142" s="142">
        <v>551369</v>
      </c>
      <c r="F142" s="143" t="s">
        <v>205</v>
      </c>
      <c r="G142" s="144">
        <v>2.9247757073844021</v>
      </c>
      <c r="H142" s="145">
        <v>196.48148483629075</v>
      </c>
      <c r="I142" s="146">
        <v>0.93744591234039676</v>
      </c>
      <c r="J142" s="147">
        <v>0.92617041858937843</v>
      </c>
      <c r="K142" s="148">
        <v>150</v>
      </c>
      <c r="M142" s="138">
        <f t="shared" si="14"/>
        <v>0.93744591234039676</v>
      </c>
      <c r="N142" s="149"/>
      <c r="U142" s="141">
        <f t="shared" si="16"/>
        <v>13028528.260671664</v>
      </c>
      <c r="V142" s="141">
        <f t="shared" si="17"/>
        <v>1824945.0849716929</v>
      </c>
      <c r="W142" s="141">
        <f t="shared" si="18"/>
        <v>1068675.6971644415</v>
      </c>
      <c r="X142" s="141">
        <f t="shared" si="19"/>
        <v>784959.63003169082</v>
      </c>
      <c r="Y142" s="141">
        <f t="shared" si="15"/>
        <v>294265.79281922907</v>
      </c>
      <c r="Z142" s="141">
        <f t="shared" si="20"/>
        <v>0</v>
      </c>
    </row>
    <row r="143" spans="1:26" ht="19.5" thickBot="1" x14ac:dyDescent="0.35">
      <c r="A143" s="142">
        <v>30</v>
      </c>
      <c r="B143" s="143" t="s">
        <v>532</v>
      </c>
      <c r="C143" s="142">
        <v>11</v>
      </c>
      <c r="D143" s="143" t="s">
        <v>202</v>
      </c>
      <c r="E143" s="142">
        <v>551365</v>
      </c>
      <c r="F143" s="143" t="s">
        <v>206</v>
      </c>
      <c r="G143" s="144">
        <v>2.668153180775902</v>
      </c>
      <c r="H143" s="145">
        <v>122.41163122314461</v>
      </c>
      <c r="I143" s="146">
        <v>0.94684687623719554</v>
      </c>
      <c r="J143" s="147">
        <v>0.92543003536276203</v>
      </c>
      <c r="K143" s="148">
        <v>143</v>
      </c>
      <c r="M143" s="138">
        <f t="shared" si="14"/>
        <v>0.94684687623719554</v>
      </c>
      <c r="N143" s="149"/>
      <c r="U143" s="141">
        <f t="shared" si="16"/>
        <v>11875891.920345351</v>
      </c>
      <c r="V143" s="141">
        <f t="shared" si="17"/>
        <v>1655321.4981900873</v>
      </c>
      <c r="W143" s="141">
        <f t="shared" si="18"/>
        <v>965407.88617985242</v>
      </c>
      <c r="X143" s="141">
        <f t="shared" si="19"/>
        <v>706585.32927532541</v>
      </c>
      <c r="Y143" s="141">
        <f t="shared" si="15"/>
        <v>258945.42333655216</v>
      </c>
      <c r="Z143" s="141">
        <f t="shared" si="20"/>
        <v>-9501.2165619708776</v>
      </c>
    </row>
    <row r="144" spans="1:26" ht="19.5" thickBot="1" x14ac:dyDescent="0.35">
      <c r="A144" s="142">
        <v>30</v>
      </c>
      <c r="B144" s="143" t="s">
        <v>532</v>
      </c>
      <c r="C144" s="142">
        <v>11</v>
      </c>
      <c r="D144" s="143" t="s">
        <v>202</v>
      </c>
      <c r="E144" s="142">
        <v>451370</v>
      </c>
      <c r="F144" s="143" t="s">
        <v>536</v>
      </c>
      <c r="G144" s="144">
        <v>10.628939992255416</v>
      </c>
      <c r="H144" s="145">
        <v>258.18361130550409</v>
      </c>
      <c r="I144" s="146">
        <v>1.8091130516016487</v>
      </c>
      <c r="J144" s="147">
        <v>0.85752131662637987</v>
      </c>
      <c r="K144" s="148">
        <v>38</v>
      </c>
      <c r="M144" s="138">
        <f t="shared" si="14"/>
        <v>1.8091130516016487</v>
      </c>
      <c r="N144" s="149"/>
      <c r="U144" s="141">
        <f t="shared" si="16"/>
        <v>43837599.699603468</v>
      </c>
      <c r="V144" s="141">
        <f t="shared" si="17"/>
        <v>3122609.838294955</v>
      </c>
      <c r="W144" s="141">
        <f t="shared" si="18"/>
        <v>374247.99957754218</v>
      </c>
      <c r="X144" s="141">
        <f t="shared" si="19"/>
        <v>-656805.78166763135</v>
      </c>
      <c r="Y144" s="141">
        <f t="shared" si="15"/>
        <v>-2440038.3684033249</v>
      </c>
      <c r="Z144" s="141">
        <f t="shared" si="20"/>
        <v>-3509430.9531927239</v>
      </c>
    </row>
    <row r="145" spans="1:26" ht="19.5" thickBot="1" x14ac:dyDescent="0.35">
      <c r="A145" s="142">
        <v>30</v>
      </c>
      <c r="B145" s="143" t="s">
        <v>532</v>
      </c>
      <c r="C145" s="142">
        <v>11</v>
      </c>
      <c r="D145" s="143" t="s">
        <v>202</v>
      </c>
      <c r="E145" s="142">
        <v>551314</v>
      </c>
      <c r="F145" s="143" t="s">
        <v>208</v>
      </c>
      <c r="G145" s="144">
        <v>2.3655582742539263</v>
      </c>
      <c r="H145" s="145">
        <v>48.620536991959959</v>
      </c>
      <c r="I145" s="146">
        <v>0.17681845562308945</v>
      </c>
      <c r="J145" s="147">
        <v>0.98607446851868596</v>
      </c>
      <c r="K145" s="148">
        <v>288</v>
      </c>
      <c r="M145" s="138">
        <f t="shared" si="14"/>
        <v>0.17681845562308945</v>
      </c>
      <c r="N145" s="149"/>
      <c r="U145" s="141">
        <f t="shared" si="16"/>
        <v>11219028.519206792</v>
      </c>
      <c r="V145" s="141">
        <f t="shared" si="17"/>
        <v>2157571.6643595281</v>
      </c>
      <c r="W145" s="141">
        <f t="shared" si="18"/>
        <v>1545901.0656959885</v>
      </c>
      <c r="X145" s="141">
        <f t="shared" si="19"/>
        <v>1316431.5414346354</v>
      </c>
      <c r="Y145" s="141">
        <f t="shared" si="15"/>
        <v>919558.41922814376</v>
      </c>
      <c r="Z145" s="141">
        <f t="shared" si="20"/>
        <v>681556.27797816147</v>
      </c>
    </row>
    <row r="146" spans="1:26" ht="19.5" thickBot="1" x14ac:dyDescent="0.35">
      <c r="A146" s="142">
        <v>30</v>
      </c>
      <c r="B146" s="143" t="s">
        <v>532</v>
      </c>
      <c r="C146" s="142">
        <v>11</v>
      </c>
      <c r="D146" s="143" t="s">
        <v>202</v>
      </c>
      <c r="E146" s="142">
        <v>451361</v>
      </c>
      <c r="F146" s="143" t="s">
        <v>209</v>
      </c>
      <c r="G146" s="144">
        <v>1.8899021605893966</v>
      </c>
      <c r="H146" s="145">
        <v>127.83991903826998</v>
      </c>
      <c r="I146" s="146">
        <v>0.38388208274958591</v>
      </c>
      <c r="J146" s="147">
        <v>0.96976694537001906</v>
      </c>
      <c r="K146" s="148">
        <v>253</v>
      </c>
      <c r="M146" s="138">
        <f t="shared" si="14"/>
        <v>0.38388208274958591</v>
      </c>
      <c r="N146" s="149"/>
      <c r="U146" s="141">
        <f t="shared" si="16"/>
        <v>8814924.2639771812</v>
      </c>
      <c r="V146" s="141">
        <f t="shared" si="17"/>
        <v>1575505.5295287219</v>
      </c>
      <c r="W146" s="141">
        <f t="shared" si="18"/>
        <v>1086826.9801288669</v>
      </c>
      <c r="X146" s="141">
        <f t="shared" si="19"/>
        <v>903498.18438075588</v>
      </c>
      <c r="Y146" s="141">
        <f t="shared" si="15"/>
        <v>586426.57413920853</v>
      </c>
      <c r="Z146" s="141">
        <f t="shared" si="20"/>
        <v>396280.86271508108</v>
      </c>
    </row>
    <row r="147" spans="1:26" ht="19.5" thickBot="1" x14ac:dyDescent="0.35">
      <c r="A147" s="142">
        <v>30</v>
      </c>
      <c r="B147" s="143" t="s">
        <v>532</v>
      </c>
      <c r="C147" s="142">
        <v>11</v>
      </c>
      <c r="D147" s="143" t="s">
        <v>202</v>
      </c>
      <c r="E147" s="142">
        <v>451350</v>
      </c>
      <c r="F147" s="143" t="s">
        <v>210</v>
      </c>
      <c r="G147" s="144">
        <v>8.0221390946569269</v>
      </c>
      <c r="H147" s="145">
        <v>188.21802197442111</v>
      </c>
      <c r="I147" s="146">
        <v>0.94226123706014642</v>
      </c>
      <c r="J147" s="147">
        <v>0.92579118240760483</v>
      </c>
      <c r="K147" s="148">
        <v>146</v>
      </c>
      <c r="M147" s="138">
        <f t="shared" si="14"/>
        <v>0.94226123706014642</v>
      </c>
      <c r="N147" s="149"/>
      <c r="U147" s="141">
        <f t="shared" si="16"/>
        <v>35720301.396443397</v>
      </c>
      <c r="V147" s="141">
        <f t="shared" si="17"/>
        <v>4990867.2155231815</v>
      </c>
      <c r="W147" s="141">
        <f t="shared" si="18"/>
        <v>2916554.9163943091</v>
      </c>
      <c r="X147" s="141">
        <f t="shared" si="19"/>
        <v>2138372.2515897793</v>
      </c>
      <c r="Y147" s="141">
        <f t="shared" si="15"/>
        <v>792486.40978975734</v>
      </c>
      <c r="Z147" s="141">
        <f t="shared" si="20"/>
        <v>-14632.274502943845</v>
      </c>
    </row>
    <row r="148" spans="1:26" ht="19.5" thickBot="1" x14ac:dyDescent="0.35">
      <c r="A148" s="142">
        <v>30</v>
      </c>
      <c r="B148" s="143" t="s">
        <v>532</v>
      </c>
      <c r="C148" s="142">
        <v>11</v>
      </c>
      <c r="D148" s="143" t="s">
        <v>202</v>
      </c>
      <c r="E148" s="142">
        <v>551310</v>
      </c>
      <c r="F148" s="143" t="s">
        <v>211</v>
      </c>
      <c r="G148" s="144">
        <v>3.6958525562848132</v>
      </c>
      <c r="H148" s="145">
        <v>140.65513607570969</v>
      </c>
      <c r="I148" s="146">
        <v>0.68407106456688616</v>
      </c>
      <c r="J148" s="147">
        <v>0.94612523273369109</v>
      </c>
      <c r="K148" s="148">
        <v>202</v>
      </c>
      <c r="M148" s="138">
        <f t="shared" si="14"/>
        <v>0.68407106456688616</v>
      </c>
      <c r="N148" s="149"/>
      <c r="U148" s="141">
        <f t="shared" si="16"/>
        <v>16818031.00447857</v>
      </c>
      <c r="V148" s="141">
        <f t="shared" si="17"/>
        <v>2660777.3679287974</v>
      </c>
      <c r="W148" s="141">
        <f t="shared" si="18"/>
        <v>1705127.9678361739</v>
      </c>
      <c r="X148" s="141">
        <f t="shared" si="19"/>
        <v>1346614.0656165134</v>
      </c>
      <c r="Y148" s="141">
        <f t="shared" si="15"/>
        <v>726555.55376682885</v>
      </c>
      <c r="Z148" s="141">
        <f t="shared" si="20"/>
        <v>354710.63592500181</v>
      </c>
    </row>
    <row r="149" spans="1:26" ht="19.5" thickBot="1" x14ac:dyDescent="0.35">
      <c r="A149" s="142">
        <v>30</v>
      </c>
      <c r="B149" s="143" t="s">
        <v>532</v>
      </c>
      <c r="C149" s="142">
        <v>11</v>
      </c>
      <c r="D149" s="143" t="s">
        <v>202</v>
      </c>
      <c r="E149" s="142">
        <v>551309</v>
      </c>
      <c r="F149" s="143" t="s">
        <v>212</v>
      </c>
      <c r="G149" s="144">
        <v>2.8061909416748136</v>
      </c>
      <c r="H149" s="145">
        <v>120.52826159368105</v>
      </c>
      <c r="I149" s="146">
        <v>0.50480537039099183</v>
      </c>
      <c r="J149" s="147">
        <v>0.96024349917238994</v>
      </c>
      <c r="K149" s="148">
        <v>233</v>
      </c>
      <c r="M149" s="138">
        <f t="shared" si="14"/>
        <v>0.50480537039099183</v>
      </c>
      <c r="N149" s="149"/>
      <c r="U149" s="141">
        <f t="shared" si="16"/>
        <v>12960163.510482129</v>
      </c>
      <c r="V149" s="141">
        <f t="shared" si="17"/>
        <v>2210828.5982110118</v>
      </c>
      <c r="W149" s="141">
        <f t="shared" si="18"/>
        <v>1485222.0841208901</v>
      </c>
      <c r="X149" s="141">
        <f t="shared" si="19"/>
        <v>1213009.2591902814</v>
      </c>
      <c r="Y149" s="141">
        <f t="shared" si="15"/>
        <v>742210.55909006519</v>
      </c>
      <c r="Z149" s="141">
        <f t="shared" si="20"/>
        <v>459875.74614382669</v>
      </c>
    </row>
    <row r="150" spans="1:26" ht="19.5" thickBot="1" x14ac:dyDescent="0.35">
      <c r="A150" s="142">
        <v>30</v>
      </c>
      <c r="B150" s="143" t="s">
        <v>532</v>
      </c>
      <c r="C150" s="142">
        <v>11</v>
      </c>
      <c r="D150" s="143" t="s">
        <v>202</v>
      </c>
      <c r="E150" s="142">
        <v>551305</v>
      </c>
      <c r="F150" s="143" t="s">
        <v>213</v>
      </c>
      <c r="G150" s="144">
        <v>3.7250110427726142</v>
      </c>
      <c r="H150" s="145">
        <v>56.652261812605289</v>
      </c>
      <c r="I150" s="146">
        <v>0.17150859560257109</v>
      </c>
      <c r="J150" s="147">
        <v>0.98649265237068573</v>
      </c>
      <c r="K150" s="148">
        <v>289</v>
      </c>
      <c r="M150" s="138">
        <f t="shared" si="14"/>
        <v>0.17150859560257109</v>
      </c>
      <c r="N150" s="149"/>
      <c r="U150" s="141">
        <f t="shared" si="16"/>
        <v>17673937.14444983</v>
      </c>
      <c r="V150" s="141">
        <f t="shared" si="17"/>
        <v>3404989.6341377669</v>
      </c>
      <c r="W150" s="141">
        <f t="shared" si="18"/>
        <v>2441800.6231717896</v>
      </c>
      <c r="X150" s="141">
        <f t="shared" si="19"/>
        <v>2080458.2199190503</v>
      </c>
      <c r="Y150" s="141">
        <f t="shared" si="15"/>
        <v>1455507.7467521671</v>
      </c>
      <c r="Z150" s="141">
        <f t="shared" si="20"/>
        <v>1080729.152621222</v>
      </c>
    </row>
    <row r="151" spans="1:26" ht="19.5" thickBot="1" x14ac:dyDescent="0.35">
      <c r="A151" s="142">
        <v>30</v>
      </c>
      <c r="B151" s="143" t="s">
        <v>532</v>
      </c>
      <c r="C151" s="142">
        <v>11</v>
      </c>
      <c r="D151" s="143" t="s">
        <v>202</v>
      </c>
      <c r="E151" s="142">
        <v>451301</v>
      </c>
      <c r="F151" s="143" t="s">
        <v>214</v>
      </c>
      <c r="G151" s="144">
        <v>7.9314378250547959</v>
      </c>
      <c r="H151" s="145">
        <v>219.01557084676489</v>
      </c>
      <c r="I151" s="146">
        <v>1.3910490083333378</v>
      </c>
      <c r="J151" s="147">
        <v>0.89044640906213812</v>
      </c>
      <c r="K151" s="148">
        <v>77</v>
      </c>
      <c r="M151" s="138">
        <f t="shared" si="14"/>
        <v>1.3910490083333378</v>
      </c>
      <c r="N151" s="149"/>
      <c r="U151" s="141">
        <f t="shared" si="16"/>
        <v>33968126.775465734</v>
      </c>
      <c r="V151" s="141">
        <f t="shared" si="17"/>
        <v>3586130.9350526016</v>
      </c>
      <c r="W151" s="141">
        <f t="shared" si="18"/>
        <v>1535271.5774474705</v>
      </c>
      <c r="X151" s="141">
        <f t="shared" si="19"/>
        <v>765887.33346902055</v>
      </c>
      <c r="Y151" s="141">
        <f t="shared" si="15"/>
        <v>-564781.42556163156</v>
      </c>
      <c r="Z151" s="141">
        <f t="shared" si="20"/>
        <v>-1362774.5276971115</v>
      </c>
    </row>
    <row r="152" spans="1:26" ht="19.5" thickBot="1" x14ac:dyDescent="0.35">
      <c r="A152" s="142">
        <v>30</v>
      </c>
      <c r="B152" s="143" t="s">
        <v>532</v>
      </c>
      <c r="C152" s="142">
        <v>11</v>
      </c>
      <c r="D152" s="143" t="s">
        <v>202</v>
      </c>
      <c r="E152" s="142">
        <v>551341</v>
      </c>
      <c r="F152" s="143" t="s">
        <v>215</v>
      </c>
      <c r="G152" s="144">
        <v>4.0442520442520431</v>
      </c>
      <c r="H152" s="145">
        <v>96.148409358575194</v>
      </c>
      <c r="I152" s="146">
        <v>0.33922363598723843</v>
      </c>
      <c r="J152" s="147">
        <v>0.97328407034492159</v>
      </c>
      <c r="K152" s="148">
        <v>262</v>
      </c>
      <c r="M152" s="138">
        <f t="shared" si="14"/>
        <v>0.33922363598723843</v>
      </c>
      <c r="N152" s="149"/>
      <c r="U152" s="141">
        <f t="shared" si="16"/>
        <v>18931704.444028929</v>
      </c>
      <c r="V152" s="141">
        <f t="shared" si="17"/>
        <v>3439879.1916259676</v>
      </c>
      <c r="W152" s="141">
        <f t="shared" si="18"/>
        <v>2394142.9288682523</v>
      </c>
      <c r="X152" s="141">
        <f t="shared" si="19"/>
        <v>2001832.7487775874</v>
      </c>
      <c r="Y152" s="141">
        <f t="shared" si="15"/>
        <v>1323322.7525279648</v>
      </c>
      <c r="Z152" s="141">
        <f t="shared" si="20"/>
        <v>916424.8727493831</v>
      </c>
    </row>
    <row r="153" spans="1:26" ht="19.5" thickBot="1" x14ac:dyDescent="0.35">
      <c r="A153" s="142">
        <v>30</v>
      </c>
      <c r="B153" s="143" t="s">
        <v>532</v>
      </c>
      <c r="C153" s="142">
        <v>11</v>
      </c>
      <c r="D153" s="143" t="s">
        <v>202</v>
      </c>
      <c r="E153" s="142">
        <v>551306</v>
      </c>
      <c r="F153" s="143" t="s">
        <v>217</v>
      </c>
      <c r="G153" s="144">
        <v>4.911395056556346</v>
      </c>
      <c r="H153" s="145">
        <v>346.60926243705637</v>
      </c>
      <c r="I153" s="146">
        <v>3.1374474135469526</v>
      </c>
      <c r="J153" s="147">
        <v>0.7529068864765619</v>
      </c>
      <c r="K153" s="148">
        <v>5</v>
      </c>
      <c r="M153" s="138">
        <f t="shared" si="14"/>
        <v>3.1374474135469526</v>
      </c>
      <c r="N153" s="149"/>
      <c r="U153" s="141">
        <f t="shared" si="16"/>
        <v>17785170.170486979</v>
      </c>
      <c r="V153" s="141">
        <f t="shared" si="17"/>
        <v>-1028314.5305532934</v>
      </c>
      <c r="W153" s="141">
        <f t="shared" si="18"/>
        <v>-2298270.9662976004</v>
      </c>
      <c r="X153" s="141">
        <f t="shared" si="19"/>
        <v>-2774697.8205221044</v>
      </c>
      <c r="Y153" s="141">
        <f t="shared" si="15"/>
        <v>-3598689.6501462576</v>
      </c>
      <c r="Z153" s="141">
        <f t="shared" si="20"/>
        <v>-4092832.0066069765</v>
      </c>
    </row>
    <row r="154" spans="1:26" ht="19.5" thickBot="1" x14ac:dyDescent="0.35">
      <c r="A154" s="142">
        <v>30</v>
      </c>
      <c r="B154" s="143" t="s">
        <v>532</v>
      </c>
      <c r="C154" s="142">
        <v>11</v>
      </c>
      <c r="D154" s="143" t="s">
        <v>202</v>
      </c>
      <c r="E154" s="142">
        <v>551349</v>
      </c>
      <c r="F154" s="143" t="s">
        <v>218</v>
      </c>
      <c r="G154" s="144">
        <v>2.8078154285050836</v>
      </c>
      <c r="H154" s="145">
        <v>58.902952138864393</v>
      </c>
      <c r="I154" s="146">
        <v>0.2094989141480654</v>
      </c>
      <c r="J154" s="147">
        <v>0.98350068314990413</v>
      </c>
      <c r="K154" s="148">
        <v>285</v>
      </c>
      <c r="M154" s="138">
        <f t="shared" si="14"/>
        <v>0.2094989141480654</v>
      </c>
      <c r="N154" s="149"/>
      <c r="U154" s="141">
        <f t="shared" si="16"/>
        <v>13281744.109521169</v>
      </c>
      <c r="V154" s="141">
        <f t="shared" si="17"/>
        <v>2526186.4727947041</v>
      </c>
      <c r="W154" s="141">
        <f t="shared" si="18"/>
        <v>1800159.9095166982</v>
      </c>
      <c r="X154" s="141">
        <f t="shared" si="19"/>
        <v>1527789.5022410809</v>
      </c>
      <c r="Y154" s="141">
        <f t="shared" si="15"/>
        <v>1056718.2596432527</v>
      </c>
      <c r="Z154" s="141">
        <f t="shared" si="20"/>
        <v>774220.00479484466</v>
      </c>
    </row>
    <row r="155" spans="1:26" ht="19.5" thickBot="1" x14ac:dyDescent="0.35">
      <c r="A155" s="142">
        <v>30</v>
      </c>
      <c r="B155" s="143" t="s">
        <v>532</v>
      </c>
      <c r="C155" s="142">
        <v>11</v>
      </c>
      <c r="D155" s="143" t="s">
        <v>202</v>
      </c>
      <c r="E155" s="142">
        <v>451308</v>
      </c>
      <c r="F155" s="143" t="s">
        <v>219</v>
      </c>
      <c r="G155" s="144">
        <v>8.1451756454500952</v>
      </c>
      <c r="H155" s="145">
        <v>211.21914023561018</v>
      </c>
      <c r="I155" s="146">
        <v>1.0896518303638809</v>
      </c>
      <c r="J155" s="147">
        <v>0.91418327451208603</v>
      </c>
      <c r="K155" s="148">
        <v>120</v>
      </c>
      <c r="M155" s="138">
        <f t="shared" si="14"/>
        <v>1.0896518303638809</v>
      </c>
      <c r="N155" s="149"/>
      <c r="U155" s="141">
        <f t="shared" si="16"/>
        <v>35813404.842804141</v>
      </c>
      <c r="V155" s="141">
        <f t="shared" si="17"/>
        <v>4612669.485871613</v>
      </c>
      <c r="W155" s="141">
        <f t="shared" si="18"/>
        <v>2506543.1995329391</v>
      </c>
      <c r="X155" s="141">
        <f t="shared" si="19"/>
        <v>1716425.4498545562</v>
      </c>
      <c r="Y155" s="141">
        <f t="shared" si="15"/>
        <v>349897.58854047128</v>
      </c>
      <c r="Z155" s="141">
        <f t="shared" si="20"/>
        <v>-469599.97597661242</v>
      </c>
    </row>
    <row r="156" spans="1:26" ht="19.5" thickBot="1" x14ac:dyDescent="0.35">
      <c r="A156" s="142">
        <v>30</v>
      </c>
      <c r="B156" s="143" t="s">
        <v>532</v>
      </c>
      <c r="C156" s="142">
        <v>11</v>
      </c>
      <c r="D156" s="143" t="s">
        <v>202</v>
      </c>
      <c r="E156" s="142">
        <v>551307</v>
      </c>
      <c r="F156" s="143" t="s">
        <v>216</v>
      </c>
      <c r="G156" s="144">
        <v>2.8994516251467903</v>
      </c>
      <c r="H156" s="145">
        <v>124.31580449691126</v>
      </c>
      <c r="I156" s="146">
        <v>0.50677180519113196</v>
      </c>
      <c r="J156" s="147">
        <v>0.96008863044209358</v>
      </c>
      <c r="K156" s="148">
        <v>232</v>
      </c>
      <c r="M156" s="138">
        <f t="shared" si="14"/>
        <v>0.50677180519113196</v>
      </c>
      <c r="N156" s="149"/>
      <c r="U156" s="141">
        <f t="shared" si="16"/>
        <v>13388720.664410163</v>
      </c>
      <c r="V156" s="141">
        <f t="shared" si="17"/>
        <v>2282143.3756850534</v>
      </c>
      <c r="W156" s="141">
        <f t="shared" si="18"/>
        <v>1532422.1235595448</v>
      </c>
      <c r="X156" s="141">
        <f t="shared" si="19"/>
        <v>1251162.6034358731</v>
      </c>
      <c r="Y156" s="141">
        <f t="shared" si="15"/>
        <v>764717.42401131731</v>
      </c>
      <c r="Z156" s="141">
        <f t="shared" si="20"/>
        <v>472999.52268279495</v>
      </c>
    </row>
    <row r="157" spans="1:26" ht="19.5" thickBot="1" x14ac:dyDescent="0.35">
      <c r="A157" s="142">
        <v>30</v>
      </c>
      <c r="B157" s="143" t="s">
        <v>532</v>
      </c>
      <c r="C157" s="142">
        <v>11</v>
      </c>
      <c r="D157" s="143" t="s">
        <v>202</v>
      </c>
      <c r="E157" s="142">
        <v>451336</v>
      </c>
      <c r="F157" s="143" t="s">
        <v>220</v>
      </c>
      <c r="G157" s="144">
        <v>4.9912352884692046</v>
      </c>
      <c r="H157" s="145">
        <v>207.96538634393895</v>
      </c>
      <c r="I157" s="146">
        <v>1.0053033398148845</v>
      </c>
      <c r="J157" s="147">
        <v>0.92082623243410944</v>
      </c>
      <c r="K157" s="148">
        <v>133</v>
      </c>
      <c r="M157" s="138">
        <f t="shared" si="14"/>
        <v>1.0053033398148845</v>
      </c>
      <c r="N157" s="149"/>
      <c r="U157" s="141">
        <f t="shared" si="16"/>
        <v>22105361.055237453</v>
      </c>
      <c r="V157" s="141">
        <f t="shared" si="17"/>
        <v>2986042.0720180441</v>
      </c>
      <c r="W157" s="141">
        <f t="shared" si="18"/>
        <v>1695441.0708943543</v>
      </c>
      <c r="X157" s="141">
        <f t="shared" si="19"/>
        <v>1211269.3641192454</v>
      </c>
      <c r="Y157" s="141">
        <f t="shared" si="15"/>
        <v>373882.62367771287</v>
      </c>
      <c r="Z157" s="141">
        <f t="shared" si="20"/>
        <v>-128292.57068007691</v>
      </c>
    </row>
    <row r="158" spans="1:26" ht="19.5" thickBot="1" x14ac:dyDescent="0.35">
      <c r="A158" s="142">
        <v>110</v>
      </c>
      <c r="B158" s="143" t="s">
        <v>221</v>
      </c>
      <c r="C158" s="142">
        <v>26</v>
      </c>
      <c r="D158" s="143" t="s">
        <v>222</v>
      </c>
      <c r="E158" s="142">
        <v>554116</v>
      </c>
      <c r="F158" s="143" t="s">
        <v>223</v>
      </c>
      <c r="G158" s="144">
        <v>2.502116364877657</v>
      </c>
      <c r="H158" s="145">
        <v>161.94504333127324</v>
      </c>
      <c r="I158" s="146">
        <v>0.94503547979696734</v>
      </c>
      <c r="J158" s="147">
        <v>0.92557269387691232</v>
      </c>
      <c r="K158" s="148">
        <v>145</v>
      </c>
      <c r="M158" s="138">
        <f t="shared" si="14"/>
        <v>0.94503547979696734</v>
      </c>
      <c r="N158" s="149"/>
      <c r="U158" s="141">
        <f t="shared" si="16"/>
        <v>11138582.444707222</v>
      </c>
      <c r="V158" s="141">
        <f t="shared" si="17"/>
        <v>1554029.0930055201</v>
      </c>
      <c r="W158" s="141">
        <f t="shared" si="18"/>
        <v>907048.19573159795</v>
      </c>
      <c r="X158" s="141">
        <f t="shared" si="19"/>
        <v>664331.93794838781</v>
      </c>
      <c r="Y158" s="141">
        <f t="shared" si="15"/>
        <v>244548.26799582969</v>
      </c>
      <c r="Z158" s="141">
        <f t="shared" si="20"/>
        <v>-7193.1745967530869</v>
      </c>
    </row>
    <row r="159" spans="1:26" ht="19.5" thickBot="1" x14ac:dyDescent="0.35">
      <c r="A159" s="142">
        <v>110</v>
      </c>
      <c r="B159" s="143" t="s">
        <v>221</v>
      </c>
      <c r="C159" s="142">
        <v>26</v>
      </c>
      <c r="D159" s="143" t="s">
        <v>222</v>
      </c>
      <c r="E159" s="142">
        <v>454161</v>
      </c>
      <c r="F159" s="143" t="s">
        <v>224</v>
      </c>
      <c r="G159" s="144">
        <v>1.3746450681934557</v>
      </c>
      <c r="H159" s="145">
        <v>254.30989155580508</v>
      </c>
      <c r="I159" s="146">
        <v>1.4885977420696805</v>
      </c>
      <c r="J159" s="147">
        <v>0.88276385150432657</v>
      </c>
      <c r="K159" s="148">
        <v>65</v>
      </c>
      <c r="M159" s="138">
        <f t="shared" si="14"/>
        <v>1.4885977420696805</v>
      </c>
      <c r="N159" s="149"/>
      <c r="U159" s="141">
        <f t="shared" si="16"/>
        <v>5836426.3005190501</v>
      </c>
      <c r="V159" s="141">
        <f t="shared" si="17"/>
        <v>570740.34734076029</v>
      </c>
      <c r="W159" s="141">
        <f t="shared" si="18"/>
        <v>215293.60947632825</v>
      </c>
      <c r="X159" s="141">
        <f t="shared" si="19"/>
        <v>81947.010806695529</v>
      </c>
      <c r="Y159" s="141">
        <f t="shared" si="15"/>
        <v>-148679.17417357373</v>
      </c>
      <c r="Z159" s="141">
        <f t="shared" si="20"/>
        <v>-286984.14566786331</v>
      </c>
    </row>
    <row r="160" spans="1:26" ht="19.5" thickBot="1" x14ac:dyDescent="0.35">
      <c r="A160" s="142">
        <v>110</v>
      </c>
      <c r="B160" s="143" t="s">
        <v>221</v>
      </c>
      <c r="C160" s="142">
        <v>26</v>
      </c>
      <c r="D160" s="143" t="s">
        <v>222</v>
      </c>
      <c r="E160" s="142">
        <v>554166</v>
      </c>
      <c r="F160" s="143" t="s">
        <v>225</v>
      </c>
      <c r="G160" s="144">
        <v>2.7294855338704069</v>
      </c>
      <c r="H160" s="145">
        <v>96.400140735273339</v>
      </c>
      <c r="I160" s="146">
        <v>0.59804052029004151</v>
      </c>
      <c r="J160" s="147">
        <v>0.95290066264263407</v>
      </c>
      <c r="K160" s="148">
        <v>215</v>
      </c>
      <c r="M160" s="138">
        <f t="shared" si="14"/>
        <v>0.59804052029004151</v>
      </c>
      <c r="N160" s="149"/>
      <c r="U160" s="141">
        <f t="shared" si="16"/>
        <v>12509510.401915241</v>
      </c>
      <c r="V160" s="141">
        <f t="shared" si="17"/>
        <v>2054001.5817416899</v>
      </c>
      <c r="W160" s="141">
        <f t="shared" si="18"/>
        <v>1348229.0507003474</v>
      </c>
      <c r="X160" s="141">
        <f t="shared" si="19"/>
        <v>1083456.9866373613</v>
      </c>
      <c r="Y160" s="141">
        <f t="shared" si="15"/>
        <v>625527.26339422958</v>
      </c>
      <c r="Z160" s="141">
        <f t="shared" si="20"/>
        <v>350909.88928752224</v>
      </c>
    </row>
    <row r="161" spans="1:26" ht="19.5" thickBot="1" x14ac:dyDescent="0.35">
      <c r="A161" s="142">
        <v>110</v>
      </c>
      <c r="B161" s="143" t="s">
        <v>221</v>
      </c>
      <c r="C161" s="142">
        <v>26</v>
      </c>
      <c r="D161" s="143" t="s">
        <v>222</v>
      </c>
      <c r="E161" s="142">
        <v>454171</v>
      </c>
      <c r="F161" s="143" t="s">
        <v>226</v>
      </c>
      <c r="G161" s="144">
        <v>1.1783439328771577</v>
      </c>
      <c r="H161" s="145">
        <v>243.47612250990329</v>
      </c>
      <c r="I161" s="146">
        <v>1.7806617038853469</v>
      </c>
      <c r="J161" s="147">
        <v>0.8597620337331604</v>
      </c>
      <c r="K161" s="148">
        <v>41</v>
      </c>
      <c r="M161" s="138">
        <f t="shared" si="14"/>
        <v>1.7806617038853469</v>
      </c>
      <c r="N161" s="149"/>
      <c r="U161" s="141">
        <f t="shared" si="16"/>
        <v>4872616.3699699044</v>
      </c>
      <c r="V161" s="141">
        <f t="shared" si="17"/>
        <v>358877.3409430302</v>
      </c>
      <c r="W161" s="141">
        <f t="shared" si="18"/>
        <v>54188.867740297144</v>
      </c>
      <c r="X161" s="141">
        <f t="shared" si="19"/>
        <v>-60115.660132241741</v>
      </c>
      <c r="Y161" s="141">
        <f t="shared" si="15"/>
        <v>-257808.12062405839</v>
      </c>
      <c r="Z161" s="141">
        <f t="shared" si="20"/>
        <v>-376362.95911863714</v>
      </c>
    </row>
    <row r="162" spans="1:26" ht="19.5" thickBot="1" x14ac:dyDescent="0.35">
      <c r="A162" s="142">
        <v>110</v>
      </c>
      <c r="B162" s="143" t="s">
        <v>221</v>
      </c>
      <c r="C162" s="142">
        <v>26</v>
      </c>
      <c r="D162" s="143" t="s">
        <v>222</v>
      </c>
      <c r="E162" s="142">
        <v>554266</v>
      </c>
      <c r="F162" s="143" t="s">
        <v>227</v>
      </c>
      <c r="G162" s="144">
        <v>3.1786816063864465</v>
      </c>
      <c r="H162" s="145">
        <v>220.81858239269823</v>
      </c>
      <c r="I162" s="146">
        <v>1.5663789001693047</v>
      </c>
      <c r="J162" s="147">
        <v>0.87663811105516087</v>
      </c>
      <c r="K162" s="148">
        <v>56</v>
      </c>
      <c r="M162" s="138">
        <f t="shared" si="14"/>
        <v>1.5663789001693047</v>
      </c>
      <c r="N162" s="149"/>
      <c r="U162" s="141">
        <f t="shared" si="16"/>
        <v>13402297.772163995</v>
      </c>
      <c r="V162" s="141">
        <f t="shared" si="17"/>
        <v>1226108.0984381549</v>
      </c>
      <c r="W162" s="141">
        <f t="shared" si="18"/>
        <v>404185.3826460886</v>
      </c>
      <c r="X162" s="141">
        <f t="shared" si="19"/>
        <v>95839.33007384339</v>
      </c>
      <c r="Y162" s="141">
        <f t="shared" si="15"/>
        <v>-437452.66588208411</v>
      </c>
      <c r="Z162" s="141">
        <f t="shared" si="20"/>
        <v>-757264.28790205321</v>
      </c>
    </row>
    <row r="163" spans="1:26" ht="19.5" thickBot="1" x14ac:dyDescent="0.35">
      <c r="A163" s="142">
        <v>110</v>
      </c>
      <c r="B163" s="143" t="s">
        <v>221</v>
      </c>
      <c r="C163" s="142">
        <v>26</v>
      </c>
      <c r="D163" s="143" t="s">
        <v>222</v>
      </c>
      <c r="E163" s="142">
        <v>554296</v>
      </c>
      <c r="F163" s="143" t="s">
        <v>228</v>
      </c>
      <c r="G163" s="144">
        <v>3.7074923414334346</v>
      </c>
      <c r="H163" s="145">
        <v>132.45698180461554</v>
      </c>
      <c r="I163" s="146">
        <v>0.82742208326287314</v>
      </c>
      <c r="J163" s="147">
        <v>0.93483546596870704</v>
      </c>
      <c r="K163" s="148">
        <v>168</v>
      </c>
      <c r="M163" s="138">
        <f t="shared" si="14"/>
        <v>0.82742208326287314</v>
      </c>
      <c r="N163" s="149"/>
      <c r="U163" s="141">
        <f t="shared" si="16"/>
        <v>16669682.56065692</v>
      </c>
      <c r="V163" s="141">
        <f t="shared" si="17"/>
        <v>2467841.812442272</v>
      </c>
      <c r="W163" s="141">
        <f t="shared" si="18"/>
        <v>1509182.6727766856</v>
      </c>
      <c r="X163" s="141">
        <f t="shared" si="19"/>
        <v>1149539.6603636183</v>
      </c>
      <c r="Y163" s="141">
        <f t="shared" si="15"/>
        <v>527528.32497793192</v>
      </c>
      <c r="Z163" s="141">
        <f t="shared" si="20"/>
        <v>154512.31200003787</v>
      </c>
    </row>
    <row r="164" spans="1:26" ht="19.5" thickBot="1" x14ac:dyDescent="0.35">
      <c r="A164" s="142">
        <v>110</v>
      </c>
      <c r="B164" s="143" t="s">
        <v>221</v>
      </c>
      <c r="C164" s="142">
        <v>26</v>
      </c>
      <c r="D164" s="143" t="s">
        <v>222</v>
      </c>
      <c r="E164" s="142">
        <v>554356</v>
      </c>
      <c r="F164" s="143" t="s">
        <v>229</v>
      </c>
      <c r="G164" s="144">
        <v>3.5906872100420477</v>
      </c>
      <c r="H164" s="145">
        <v>256.78402982341726</v>
      </c>
      <c r="I164" s="146">
        <v>1.9588323497572588</v>
      </c>
      <c r="J164" s="147">
        <v>0.8457300090251505</v>
      </c>
      <c r="K164" s="148">
        <v>27</v>
      </c>
      <c r="M164" s="138">
        <f t="shared" si="14"/>
        <v>1.9588323497572588</v>
      </c>
      <c r="N164" s="149"/>
      <c r="U164" s="141">
        <f t="shared" si="16"/>
        <v>14605660.530053997</v>
      </c>
      <c r="V164" s="141">
        <f t="shared" si="17"/>
        <v>851251.01616885921</v>
      </c>
      <c r="W164" s="141">
        <f t="shared" si="18"/>
        <v>-77205.415990958019</v>
      </c>
      <c r="X164" s="141">
        <f t="shared" si="19"/>
        <v>-425517.81853345712</v>
      </c>
      <c r="Y164" s="141">
        <f t="shared" si="15"/>
        <v>-1027932.5886222431</v>
      </c>
      <c r="Z164" s="141">
        <f t="shared" si="20"/>
        <v>-1389196.6732360374</v>
      </c>
    </row>
    <row r="165" spans="1:26" ht="19.5" thickBot="1" x14ac:dyDescent="0.35">
      <c r="A165" s="142">
        <v>110</v>
      </c>
      <c r="B165" s="143" t="s">
        <v>221</v>
      </c>
      <c r="C165" s="142">
        <v>26</v>
      </c>
      <c r="D165" s="143" t="s">
        <v>222</v>
      </c>
      <c r="E165" s="142">
        <v>454426</v>
      </c>
      <c r="F165" s="143" t="s">
        <v>230</v>
      </c>
      <c r="G165" s="144">
        <v>8.270629616811938</v>
      </c>
      <c r="H165" s="145">
        <v>303.28895662201154</v>
      </c>
      <c r="I165" s="146">
        <v>2.7936929585061585</v>
      </c>
      <c r="J165" s="147">
        <v>0.77997964575750767</v>
      </c>
      <c r="K165" s="148">
        <v>8</v>
      </c>
      <c r="M165" s="138">
        <f t="shared" si="14"/>
        <v>2.7936929585061585</v>
      </c>
      <c r="N165" s="149"/>
      <c r="U165" s="141">
        <f t="shared" si="16"/>
        <v>31026567.265976895</v>
      </c>
      <c r="V165" s="141">
        <f t="shared" si="17"/>
        <v>-654729.38641689287</v>
      </c>
      <c r="W165" s="141">
        <f t="shared" si="18"/>
        <v>-2793294.7407771815</v>
      </c>
      <c r="X165" s="141">
        <f t="shared" si="19"/>
        <v>-3595582.0757236248</v>
      </c>
      <c r="Y165" s="141">
        <f t="shared" si="15"/>
        <v>-4983157.5306858877</v>
      </c>
      <c r="Z165" s="141">
        <f t="shared" si="20"/>
        <v>-5815277.1955069024</v>
      </c>
    </row>
    <row r="166" spans="1:26" ht="19.5" thickBot="1" x14ac:dyDescent="0.35">
      <c r="A166" s="142">
        <v>110</v>
      </c>
      <c r="B166" s="143" t="s">
        <v>221</v>
      </c>
      <c r="C166" s="142">
        <v>26</v>
      </c>
      <c r="D166" s="143" t="s">
        <v>222</v>
      </c>
      <c r="E166" s="142">
        <v>554431</v>
      </c>
      <c r="F166" s="143" t="s">
        <v>231</v>
      </c>
      <c r="G166" s="144">
        <v>2.0619326909649489</v>
      </c>
      <c r="H166" s="145">
        <v>308.89917662730693</v>
      </c>
      <c r="I166" s="146">
        <v>1.5525638084732316</v>
      </c>
      <c r="J166" s="147">
        <v>0.87772613375987785</v>
      </c>
      <c r="K166" s="148">
        <v>58</v>
      </c>
      <c r="M166" s="138">
        <f t="shared" si="14"/>
        <v>1.5525638084732316</v>
      </c>
      <c r="N166" s="149"/>
      <c r="U166" s="141">
        <f t="shared" si="16"/>
        <v>8704531.4816102423</v>
      </c>
      <c r="V166" s="141">
        <f t="shared" si="17"/>
        <v>806136.28241744637</v>
      </c>
      <c r="W166" s="141">
        <f t="shared" si="18"/>
        <v>272975.20276311768</v>
      </c>
      <c r="X166" s="141">
        <f t="shared" si="19"/>
        <v>72958.691310283146</v>
      </c>
      <c r="Y166" s="141">
        <f t="shared" si="15"/>
        <v>-272974.72903675289</v>
      </c>
      <c r="Z166" s="141">
        <f t="shared" si="20"/>
        <v>-480428.67380070977</v>
      </c>
    </row>
    <row r="167" spans="1:26" ht="19.5" thickBot="1" x14ac:dyDescent="0.35">
      <c r="A167" s="142">
        <v>110</v>
      </c>
      <c r="B167" s="143" t="s">
        <v>221</v>
      </c>
      <c r="C167" s="142">
        <v>26</v>
      </c>
      <c r="D167" s="143" t="s">
        <v>222</v>
      </c>
      <c r="E167" s="142">
        <v>554476</v>
      </c>
      <c r="F167" s="143" t="s">
        <v>232</v>
      </c>
      <c r="G167" s="144">
        <v>2.0199468106564877</v>
      </c>
      <c r="H167" s="145">
        <v>206.00109008056646</v>
      </c>
      <c r="I167" s="146">
        <v>0.7848224350941071</v>
      </c>
      <c r="J167" s="147">
        <v>0.93819044800141727</v>
      </c>
      <c r="K167" s="148">
        <v>175</v>
      </c>
      <c r="M167" s="138">
        <f t="shared" si="14"/>
        <v>0.7848224350941071</v>
      </c>
      <c r="N167" s="149"/>
      <c r="U167" s="141">
        <f t="shared" si="16"/>
        <v>9114709.4124434888</v>
      </c>
      <c r="V167" s="141">
        <f t="shared" si="17"/>
        <v>1377144.4270182636</v>
      </c>
      <c r="W167" s="141">
        <f t="shared" si="18"/>
        <v>854839.78189915768</v>
      </c>
      <c r="X167" s="141">
        <f t="shared" si="19"/>
        <v>658896.08492100169</v>
      </c>
      <c r="Y167" s="141">
        <f t="shared" si="15"/>
        <v>320006.69624630408</v>
      </c>
      <c r="Z167" s="141">
        <f t="shared" si="20"/>
        <v>116777.00988444917</v>
      </c>
    </row>
    <row r="168" spans="1:26" ht="19.5" thickBot="1" x14ac:dyDescent="0.35">
      <c r="A168" s="142">
        <v>110</v>
      </c>
      <c r="B168" s="143" t="s">
        <v>221</v>
      </c>
      <c r="C168" s="142">
        <v>26</v>
      </c>
      <c r="D168" s="143" t="s">
        <v>222</v>
      </c>
      <c r="E168" s="142">
        <v>554471</v>
      </c>
      <c r="F168" s="143" t="s">
        <v>233</v>
      </c>
      <c r="G168" s="144">
        <v>1.8614832399778634</v>
      </c>
      <c r="H168" s="145">
        <v>131.28847120477229</v>
      </c>
      <c r="I168" s="146">
        <v>0.93874977153744388</v>
      </c>
      <c r="J168" s="147">
        <v>0.92606773172769485</v>
      </c>
      <c r="K168" s="148">
        <v>148</v>
      </c>
      <c r="M168" s="138">
        <f t="shared" si="14"/>
        <v>0.93874977153744388</v>
      </c>
      <c r="N168" s="149"/>
      <c r="U168" s="141">
        <f t="shared" si="16"/>
        <v>8291130.8426075485</v>
      </c>
      <c r="V168" s="141">
        <f t="shared" si="17"/>
        <v>1160573.0167173247</v>
      </c>
      <c r="W168" s="141">
        <f t="shared" si="18"/>
        <v>679242.84607990389</v>
      </c>
      <c r="X168" s="141">
        <f t="shared" si="19"/>
        <v>498670.8102322889</v>
      </c>
      <c r="Y168" s="141">
        <f t="shared" si="15"/>
        <v>186367.08327461235</v>
      </c>
      <c r="Z168" s="141">
        <f t="shared" si="20"/>
        <v>-919.3606221947764</v>
      </c>
    </row>
    <row r="169" spans="1:26" ht="19.5" thickBot="1" x14ac:dyDescent="0.35">
      <c r="A169" s="142">
        <v>110</v>
      </c>
      <c r="B169" s="143" t="s">
        <v>221</v>
      </c>
      <c r="C169" s="142">
        <v>26</v>
      </c>
      <c r="D169" s="143" t="s">
        <v>222</v>
      </c>
      <c r="E169" s="142">
        <v>454481</v>
      </c>
      <c r="F169" s="143" t="s">
        <v>234</v>
      </c>
      <c r="G169" s="144">
        <v>10.399239442446538</v>
      </c>
      <c r="H169" s="145">
        <v>328.51408998389968</v>
      </c>
      <c r="I169" s="146">
        <v>2.5847021488310333</v>
      </c>
      <c r="J169" s="147">
        <v>0.79643894628233491</v>
      </c>
      <c r="K169" s="148">
        <v>10</v>
      </c>
      <c r="M169" s="138">
        <f t="shared" si="14"/>
        <v>2.5847021488310333</v>
      </c>
      <c r="N169" s="149"/>
      <c r="U169" s="141">
        <f t="shared" si="16"/>
        <v>39835103.855420835</v>
      </c>
      <c r="V169" s="141">
        <f t="shared" si="17"/>
        <v>0</v>
      </c>
      <c r="W169" s="141">
        <f t="shared" si="18"/>
        <v>-2688967.3717350876</v>
      </c>
      <c r="X169" s="141">
        <f t="shared" si="19"/>
        <v>-3697739.1925395117</v>
      </c>
      <c r="Y169" s="141">
        <f t="shared" si="15"/>
        <v>-5442434.5868638493</v>
      </c>
      <c r="Z169" s="141">
        <f t="shared" si="20"/>
        <v>-6488716.6766399499</v>
      </c>
    </row>
    <row r="170" spans="1:26" ht="19.5" thickBot="1" x14ac:dyDescent="0.35">
      <c r="A170" s="142">
        <v>110</v>
      </c>
      <c r="B170" s="143" t="s">
        <v>221</v>
      </c>
      <c r="C170" s="142">
        <v>26</v>
      </c>
      <c r="D170" s="143" t="s">
        <v>222</v>
      </c>
      <c r="E170" s="142">
        <v>554486</v>
      </c>
      <c r="F170" s="143" t="s">
        <v>235</v>
      </c>
      <c r="G170" s="144">
        <v>4.7502856913022802</v>
      </c>
      <c r="H170" s="145">
        <v>125.39333360320541</v>
      </c>
      <c r="I170" s="146">
        <v>0.64577673524284762</v>
      </c>
      <c r="J170" s="147">
        <v>0.94914114465690369</v>
      </c>
      <c r="K170" s="148">
        <v>208</v>
      </c>
      <c r="M170" s="138">
        <f t="shared" si="14"/>
        <v>0.64577673524284762</v>
      </c>
      <c r="N170" s="149"/>
      <c r="U170" s="141">
        <f t="shared" si="16"/>
        <v>21685149.302580178</v>
      </c>
      <c r="V170" s="141">
        <f t="shared" si="17"/>
        <v>3488806.6851023911</v>
      </c>
      <c r="W170" s="141">
        <f t="shared" si="18"/>
        <v>2260508.8561097351</v>
      </c>
      <c r="X170" s="141">
        <f t="shared" si="19"/>
        <v>1799710.3166899292</v>
      </c>
      <c r="Y170" s="141">
        <f t="shared" si="15"/>
        <v>1002748.0375532839</v>
      </c>
      <c r="Z170" s="141">
        <f t="shared" si="20"/>
        <v>524815.12066681753</v>
      </c>
    </row>
    <row r="171" spans="1:26" ht="19.5" thickBot="1" x14ac:dyDescent="0.35">
      <c r="A171" s="142">
        <v>110</v>
      </c>
      <c r="B171" s="143" t="s">
        <v>221</v>
      </c>
      <c r="C171" s="142">
        <v>26</v>
      </c>
      <c r="D171" s="143" t="s">
        <v>222</v>
      </c>
      <c r="E171" s="142">
        <v>554491</v>
      </c>
      <c r="F171" s="143" t="s">
        <v>236</v>
      </c>
      <c r="G171" s="144">
        <v>3.3012442740771761</v>
      </c>
      <c r="H171" s="145">
        <v>219.01165579215106</v>
      </c>
      <c r="I171" s="146">
        <v>1.3316931655440487</v>
      </c>
      <c r="J171" s="147">
        <v>0.89512104358741695</v>
      </c>
      <c r="K171" s="148">
        <v>85</v>
      </c>
      <c r="M171" s="138">
        <f t="shared" si="14"/>
        <v>1.3316931655440487</v>
      </c>
      <c r="N171" s="149"/>
      <c r="U171" s="141">
        <f t="shared" si="16"/>
        <v>14212527.395489991</v>
      </c>
      <c r="V171" s="141">
        <f t="shared" si="17"/>
        <v>1566851.7922134176</v>
      </c>
      <c r="W171" s="141">
        <f t="shared" si="18"/>
        <v>713237.62280715827</v>
      </c>
      <c r="X171" s="141">
        <f t="shared" si="19"/>
        <v>393002.45409971057</v>
      </c>
      <c r="Y171" s="141">
        <f t="shared" si="15"/>
        <v>-160852.05731896436</v>
      </c>
      <c r="Z171" s="141">
        <f t="shared" si="20"/>
        <v>-492994.88151864038</v>
      </c>
    </row>
    <row r="172" spans="1:26" ht="19.5" thickBot="1" x14ac:dyDescent="0.35">
      <c r="A172" s="142">
        <v>110</v>
      </c>
      <c r="B172" s="143" t="s">
        <v>221</v>
      </c>
      <c r="C172" s="142">
        <v>26</v>
      </c>
      <c r="D172" s="143" t="s">
        <v>222</v>
      </c>
      <c r="E172" s="142">
        <v>554601</v>
      </c>
      <c r="F172" s="143" t="s">
        <v>237</v>
      </c>
      <c r="G172" s="144">
        <v>3.9852030364082958</v>
      </c>
      <c r="H172" s="145">
        <v>102.95087185062698</v>
      </c>
      <c r="I172" s="146">
        <v>0.5754710413366847</v>
      </c>
      <c r="J172" s="147">
        <v>0.9546781467212857</v>
      </c>
      <c r="K172" s="148">
        <v>223</v>
      </c>
      <c r="M172" s="138">
        <f t="shared" si="14"/>
        <v>0.5754710413366847</v>
      </c>
      <c r="N172" s="149"/>
      <c r="U172" s="141">
        <f t="shared" si="16"/>
        <v>18298661.38416867</v>
      </c>
      <c r="V172" s="141">
        <f t="shared" si="17"/>
        <v>3033027.9963759403</v>
      </c>
      <c r="W172" s="141">
        <f t="shared" si="18"/>
        <v>2002560.2401569881</v>
      </c>
      <c r="X172" s="141">
        <f t="shared" si="19"/>
        <v>1615978.0727242583</v>
      </c>
      <c r="Y172" s="141">
        <f t="shared" si="15"/>
        <v>947374.81365427037</v>
      </c>
      <c r="Z172" s="141">
        <f t="shared" si="20"/>
        <v>546417.93751041451</v>
      </c>
    </row>
    <row r="173" spans="1:26" ht="19.5" thickBot="1" x14ac:dyDescent="0.35">
      <c r="A173" s="142">
        <v>110</v>
      </c>
      <c r="B173" s="143" t="s">
        <v>221</v>
      </c>
      <c r="C173" s="142">
        <v>26</v>
      </c>
      <c r="D173" s="143" t="s">
        <v>222</v>
      </c>
      <c r="E173" s="142">
        <v>554611</v>
      </c>
      <c r="F173" s="143" t="s">
        <v>238</v>
      </c>
      <c r="G173" s="144">
        <v>3.0016649497715413</v>
      </c>
      <c r="H173" s="145">
        <v>193.91183913924198</v>
      </c>
      <c r="I173" s="146">
        <v>2.1989622758870446</v>
      </c>
      <c r="J173" s="147">
        <v>0.82681831321748023</v>
      </c>
      <c r="K173" s="148">
        <v>20</v>
      </c>
      <c r="M173" s="138">
        <f t="shared" si="14"/>
        <v>2.1989622758870446</v>
      </c>
      <c r="N173" s="149"/>
      <c r="U173" s="141">
        <f t="shared" si="16"/>
        <v>11936697.497106828</v>
      </c>
      <c r="V173" s="141">
        <f t="shared" si="17"/>
        <v>438584.0364944312</v>
      </c>
      <c r="W173" s="141">
        <f t="shared" si="18"/>
        <v>-337566.8691065684</v>
      </c>
      <c r="X173" s="141">
        <f t="shared" si="19"/>
        <v>-628741.52986747958</v>
      </c>
      <c r="Y173" s="141">
        <f t="shared" si="15"/>
        <v>-1132335.1861300129</v>
      </c>
      <c r="Z173" s="141">
        <f t="shared" si="20"/>
        <v>-1434336.9136444037</v>
      </c>
    </row>
    <row r="174" spans="1:26" ht="19.5" thickBot="1" x14ac:dyDescent="0.35">
      <c r="A174" s="142">
        <v>110</v>
      </c>
      <c r="B174" s="143" t="s">
        <v>221</v>
      </c>
      <c r="C174" s="142">
        <v>26</v>
      </c>
      <c r="D174" s="143" t="s">
        <v>222</v>
      </c>
      <c r="E174" s="142">
        <v>554636</v>
      </c>
      <c r="F174" s="143" t="s">
        <v>239</v>
      </c>
      <c r="G174" s="144">
        <v>2.7065897065897064</v>
      </c>
      <c r="H174" s="145">
        <v>176.62805324208284</v>
      </c>
      <c r="I174" s="146">
        <v>1.4689437127171852</v>
      </c>
      <c r="J174" s="147">
        <v>0.88431172615077336</v>
      </c>
      <c r="K174" s="148">
        <v>68</v>
      </c>
      <c r="M174" s="138">
        <f t="shared" si="14"/>
        <v>1.4689437127171852</v>
      </c>
      <c r="N174" s="149"/>
      <c r="U174" s="141">
        <f t="shared" si="16"/>
        <v>11511706.182739204</v>
      </c>
      <c r="V174" s="141">
        <f t="shared" si="17"/>
        <v>1143901.6281160493</v>
      </c>
      <c r="W174" s="141">
        <f t="shared" si="18"/>
        <v>444049.35045933339</v>
      </c>
      <c r="X174" s="141">
        <f t="shared" si="19"/>
        <v>181498.28202805709</v>
      </c>
      <c r="Y174" s="141">
        <f t="shared" si="15"/>
        <v>-272590.17526221729</v>
      </c>
      <c r="Z174" s="141">
        <f t="shared" si="20"/>
        <v>-544903.96802079014</v>
      </c>
    </row>
    <row r="175" spans="1:26" ht="19.5" thickBot="1" x14ac:dyDescent="0.35">
      <c r="A175" s="142">
        <v>110</v>
      </c>
      <c r="B175" s="143" t="s">
        <v>221</v>
      </c>
      <c r="C175" s="142">
        <v>26</v>
      </c>
      <c r="D175" s="143" t="s">
        <v>222</v>
      </c>
      <c r="E175" s="142">
        <v>454671</v>
      </c>
      <c r="F175" s="143" t="s">
        <v>240</v>
      </c>
      <c r="G175" s="144">
        <v>4.3740007442467412</v>
      </c>
      <c r="H175" s="145">
        <v>220.80977973549179</v>
      </c>
      <c r="I175" s="146">
        <v>1.5090017557453959</v>
      </c>
      <c r="J175" s="147">
        <v>0.88115691101960691</v>
      </c>
      <c r="K175" s="148">
        <v>63</v>
      </c>
      <c r="M175" s="138">
        <f t="shared" si="14"/>
        <v>1.5090017557453959</v>
      </c>
      <c r="N175" s="149"/>
      <c r="U175" s="141">
        <f t="shared" si="16"/>
        <v>18537193.832056139</v>
      </c>
      <c r="V175" s="141">
        <f t="shared" si="17"/>
        <v>1782240.2727057161</v>
      </c>
      <c r="W175" s="141">
        <f t="shared" si="18"/>
        <v>651239.74614630057</v>
      </c>
      <c r="X175" s="141">
        <f t="shared" si="19"/>
        <v>226942.4963913098</v>
      </c>
      <c r="Y175" s="141">
        <f t="shared" si="15"/>
        <v>-506889.91467039444</v>
      </c>
      <c r="Z175" s="141">
        <f t="shared" si="20"/>
        <v>-946964.27440607571</v>
      </c>
    </row>
    <row r="176" spans="1:26" ht="19.5" thickBot="1" x14ac:dyDescent="0.35">
      <c r="A176" s="142">
        <v>110</v>
      </c>
      <c r="B176" s="143" t="s">
        <v>221</v>
      </c>
      <c r="C176" s="142">
        <v>27</v>
      </c>
      <c r="D176" s="143" t="s">
        <v>241</v>
      </c>
      <c r="E176" s="142">
        <v>554184</v>
      </c>
      <c r="F176" s="143" t="s">
        <v>537</v>
      </c>
      <c r="G176" s="144">
        <v>3.9752389572564639</v>
      </c>
      <c r="H176" s="145">
        <v>338.69477462789348</v>
      </c>
      <c r="I176" s="146">
        <v>1.6518596186962147</v>
      </c>
      <c r="J176" s="147">
        <v>0.86990598327643376</v>
      </c>
      <c r="K176" s="148">
        <v>49</v>
      </c>
      <c r="M176" s="138">
        <f t="shared" si="14"/>
        <v>1.6518596186962147</v>
      </c>
      <c r="N176" s="149"/>
      <c r="U176" s="141">
        <f t="shared" si="16"/>
        <v>16632113.671889607</v>
      </c>
      <c r="V176" s="141">
        <f t="shared" si="17"/>
        <v>1404648.4722642491</v>
      </c>
      <c r="W176" s="141">
        <f t="shared" si="18"/>
        <v>376757.16251303646</v>
      </c>
      <c r="X176" s="141">
        <f t="shared" si="19"/>
        <v>-8858.4455550146122</v>
      </c>
      <c r="Y176" s="141">
        <f t="shared" si="15"/>
        <v>-675790.01670002542</v>
      </c>
      <c r="Z176" s="141">
        <f t="shared" si="20"/>
        <v>-1075744.392842283</v>
      </c>
    </row>
    <row r="177" spans="1:26" ht="19.5" thickBot="1" x14ac:dyDescent="0.35">
      <c r="A177" s="142">
        <v>110</v>
      </c>
      <c r="B177" s="143" t="s">
        <v>221</v>
      </c>
      <c r="C177" s="142">
        <v>27</v>
      </c>
      <c r="D177" s="143" t="s">
        <v>241</v>
      </c>
      <c r="E177" s="142">
        <v>554506</v>
      </c>
      <c r="F177" s="143" t="s">
        <v>243</v>
      </c>
      <c r="G177" s="144">
        <v>2.6208074601622977</v>
      </c>
      <c r="H177" s="145">
        <v>291.20879190901633</v>
      </c>
      <c r="I177" s="146">
        <v>1.9141446478442712</v>
      </c>
      <c r="J177" s="147">
        <v>0.84924943802154096</v>
      </c>
      <c r="K177" s="148">
        <v>29</v>
      </c>
      <c r="M177" s="138">
        <f t="shared" si="14"/>
        <v>1.9141446478442712</v>
      </c>
      <c r="N177" s="149"/>
      <c r="U177" s="141">
        <f t="shared" si="16"/>
        <v>10704891.532958729</v>
      </c>
      <c r="V177" s="141">
        <f t="shared" si="17"/>
        <v>665682.61403556564</v>
      </c>
      <c r="W177" s="141">
        <f t="shared" si="18"/>
        <v>-11988.650962096015</v>
      </c>
      <c r="X177" s="141">
        <f t="shared" si="19"/>
        <v>-266218.46538242395</v>
      </c>
      <c r="Y177" s="141">
        <f t="shared" si="15"/>
        <v>-705915.11151333491</v>
      </c>
      <c r="Z177" s="141">
        <f t="shared" si="20"/>
        <v>-969598.23194683215</v>
      </c>
    </row>
    <row r="178" spans="1:26" ht="19.5" thickBot="1" x14ac:dyDescent="0.35">
      <c r="A178" s="142">
        <v>110</v>
      </c>
      <c r="B178" s="143" t="s">
        <v>221</v>
      </c>
      <c r="C178" s="142">
        <v>27</v>
      </c>
      <c r="D178" s="143" t="s">
        <v>241</v>
      </c>
      <c r="E178" s="142">
        <v>554196</v>
      </c>
      <c r="F178" s="143" t="s">
        <v>244</v>
      </c>
      <c r="G178" s="144">
        <v>3.1714420394420397</v>
      </c>
      <c r="H178" s="145">
        <v>96.610352120420501</v>
      </c>
      <c r="I178" s="146">
        <v>0.45474789970739349</v>
      </c>
      <c r="J178" s="147">
        <v>0.9641858302001266</v>
      </c>
      <c r="K178" s="148">
        <v>239</v>
      </c>
      <c r="M178" s="138">
        <f t="shared" si="14"/>
        <v>0.45474789970739349</v>
      </c>
      <c r="N178" s="149"/>
      <c r="U178" s="141">
        <f t="shared" si="16"/>
        <v>14707180.082963508</v>
      </c>
      <c r="V178" s="141">
        <f t="shared" si="17"/>
        <v>2558722.1393026188</v>
      </c>
      <c r="W178" s="141">
        <f t="shared" si="18"/>
        <v>1738671.3834175002</v>
      </c>
      <c r="X178" s="141">
        <f t="shared" si="19"/>
        <v>1431027.6005803412</v>
      </c>
      <c r="Y178" s="141">
        <f t="shared" si="15"/>
        <v>898950.19720829558</v>
      </c>
      <c r="Z178" s="141">
        <f t="shared" si="20"/>
        <v>579866.95818917849</v>
      </c>
    </row>
    <row r="179" spans="1:26" ht="19.5" thickBot="1" x14ac:dyDescent="0.35">
      <c r="A179" s="142">
        <v>110</v>
      </c>
      <c r="B179" s="143" t="s">
        <v>221</v>
      </c>
      <c r="C179" s="142">
        <v>27</v>
      </c>
      <c r="D179" s="143" t="s">
        <v>241</v>
      </c>
      <c r="E179" s="142">
        <v>554257</v>
      </c>
      <c r="F179" s="143" t="s">
        <v>245</v>
      </c>
      <c r="G179" s="144">
        <v>3.4906875203649386</v>
      </c>
      <c r="H179" s="145">
        <v>98.858258184600459</v>
      </c>
      <c r="I179" s="146">
        <v>0.53659588933763258</v>
      </c>
      <c r="J179" s="147">
        <v>0.95773980197155906</v>
      </c>
      <c r="K179" s="148">
        <v>225</v>
      </c>
      <c r="M179" s="138">
        <f t="shared" si="14"/>
        <v>0.53659588933763258</v>
      </c>
      <c r="N179" s="149"/>
      <c r="U179" s="141">
        <f t="shared" si="16"/>
        <v>16079420.632640375</v>
      </c>
      <c r="V179" s="141">
        <f t="shared" si="17"/>
        <v>2708067.7880283822</v>
      </c>
      <c r="W179" s="141">
        <f t="shared" si="18"/>
        <v>1805468.6220863066</v>
      </c>
      <c r="X179" s="141">
        <f t="shared" si="19"/>
        <v>1466856.6278855661</v>
      </c>
      <c r="Y179" s="141">
        <f t="shared" si="15"/>
        <v>881218.94990809215</v>
      </c>
      <c r="Z179" s="141">
        <f t="shared" si="20"/>
        <v>530015.97455823771</v>
      </c>
    </row>
    <row r="180" spans="1:26" ht="19.5" thickBot="1" x14ac:dyDescent="0.35">
      <c r="A180" s="142">
        <v>110</v>
      </c>
      <c r="B180" s="143" t="s">
        <v>221</v>
      </c>
      <c r="C180" s="142">
        <v>27</v>
      </c>
      <c r="D180" s="143" t="s">
        <v>241</v>
      </c>
      <c r="E180" s="142">
        <v>554321</v>
      </c>
      <c r="F180" s="143" t="s">
        <v>246</v>
      </c>
      <c r="G180" s="144">
        <v>2.5343313424514755</v>
      </c>
      <c r="H180" s="145">
        <v>54.392755363494629</v>
      </c>
      <c r="I180" s="146">
        <v>0.32271656056183573</v>
      </c>
      <c r="J180" s="147">
        <v>0.97458410318193989</v>
      </c>
      <c r="K180" s="148">
        <v>266</v>
      </c>
      <c r="M180" s="138">
        <f t="shared" si="14"/>
        <v>0.32271656056183573</v>
      </c>
      <c r="N180" s="149"/>
      <c r="U180" s="141">
        <f t="shared" si="16"/>
        <v>11879402.692825062</v>
      </c>
      <c r="V180" s="141">
        <f t="shared" si="17"/>
        <v>2171447.3380773356</v>
      </c>
      <c r="W180" s="141">
        <f t="shared" si="18"/>
        <v>1516136.5024404596</v>
      </c>
      <c r="X180" s="141">
        <f t="shared" si="19"/>
        <v>1270295.2505878115</v>
      </c>
      <c r="Y180" s="141">
        <f t="shared" si="15"/>
        <v>845106.82740186853</v>
      </c>
      <c r="Z180" s="141">
        <f t="shared" si="20"/>
        <v>590124.19065806281</v>
      </c>
    </row>
    <row r="181" spans="1:26" ht="19.5" thickBot="1" x14ac:dyDescent="0.35">
      <c r="A181" s="142">
        <v>110</v>
      </c>
      <c r="B181" s="143" t="s">
        <v>221</v>
      </c>
      <c r="C181" s="142">
        <v>27</v>
      </c>
      <c r="D181" s="143" t="s">
        <v>241</v>
      </c>
      <c r="E181" s="142">
        <v>454355</v>
      </c>
      <c r="F181" s="143" t="s">
        <v>247</v>
      </c>
      <c r="G181" s="144">
        <v>3.729047579312796</v>
      </c>
      <c r="H181" s="145">
        <v>110.13962687912088</v>
      </c>
      <c r="I181" s="146">
        <v>0.38376802026852336</v>
      </c>
      <c r="J181" s="147">
        <v>0.9697759284858668</v>
      </c>
      <c r="K181" s="148">
        <v>254</v>
      </c>
      <c r="M181" s="138">
        <f t="shared" si="14"/>
        <v>0.38376802026852336</v>
      </c>
      <c r="N181" s="149"/>
      <c r="U181" s="141">
        <f t="shared" si="16"/>
        <v>17393268.903577022</v>
      </c>
      <c r="V181" s="141">
        <f t="shared" si="17"/>
        <v>3108859.1228571767</v>
      </c>
      <c r="W181" s="141">
        <f t="shared" si="18"/>
        <v>2144626.3706530607</v>
      </c>
      <c r="X181" s="141">
        <f t="shared" si="19"/>
        <v>1782892.4056579529</v>
      </c>
      <c r="Y181" s="141">
        <f t="shared" si="15"/>
        <v>1157264.7169360619</v>
      </c>
      <c r="Z181" s="141">
        <f t="shared" si="20"/>
        <v>782080.00119304215</v>
      </c>
    </row>
    <row r="182" spans="1:26" ht="19.5" thickBot="1" x14ac:dyDescent="0.35">
      <c r="A182" s="142">
        <v>110</v>
      </c>
      <c r="B182" s="143" t="s">
        <v>221</v>
      </c>
      <c r="C182" s="142">
        <v>27</v>
      </c>
      <c r="D182" s="143" t="s">
        <v>241</v>
      </c>
      <c r="E182" s="142">
        <v>554357</v>
      </c>
      <c r="F182" s="143" t="s">
        <v>538</v>
      </c>
      <c r="G182" s="144">
        <v>4.4497067785987827</v>
      </c>
      <c r="H182" s="145">
        <v>40.916094045939005</v>
      </c>
      <c r="I182" s="146">
        <v>0.12677021014351711</v>
      </c>
      <c r="J182" s="147">
        <v>0.99001607300535766</v>
      </c>
      <c r="K182" s="148">
        <v>292</v>
      </c>
      <c r="M182" s="138">
        <f t="shared" si="14"/>
        <v>0.12677021014351711</v>
      </c>
      <c r="N182" s="149"/>
      <c r="U182" s="141">
        <f t="shared" si="16"/>
        <v>21187783.445980884</v>
      </c>
      <c r="V182" s="141">
        <f t="shared" si="17"/>
        <v>4142831.9730728362</v>
      </c>
      <c r="W182" s="141">
        <f t="shared" si="18"/>
        <v>2992255.8749206392</v>
      </c>
      <c r="X182" s="141">
        <f t="shared" si="19"/>
        <v>2560614.8079046016</v>
      </c>
      <c r="Y182" s="141">
        <f t="shared" si="15"/>
        <v>1814081.0863107601</v>
      </c>
      <c r="Z182" s="141">
        <f t="shared" si="20"/>
        <v>1366389.8361025695</v>
      </c>
    </row>
    <row r="183" spans="1:26" ht="19.5" thickBot="1" x14ac:dyDescent="0.35">
      <c r="A183" s="142">
        <v>110</v>
      </c>
      <c r="B183" s="143" t="s">
        <v>221</v>
      </c>
      <c r="C183" s="142">
        <v>27</v>
      </c>
      <c r="D183" s="143" t="s">
        <v>241</v>
      </c>
      <c r="E183" s="142">
        <v>554381</v>
      </c>
      <c r="F183" s="143" t="s">
        <v>249</v>
      </c>
      <c r="G183" s="144">
        <v>4.5199524895653918</v>
      </c>
      <c r="H183" s="145">
        <v>229.82482210557129</v>
      </c>
      <c r="I183" s="146">
        <v>1.5267991318120162</v>
      </c>
      <c r="J183" s="147">
        <v>0.8797552591398462</v>
      </c>
      <c r="K183" s="148">
        <v>61</v>
      </c>
      <c r="M183" s="138">
        <f t="shared" si="14"/>
        <v>1.5267991318120162</v>
      </c>
      <c r="N183" s="149"/>
      <c r="U183" s="141">
        <f t="shared" si="16"/>
        <v>19125272.346050173</v>
      </c>
      <c r="V183" s="141">
        <f t="shared" si="17"/>
        <v>1811239.1573840324</v>
      </c>
      <c r="W183" s="141">
        <f t="shared" si="18"/>
        <v>642499.3823746061</v>
      </c>
      <c r="X183" s="141">
        <f t="shared" si="19"/>
        <v>204044.17340639426</v>
      </c>
      <c r="Y183" s="141">
        <f t="shared" si="15"/>
        <v>-554274.77239281009</v>
      </c>
      <c r="Z183" s="141">
        <f t="shared" si="20"/>
        <v>-1009033.5422667139</v>
      </c>
    </row>
    <row r="184" spans="1:26" ht="19.5" thickBot="1" x14ac:dyDescent="0.35">
      <c r="A184" s="142">
        <v>110</v>
      </c>
      <c r="B184" s="143" t="s">
        <v>221</v>
      </c>
      <c r="C184" s="142">
        <v>27</v>
      </c>
      <c r="D184" s="143" t="s">
        <v>241</v>
      </c>
      <c r="E184" s="142">
        <v>554376</v>
      </c>
      <c r="F184" s="143" t="s">
        <v>539</v>
      </c>
      <c r="G184" s="144">
        <v>3.0343497082627509</v>
      </c>
      <c r="H184" s="145">
        <v>115.35415277509296</v>
      </c>
      <c r="I184" s="146">
        <v>0.43013519368117015</v>
      </c>
      <c r="J184" s="147">
        <v>0.96612423086877119</v>
      </c>
      <c r="K184" s="148">
        <v>243</v>
      </c>
      <c r="M184" s="138">
        <f t="shared" si="14"/>
        <v>0.43013519368117015</v>
      </c>
      <c r="N184" s="149"/>
      <c r="U184" s="141">
        <f t="shared" si="16"/>
        <v>14099720.152359471</v>
      </c>
      <c r="V184" s="141">
        <f t="shared" si="17"/>
        <v>2476405.1559816478</v>
      </c>
      <c r="W184" s="141">
        <f t="shared" si="18"/>
        <v>1691802.8391382869</v>
      </c>
      <c r="X184" s="141">
        <f t="shared" si="19"/>
        <v>1397457.6134992219</v>
      </c>
      <c r="Y184" s="141">
        <f t="shared" si="15"/>
        <v>888380.38818148826</v>
      </c>
      <c r="Z184" s="141">
        <f t="shared" si="20"/>
        <v>583090.20119779953</v>
      </c>
    </row>
    <row r="185" spans="1:26" ht="19.5" thickBot="1" x14ac:dyDescent="0.35">
      <c r="A185" s="142">
        <v>110</v>
      </c>
      <c r="B185" s="143" t="s">
        <v>221</v>
      </c>
      <c r="C185" s="142">
        <v>27</v>
      </c>
      <c r="D185" s="143" t="s">
        <v>241</v>
      </c>
      <c r="E185" s="142">
        <v>554416</v>
      </c>
      <c r="F185" s="143" t="s">
        <v>251</v>
      </c>
      <c r="G185" s="144">
        <v>3.9243355211097128</v>
      </c>
      <c r="H185" s="145">
        <v>238.64817782837522</v>
      </c>
      <c r="I185" s="146">
        <v>1.8083757073587896</v>
      </c>
      <c r="J185" s="147">
        <v>0.85757938698125491</v>
      </c>
      <c r="K185" s="148">
        <v>39</v>
      </c>
      <c r="M185" s="138">
        <f t="shared" si="14"/>
        <v>1.8083757073587896</v>
      </c>
      <c r="N185" s="149"/>
      <c r="U185" s="141">
        <f t="shared" si="16"/>
        <v>16186477.644390076</v>
      </c>
      <c r="V185" s="141">
        <f t="shared" si="17"/>
        <v>1154002.0569114494</v>
      </c>
      <c r="W185" s="141">
        <f t="shared" si="18"/>
        <v>139273.02500424138</v>
      </c>
      <c r="X185" s="141">
        <f t="shared" si="19"/>
        <v>-241404.72657428941</v>
      </c>
      <c r="Y185" s="141">
        <f t="shared" si="15"/>
        <v>-899796.15484711865</v>
      </c>
      <c r="Z185" s="141">
        <f t="shared" si="20"/>
        <v>-1294629.0647664696</v>
      </c>
    </row>
    <row r="186" spans="1:26" ht="19.5" thickBot="1" x14ac:dyDescent="0.35">
      <c r="A186" s="142">
        <v>110</v>
      </c>
      <c r="B186" s="143" t="s">
        <v>221</v>
      </c>
      <c r="C186" s="142">
        <v>27</v>
      </c>
      <c r="D186" s="143" t="s">
        <v>241</v>
      </c>
      <c r="E186" s="142">
        <v>454466</v>
      </c>
      <c r="F186" s="143" t="s">
        <v>252</v>
      </c>
      <c r="G186" s="144">
        <v>1.8288818863853922</v>
      </c>
      <c r="H186" s="145">
        <v>72.467062135948012</v>
      </c>
      <c r="I186" s="146">
        <v>0.21987912663664513</v>
      </c>
      <c r="J186" s="147">
        <v>0.98268317812599093</v>
      </c>
      <c r="K186" s="148">
        <v>283</v>
      </c>
      <c r="M186" s="138">
        <f t="shared" si="14"/>
        <v>0.21987912663664513</v>
      </c>
      <c r="N186" s="149"/>
      <c r="U186" s="141">
        <f t="shared" si="16"/>
        <v>8643926.5328549091</v>
      </c>
      <c r="V186" s="141">
        <f t="shared" si="17"/>
        <v>1638250.753711544</v>
      </c>
      <c r="W186" s="141">
        <f t="shared" si="18"/>
        <v>1165350.4280228545</v>
      </c>
      <c r="X186" s="141">
        <f t="shared" si="19"/>
        <v>987940.86641253135</v>
      </c>
      <c r="Y186" s="141">
        <f t="shared" si="15"/>
        <v>681106.7155499449</v>
      </c>
      <c r="Z186" s="141">
        <f t="shared" si="20"/>
        <v>497100.3396384014</v>
      </c>
    </row>
    <row r="187" spans="1:26" ht="19.5" thickBot="1" x14ac:dyDescent="0.35">
      <c r="A187" s="142">
        <v>110</v>
      </c>
      <c r="B187" s="143" t="s">
        <v>221</v>
      </c>
      <c r="C187" s="142">
        <v>27</v>
      </c>
      <c r="D187" s="143" t="s">
        <v>241</v>
      </c>
      <c r="E187" s="142">
        <v>554496</v>
      </c>
      <c r="F187" s="143" t="s">
        <v>253</v>
      </c>
      <c r="G187" s="144">
        <v>3.0121534750010834</v>
      </c>
      <c r="H187" s="145">
        <v>154.98731579400419</v>
      </c>
      <c r="I187" s="146">
        <v>0.93847998749432349</v>
      </c>
      <c r="J187" s="147">
        <v>0.92608897886602315</v>
      </c>
      <c r="K187" s="148">
        <v>149</v>
      </c>
      <c r="M187" s="138">
        <f t="shared" si="14"/>
        <v>0.93847998749432349</v>
      </c>
      <c r="N187" s="149"/>
      <c r="U187" s="141">
        <f t="shared" si="16"/>
        <v>13416576.11246945</v>
      </c>
      <c r="V187" s="141">
        <f t="shared" si="17"/>
        <v>1878285.5317780927</v>
      </c>
      <c r="W187" s="141">
        <f t="shared" si="18"/>
        <v>1099422.5718700499</v>
      </c>
      <c r="X187" s="141">
        <f t="shared" si="19"/>
        <v>807230.47817551764</v>
      </c>
      <c r="Y187" s="141">
        <f t="shared" si="15"/>
        <v>301877.14691343129</v>
      </c>
      <c r="Z187" s="141">
        <f t="shared" si="20"/>
        <v>-1179.8458592093443</v>
      </c>
    </row>
    <row r="188" spans="1:26" ht="19.5" thickBot="1" x14ac:dyDescent="0.35">
      <c r="A188" s="142">
        <v>110</v>
      </c>
      <c r="B188" s="143" t="s">
        <v>221</v>
      </c>
      <c r="C188" s="142">
        <v>27</v>
      </c>
      <c r="D188" s="143" t="s">
        <v>241</v>
      </c>
      <c r="E188" s="142">
        <v>554516</v>
      </c>
      <c r="F188" s="143" t="s">
        <v>254</v>
      </c>
      <c r="G188" s="144">
        <v>2.6973816843382079</v>
      </c>
      <c r="H188" s="145">
        <v>102.98423318913953</v>
      </c>
      <c r="I188" s="146">
        <v>0.34164984454771402</v>
      </c>
      <c r="J188" s="147">
        <v>0.97309299162765717</v>
      </c>
      <c r="K188" s="148">
        <v>261</v>
      </c>
      <c r="M188" s="138">
        <f t="shared" si="14"/>
        <v>0.34164984454771402</v>
      </c>
      <c r="N188" s="149"/>
      <c r="U188" s="141">
        <f t="shared" si="16"/>
        <v>12624338.639166726</v>
      </c>
      <c r="V188" s="141">
        <f t="shared" si="17"/>
        <v>2291806.137343348</v>
      </c>
      <c r="W188" s="141">
        <f t="shared" si="18"/>
        <v>1594334.8099022245</v>
      </c>
      <c r="X188" s="141">
        <f t="shared" si="19"/>
        <v>1332676.9600014051</v>
      </c>
      <c r="Y188" s="141">
        <f t="shared" si="15"/>
        <v>880133.34587989666</v>
      </c>
      <c r="Z188" s="141">
        <f t="shared" si="20"/>
        <v>608745.98517602566</v>
      </c>
    </row>
    <row r="189" spans="1:26" ht="19.5" thickBot="1" x14ac:dyDescent="0.35">
      <c r="A189" s="142">
        <v>110</v>
      </c>
      <c r="B189" s="143" t="s">
        <v>221</v>
      </c>
      <c r="C189" s="142">
        <v>27</v>
      </c>
      <c r="D189" s="143" t="s">
        <v>241</v>
      </c>
      <c r="E189" s="142">
        <v>554531</v>
      </c>
      <c r="F189" s="143" t="s">
        <v>255</v>
      </c>
      <c r="G189" s="144">
        <v>2.5112282917332012</v>
      </c>
      <c r="H189" s="145">
        <v>182.64304540127773</v>
      </c>
      <c r="I189" s="146">
        <v>0.65524888920565738</v>
      </c>
      <c r="J189" s="147">
        <v>0.94839515477852743</v>
      </c>
      <c r="K189" s="148">
        <v>206</v>
      </c>
      <c r="M189" s="138">
        <f t="shared" si="14"/>
        <v>0.65524888920565738</v>
      </c>
      <c r="N189" s="149"/>
      <c r="U189" s="141">
        <f t="shared" si="16"/>
        <v>11454797.308516445</v>
      </c>
      <c r="V189" s="141">
        <f t="shared" si="17"/>
        <v>1835340.0049803371</v>
      </c>
      <c r="W189" s="141">
        <f t="shared" si="18"/>
        <v>1186003.0052102853</v>
      </c>
      <c r="X189" s="141">
        <f t="shared" si="19"/>
        <v>942402.85057135066</v>
      </c>
      <c r="Y189" s="141">
        <f t="shared" si="15"/>
        <v>521090.45951315103</v>
      </c>
      <c r="Z189" s="141">
        <f t="shared" si="20"/>
        <v>268432.25315865385</v>
      </c>
    </row>
    <row r="190" spans="1:26" ht="19.5" thickBot="1" x14ac:dyDescent="0.35">
      <c r="A190" s="142">
        <v>110</v>
      </c>
      <c r="B190" s="143" t="s">
        <v>221</v>
      </c>
      <c r="C190" s="142">
        <v>27</v>
      </c>
      <c r="D190" s="143" t="s">
        <v>241</v>
      </c>
      <c r="E190" s="142">
        <v>554533</v>
      </c>
      <c r="F190" s="143" t="s">
        <v>256</v>
      </c>
      <c r="G190" s="144">
        <v>3.5167137566137558</v>
      </c>
      <c r="H190" s="145">
        <v>165.49010373832357</v>
      </c>
      <c r="I190" s="146">
        <v>1.5621129336638691</v>
      </c>
      <c r="J190" s="147">
        <v>0.87697408192799953</v>
      </c>
      <c r="K190" s="148">
        <v>57</v>
      </c>
      <c r="M190" s="138">
        <f t="shared" si="14"/>
        <v>1.5621129336638691</v>
      </c>
      <c r="N190" s="149"/>
      <c r="U190" s="141">
        <f t="shared" si="16"/>
        <v>14833227.766619854</v>
      </c>
      <c r="V190" s="141">
        <f t="shared" si="17"/>
        <v>1362179.3789178904</v>
      </c>
      <c r="W190" s="141">
        <f t="shared" si="18"/>
        <v>452850.51889871858</v>
      </c>
      <c r="X190" s="141">
        <f t="shared" si="19"/>
        <v>111713.86567125721</v>
      </c>
      <c r="Y190" s="141">
        <f t="shared" si="15"/>
        <v>-478290.27148491086</v>
      </c>
      <c r="Z190" s="141">
        <f t="shared" si="20"/>
        <v>-832111.78302696731</v>
      </c>
    </row>
    <row r="191" spans="1:26" ht="19.5" thickBot="1" x14ac:dyDescent="0.35">
      <c r="A191" s="142">
        <v>110</v>
      </c>
      <c r="B191" s="143" t="s">
        <v>221</v>
      </c>
      <c r="C191" s="142">
        <v>27</v>
      </c>
      <c r="D191" s="143" t="s">
        <v>241</v>
      </c>
      <c r="E191" s="142">
        <v>454535</v>
      </c>
      <c r="F191" s="143" t="s">
        <v>257</v>
      </c>
      <c r="G191" s="144">
        <v>7.4460326411109019</v>
      </c>
      <c r="H191" s="145">
        <v>178.58613919554455</v>
      </c>
      <c r="I191" s="146">
        <v>0.71326113261674295</v>
      </c>
      <c r="J191" s="147">
        <v>0.94382633689650286</v>
      </c>
      <c r="K191" s="148">
        <v>192</v>
      </c>
      <c r="M191" s="138">
        <f t="shared" si="14"/>
        <v>0.71326113261674295</v>
      </c>
      <c r="N191" s="149"/>
      <c r="U191" s="141">
        <f t="shared" si="16"/>
        <v>33800950.599563681</v>
      </c>
      <c r="V191" s="141">
        <f t="shared" si="17"/>
        <v>5278337.4593353644</v>
      </c>
      <c r="W191" s="141">
        <f t="shared" si="18"/>
        <v>3352991.0018725842</v>
      </c>
      <c r="X191" s="141">
        <f t="shared" si="19"/>
        <v>2630693.1889687316</v>
      </c>
      <c r="Y191" s="141">
        <f t="shared" si="15"/>
        <v>1381461.5574794794</v>
      </c>
      <c r="Z191" s="141">
        <f t="shared" si="20"/>
        <v>632305.75282673631</v>
      </c>
    </row>
    <row r="192" spans="1:26" ht="19.5" thickBot="1" x14ac:dyDescent="0.35">
      <c r="A192" s="142">
        <v>110</v>
      </c>
      <c r="B192" s="143" t="s">
        <v>221</v>
      </c>
      <c r="C192" s="142">
        <v>27</v>
      </c>
      <c r="D192" s="143" t="s">
        <v>241</v>
      </c>
      <c r="E192" s="142">
        <v>454651</v>
      </c>
      <c r="F192" s="143" t="s">
        <v>540</v>
      </c>
      <c r="G192" s="144">
        <v>10.895669109990308</v>
      </c>
      <c r="H192" s="145">
        <v>210.10157011844467</v>
      </c>
      <c r="I192" s="146">
        <v>1.3995561189094852</v>
      </c>
      <c r="J192" s="147">
        <v>0.88977642223454323</v>
      </c>
      <c r="K192" s="148">
        <v>76</v>
      </c>
      <c r="M192" s="138">
        <f t="shared" si="14"/>
        <v>1.3995561189094852</v>
      </c>
      <c r="N192" s="149"/>
      <c r="U192" s="141">
        <f t="shared" si="16"/>
        <v>46627989.050672516</v>
      </c>
      <c r="V192" s="141">
        <f t="shared" si="17"/>
        <v>4891272.3443347961</v>
      </c>
      <c r="W192" s="141">
        <f t="shared" si="18"/>
        <v>2073941.4335376201</v>
      </c>
      <c r="X192" s="141">
        <f t="shared" si="19"/>
        <v>1017013.7584131763</v>
      </c>
      <c r="Y192" s="141">
        <f t="shared" si="15"/>
        <v>-810968.35696062061</v>
      </c>
      <c r="Z192" s="141">
        <f t="shared" si="20"/>
        <v>-1907196.9330022943</v>
      </c>
    </row>
    <row r="193" spans="1:26" ht="19.5" thickBot="1" x14ac:dyDescent="0.35">
      <c r="A193" s="142">
        <v>110</v>
      </c>
      <c r="B193" s="143" t="s">
        <v>221</v>
      </c>
      <c r="C193" s="142">
        <v>27</v>
      </c>
      <c r="D193" s="143" t="s">
        <v>241</v>
      </c>
      <c r="E193" s="142">
        <v>554686</v>
      </c>
      <c r="F193" s="143" t="s">
        <v>259</v>
      </c>
      <c r="G193" s="144">
        <v>1.7385762385762389</v>
      </c>
      <c r="H193" s="145">
        <v>59.361773565085045</v>
      </c>
      <c r="I193" s="146">
        <v>0.47126980618979103</v>
      </c>
      <c r="J193" s="147">
        <v>0.96288462932694174</v>
      </c>
      <c r="K193" s="148">
        <v>237</v>
      </c>
      <c r="M193" s="138">
        <f t="shared" si="14"/>
        <v>0.47126980618979103</v>
      </c>
      <c r="N193" s="149"/>
      <c r="U193" s="141">
        <f t="shared" si="16"/>
        <v>8051557.1614092402</v>
      </c>
      <c r="V193" s="141">
        <f t="shared" si="17"/>
        <v>1391804.2624070379</v>
      </c>
      <c r="W193" s="141">
        <f t="shared" si="18"/>
        <v>942254.58094441122</v>
      </c>
      <c r="X193" s="141">
        <f t="shared" si="19"/>
        <v>773605.06311166752</v>
      </c>
      <c r="Y193" s="141">
        <f t="shared" si="15"/>
        <v>481921.62097985711</v>
      </c>
      <c r="Z193" s="141">
        <f t="shared" si="20"/>
        <v>307001.02316115063</v>
      </c>
    </row>
    <row r="194" spans="1:26" ht="19.5" thickBot="1" x14ac:dyDescent="0.35">
      <c r="A194" s="142">
        <v>110</v>
      </c>
      <c r="B194" s="143" t="s">
        <v>221</v>
      </c>
      <c r="C194" s="142">
        <v>27</v>
      </c>
      <c r="D194" s="143" t="s">
        <v>241</v>
      </c>
      <c r="E194" s="142">
        <v>454696</v>
      </c>
      <c r="F194" s="143" t="s">
        <v>260</v>
      </c>
      <c r="G194" s="144">
        <v>4.5380946795140344</v>
      </c>
      <c r="H194" s="145">
        <v>275.73314022042331</v>
      </c>
      <c r="I194" s="146">
        <v>1.3139657964206561</v>
      </c>
      <c r="J194" s="147">
        <v>0.89651718199355079</v>
      </c>
      <c r="K194" s="148">
        <v>87</v>
      </c>
      <c r="M194" s="138">
        <f t="shared" si="14"/>
        <v>1.3139657964206561</v>
      </c>
      <c r="N194" s="149"/>
      <c r="U194" s="141">
        <f t="shared" si="16"/>
        <v>19567892.621337369</v>
      </c>
      <c r="V194" s="141">
        <f t="shared" si="17"/>
        <v>2184364.3484615921</v>
      </c>
      <c r="W194" s="141">
        <f t="shared" si="18"/>
        <v>1010933.4845418945</v>
      </c>
      <c r="X194" s="141">
        <f t="shared" si="19"/>
        <v>570718.4036052411</v>
      </c>
      <c r="Y194" s="141">
        <f t="shared" si="15"/>
        <v>-190644.28355808224</v>
      </c>
      <c r="Z194" s="141">
        <f t="shared" si="20"/>
        <v>-647228.36464994925</v>
      </c>
    </row>
    <row r="195" spans="1:26" ht="19.5" thickBot="1" x14ac:dyDescent="0.35">
      <c r="A195" s="142">
        <v>110</v>
      </c>
      <c r="B195" s="143" t="s">
        <v>221</v>
      </c>
      <c r="C195" s="142">
        <v>31</v>
      </c>
      <c r="D195" s="143" t="s">
        <v>261</v>
      </c>
      <c r="E195" s="142">
        <v>455151</v>
      </c>
      <c r="F195" s="143" t="s">
        <v>262</v>
      </c>
      <c r="G195" s="144">
        <v>9.600868431864221</v>
      </c>
      <c r="H195" s="145">
        <v>189.12830195376637</v>
      </c>
      <c r="I195" s="146">
        <v>1.0892635698549378</v>
      </c>
      <c r="J195" s="147">
        <v>0.91421385239447506</v>
      </c>
      <c r="K195" s="148">
        <v>121</v>
      </c>
      <c r="M195" s="138">
        <f t="shared" si="14"/>
        <v>1.0892635698549378</v>
      </c>
      <c r="N195" s="149"/>
      <c r="U195" s="141">
        <f t="shared" si="16"/>
        <v>42215331.359189615</v>
      </c>
      <c r="V195" s="141">
        <f t="shared" si="17"/>
        <v>5438450.3957134411</v>
      </c>
      <c r="W195" s="141">
        <f t="shared" si="18"/>
        <v>2955920.582212897</v>
      </c>
      <c r="X195" s="141">
        <f t="shared" si="19"/>
        <v>2024594.2498482626</v>
      </c>
      <c r="Y195" s="141">
        <f t="shared" si="15"/>
        <v>413842.71101777791</v>
      </c>
      <c r="Z195" s="141">
        <f t="shared" si="20"/>
        <v>-552114.14978444343</v>
      </c>
    </row>
    <row r="196" spans="1:26" ht="19.5" thickBot="1" x14ac:dyDescent="0.35">
      <c r="A196" s="142">
        <v>110</v>
      </c>
      <c r="B196" s="143" t="s">
        <v>221</v>
      </c>
      <c r="C196" s="142">
        <v>31</v>
      </c>
      <c r="D196" s="143" t="s">
        <v>261</v>
      </c>
      <c r="E196" s="142">
        <v>455231</v>
      </c>
      <c r="F196" s="143" t="s">
        <v>263</v>
      </c>
      <c r="G196" s="144">
        <v>4.5932318577479867</v>
      </c>
      <c r="H196" s="145">
        <v>229.71016811402822</v>
      </c>
      <c r="I196" s="146">
        <v>1.8083404563148715</v>
      </c>
      <c r="J196" s="147">
        <v>0.85758216321589686</v>
      </c>
      <c r="K196" s="148">
        <v>40</v>
      </c>
      <c r="M196" s="138">
        <f t="shared" si="14"/>
        <v>1.8083404563148715</v>
      </c>
      <c r="N196" s="149"/>
      <c r="U196" s="141">
        <f t="shared" si="16"/>
        <v>18945496.649804976</v>
      </c>
      <c r="V196" s="141">
        <f t="shared" si="17"/>
        <v>1350761.0830304474</v>
      </c>
      <c r="W196" s="141">
        <f t="shared" si="18"/>
        <v>163073.20790707649</v>
      </c>
      <c r="X196" s="141">
        <f t="shared" si="19"/>
        <v>-282490.42106416239</v>
      </c>
      <c r="Y196" s="141">
        <f t="shared" si="15"/>
        <v>-1053103.5521136192</v>
      </c>
      <c r="Z196" s="141">
        <f t="shared" si="20"/>
        <v>-1515235.0621675993</v>
      </c>
    </row>
    <row r="197" spans="1:26" ht="19.5" thickBot="1" x14ac:dyDescent="0.35">
      <c r="A197" s="142">
        <v>110</v>
      </c>
      <c r="B197" s="143" t="s">
        <v>221</v>
      </c>
      <c r="C197" s="142">
        <v>31</v>
      </c>
      <c r="D197" s="143" t="s">
        <v>261</v>
      </c>
      <c r="E197" s="142">
        <v>455298</v>
      </c>
      <c r="F197" s="143" t="s">
        <v>264</v>
      </c>
      <c r="G197" s="144">
        <v>1.9563433722788568</v>
      </c>
      <c r="H197" s="145">
        <v>92.238937579654362</v>
      </c>
      <c r="I197" s="146">
        <v>0.28732760851957267</v>
      </c>
      <c r="J197" s="147">
        <v>0.97737119892948854</v>
      </c>
      <c r="K197" s="148">
        <v>269</v>
      </c>
      <c r="M197" s="138">
        <f t="shared" ref="M197:M260" si="21">I197</f>
        <v>0.28732760851957267</v>
      </c>
      <c r="N197" s="149"/>
      <c r="U197" s="141">
        <f t="shared" si="16"/>
        <v>9196371.5075184796</v>
      </c>
      <c r="V197" s="141">
        <f t="shared" si="17"/>
        <v>1702444.4907501936</v>
      </c>
      <c r="W197" s="141">
        <f t="shared" si="18"/>
        <v>1196586.0070522327</v>
      </c>
      <c r="X197" s="141">
        <f t="shared" si="19"/>
        <v>1006812.1224624459</v>
      </c>
      <c r="Y197" s="141">
        <f t="shared" si="15"/>
        <v>678593.57434438611</v>
      </c>
      <c r="Z197" s="141">
        <f t="shared" si="20"/>
        <v>481763.11927160656</v>
      </c>
    </row>
    <row r="198" spans="1:26" ht="19.5" thickBot="1" x14ac:dyDescent="0.35">
      <c r="A198" s="142">
        <v>110</v>
      </c>
      <c r="B198" s="143" t="s">
        <v>221</v>
      </c>
      <c r="C198" s="142">
        <v>31</v>
      </c>
      <c r="D198" s="143" t="s">
        <v>261</v>
      </c>
      <c r="E198" s="142">
        <v>555406</v>
      </c>
      <c r="F198" s="143" t="s">
        <v>265</v>
      </c>
      <c r="G198" s="144">
        <v>2.6404956531183768</v>
      </c>
      <c r="H198" s="145">
        <v>187.4725315360356</v>
      </c>
      <c r="I198" s="146">
        <v>0.64659139346951167</v>
      </c>
      <c r="J198" s="147">
        <v>0.94907698535440355</v>
      </c>
      <c r="K198" s="148">
        <v>207</v>
      </c>
      <c r="M198" s="138">
        <f t="shared" si="21"/>
        <v>0.64659139346951167</v>
      </c>
      <c r="N198" s="149"/>
      <c r="U198" s="141">
        <f t="shared" si="16"/>
        <v>12053100.719741346</v>
      </c>
      <c r="V198" s="141">
        <f t="shared" si="17"/>
        <v>1938474.630603815</v>
      </c>
      <c r="W198" s="141">
        <f t="shared" si="18"/>
        <v>1255712.5213419823</v>
      </c>
      <c r="X198" s="141">
        <f t="shared" si="19"/>
        <v>999572.86588312709</v>
      </c>
      <c r="Y198" s="141">
        <f t="shared" ref="Y198:Y261" si="22">((((($R$5-$M198)))/0.003)*G198*1000)+(((((($R$5/$O$2)-($M198/$O$2))))/0.003)*G198*1000)*$O$3</f>
        <v>556573.10323459539</v>
      </c>
      <c r="Z198" s="141">
        <f t="shared" si="20"/>
        <v>290909.12604863977</v>
      </c>
    </row>
    <row r="199" spans="1:26" ht="19.5" thickBot="1" x14ac:dyDescent="0.35">
      <c r="A199" s="142">
        <v>110</v>
      </c>
      <c r="B199" s="143" t="s">
        <v>221</v>
      </c>
      <c r="C199" s="142">
        <v>31</v>
      </c>
      <c r="D199" s="143" t="s">
        <v>261</v>
      </c>
      <c r="E199" s="142">
        <v>554412</v>
      </c>
      <c r="F199" s="143" t="s">
        <v>266</v>
      </c>
      <c r="G199" s="144">
        <v>2.6921407279830221</v>
      </c>
      <c r="H199" s="145">
        <v>62.1477301765538</v>
      </c>
      <c r="I199" s="146">
        <v>0.26345497444012994</v>
      </c>
      <c r="J199" s="147">
        <v>0.97925131441994273</v>
      </c>
      <c r="K199" s="148">
        <v>275</v>
      </c>
      <c r="M199" s="138">
        <f t="shared" si="21"/>
        <v>0.26345497444012994</v>
      </c>
      <c r="N199" s="149"/>
      <c r="U199" s="141">
        <f t="shared" ref="U199:U262" si="23">((((($N$5-$M199)))/0.003)*G199*1000)+(((((($N$5/$O$2)-($M199/$O$2))))/0.003)*G199*1000)*$O$3</f>
        <v>12679549.052842736</v>
      </c>
      <c r="V199" s="141">
        <f t="shared" ref="V199:V262" si="24">((((($O$5-$M199)))/0.003)*G199*1000)+(((((($O$5/$O$2)-($M199/$O$2))))/0.003)*G199*1000)*$O$3</f>
        <v>2367092.4461716893</v>
      </c>
      <c r="W199" s="141">
        <f t="shared" ref="W199:W262" si="25">((((($P$5-$M199)))/0.003)*G199*1000)+(((((($P$5/$O$2)-($M199/$O$2))))/0.003)*G199*1000)*$O$3</f>
        <v>1670976.2909730915</v>
      </c>
      <c r="X199" s="141">
        <f t="shared" ref="X199:X262" si="26">((((($Q$5-$M199)))/0.003)*G199*1000)+(((((($Q$5/$O$2)-($M199/$O$2))))/0.003)*G199*1000)*$O$3</f>
        <v>1409826.8368174068</v>
      </c>
      <c r="Y199" s="141">
        <f t="shared" si="22"/>
        <v>958162.50549973745</v>
      </c>
      <c r="Z199" s="141">
        <f t="shared" ref="Z199:Z262" si="27">((((($S$5-$M199)))/0.003)*G199*1000)+(((((($S$5/$O$2)-($M199/$O$2))))/0.003)*G199*1000)*$O$3</f>
        <v>687302.44477756973</v>
      </c>
    </row>
    <row r="200" spans="1:26" ht="19.5" thickBot="1" x14ac:dyDescent="0.35">
      <c r="A200" s="142">
        <v>110</v>
      </c>
      <c r="B200" s="143" t="s">
        <v>221</v>
      </c>
      <c r="C200" s="142">
        <v>31</v>
      </c>
      <c r="D200" s="143" t="s">
        <v>261</v>
      </c>
      <c r="E200" s="142">
        <v>554413</v>
      </c>
      <c r="F200" s="143" t="s">
        <v>267</v>
      </c>
      <c r="G200" s="144">
        <v>3.8745519713261647</v>
      </c>
      <c r="H200" s="145">
        <v>224.91488429866791</v>
      </c>
      <c r="I200" s="146">
        <v>1.4616760235278445</v>
      </c>
      <c r="J200" s="147">
        <v>0.88488410098713244</v>
      </c>
      <c r="K200" s="148">
        <v>69</v>
      </c>
      <c r="M200" s="138">
        <f t="shared" si="21"/>
        <v>1.4616760235278445</v>
      </c>
      <c r="N200" s="149"/>
      <c r="U200" s="141">
        <f t="shared" si="23"/>
        <v>16489966.35154831</v>
      </c>
      <c r="V200" s="141">
        <f t="shared" si="24"/>
        <v>1648190.5635016116</v>
      </c>
      <c r="W200" s="141">
        <f t="shared" si="25"/>
        <v>646334.23654152779</v>
      </c>
      <c r="X200" s="141">
        <f t="shared" si="26"/>
        <v>270485.70756520698</v>
      </c>
      <c r="Y200" s="141">
        <f t="shared" si="22"/>
        <v>-379553.46278518718</v>
      </c>
      <c r="Z200" s="141">
        <f t="shared" si="27"/>
        <v>-769377.57982191676</v>
      </c>
    </row>
    <row r="201" spans="1:26" ht="19.5" thickBot="1" x14ac:dyDescent="0.35">
      <c r="A201" s="142">
        <v>110</v>
      </c>
      <c r="B201" s="143" t="s">
        <v>221</v>
      </c>
      <c r="C201" s="142">
        <v>31</v>
      </c>
      <c r="D201" s="143" t="s">
        <v>261</v>
      </c>
      <c r="E201" s="142">
        <v>454414</v>
      </c>
      <c r="F201" s="143" t="s">
        <v>268</v>
      </c>
      <c r="G201" s="144">
        <v>3.2393056718394044</v>
      </c>
      <c r="H201" s="145">
        <v>174.45076131982151</v>
      </c>
      <c r="I201" s="146">
        <v>1.1018831605889143</v>
      </c>
      <c r="J201" s="147">
        <v>0.91321998267975535</v>
      </c>
      <c r="K201" s="148">
        <v>116</v>
      </c>
      <c r="M201" s="138">
        <f t="shared" si="21"/>
        <v>1.1018831605889143</v>
      </c>
      <c r="N201" s="149"/>
      <c r="U201" s="141">
        <f t="shared" si="23"/>
        <v>14227848.238050204</v>
      </c>
      <c r="V201" s="141">
        <f t="shared" si="24"/>
        <v>1819433.3177741906</v>
      </c>
      <c r="W201" s="141">
        <f t="shared" si="25"/>
        <v>981834.82734041824</v>
      </c>
      <c r="X201" s="141">
        <f t="shared" si="26"/>
        <v>667607.97461639182</v>
      </c>
      <c r="Y201" s="141">
        <f t="shared" si="22"/>
        <v>124144.99179489908</v>
      </c>
      <c r="Z201" s="141">
        <f t="shared" si="27"/>
        <v>-201766.10261859364</v>
      </c>
    </row>
    <row r="202" spans="1:26" ht="19.5" thickBot="1" x14ac:dyDescent="0.35">
      <c r="A202" s="142">
        <v>110</v>
      </c>
      <c r="B202" s="143" t="s">
        <v>221</v>
      </c>
      <c r="C202" s="142">
        <v>31</v>
      </c>
      <c r="D202" s="143" t="s">
        <v>261</v>
      </c>
      <c r="E202" s="142">
        <v>455456</v>
      </c>
      <c r="F202" s="143" t="s">
        <v>269</v>
      </c>
      <c r="G202" s="144">
        <v>1.6022852177690901</v>
      </c>
      <c r="H202" s="145">
        <v>432.15608503466149</v>
      </c>
      <c r="I202" s="146">
        <v>2.8887787923579582</v>
      </c>
      <c r="J202" s="147">
        <v>0.77249105658244588</v>
      </c>
      <c r="K202" s="148">
        <v>7</v>
      </c>
      <c r="M202" s="138">
        <f t="shared" si="21"/>
        <v>2.8887787923579582</v>
      </c>
      <c r="N202" s="149"/>
      <c r="U202" s="141">
        <f t="shared" si="23"/>
        <v>5953127.3465695176</v>
      </c>
      <c r="V202" s="141">
        <f t="shared" si="24"/>
        <v>-184552.08749698213</v>
      </c>
      <c r="W202" s="141">
        <f t="shared" si="25"/>
        <v>-598860.52751698717</v>
      </c>
      <c r="X202" s="141">
        <f t="shared" si="26"/>
        <v>-754289.21877103474</v>
      </c>
      <c r="Y202" s="141">
        <f t="shared" si="22"/>
        <v>-1023106.9198449538</v>
      </c>
      <c r="Z202" s="141">
        <f t="shared" si="27"/>
        <v>-1184315.0865905015</v>
      </c>
    </row>
    <row r="203" spans="1:26" ht="19.5" thickBot="1" x14ac:dyDescent="0.35">
      <c r="A203" s="142">
        <v>110</v>
      </c>
      <c r="B203" s="143" t="s">
        <v>221</v>
      </c>
      <c r="C203" s="142">
        <v>31</v>
      </c>
      <c r="D203" s="143" t="s">
        <v>261</v>
      </c>
      <c r="E203" s="142">
        <v>455566</v>
      </c>
      <c r="F203" s="143" t="s">
        <v>270</v>
      </c>
      <c r="G203" s="144">
        <v>2.8902111342504053</v>
      </c>
      <c r="H203" s="145">
        <v>98.840742935581559</v>
      </c>
      <c r="I203" s="146">
        <v>0.79016816459753403</v>
      </c>
      <c r="J203" s="147">
        <v>0.93776943920893441</v>
      </c>
      <c r="K203" s="148">
        <v>174</v>
      </c>
      <c r="M203" s="138">
        <f t="shared" si="21"/>
        <v>0.79016816459753403</v>
      </c>
      <c r="N203" s="149"/>
      <c r="U203" s="141">
        <f t="shared" si="23"/>
        <v>13035795.294813961</v>
      </c>
      <c r="V203" s="141">
        <f t="shared" si="24"/>
        <v>1964614.4325842429</v>
      </c>
      <c r="W203" s="141">
        <f t="shared" si="25"/>
        <v>1217282.5262043257</v>
      </c>
      <c r="X203" s="141">
        <f t="shared" si="26"/>
        <v>936919.37421202171</v>
      </c>
      <c r="Y203" s="141">
        <f t="shared" si="22"/>
        <v>452024.48526759632</v>
      </c>
      <c r="Z203" s="141">
        <f t="shared" si="27"/>
        <v>161236.28270975166</v>
      </c>
    </row>
    <row r="204" spans="1:26" ht="19.5" thickBot="1" x14ac:dyDescent="0.35">
      <c r="A204" s="142">
        <v>110</v>
      </c>
      <c r="B204" s="143" t="s">
        <v>221</v>
      </c>
      <c r="C204" s="142">
        <v>31</v>
      </c>
      <c r="D204" s="143" t="s">
        <v>261</v>
      </c>
      <c r="E204" s="142">
        <v>555624</v>
      </c>
      <c r="F204" s="143" t="s">
        <v>271</v>
      </c>
      <c r="G204" s="144">
        <v>2.6579356498262534</v>
      </c>
      <c r="H204" s="145">
        <v>196.33939120915636</v>
      </c>
      <c r="I204" s="146">
        <v>1.0503025103269477</v>
      </c>
      <c r="J204" s="147">
        <v>0.91728227338644941</v>
      </c>
      <c r="K204" s="148">
        <v>127</v>
      </c>
      <c r="M204" s="138">
        <f t="shared" si="21"/>
        <v>1.0503025103269477</v>
      </c>
      <c r="N204" s="149"/>
      <c r="U204" s="141">
        <f t="shared" si="23"/>
        <v>11726255.420089127</v>
      </c>
      <c r="V204" s="141">
        <f t="shared" si="24"/>
        <v>1544824.0531289869</v>
      </c>
      <c r="W204" s="141">
        <f t="shared" si="25"/>
        <v>857552.42349595902</v>
      </c>
      <c r="X204" s="141">
        <f t="shared" si="26"/>
        <v>599721.0118917441</v>
      </c>
      <c r="Y204" s="141">
        <f t="shared" si="22"/>
        <v>153795.31585148099</v>
      </c>
      <c r="Z204" s="141">
        <f t="shared" si="27"/>
        <v>-113623.32390400127</v>
      </c>
    </row>
    <row r="205" spans="1:26" ht="19.5" thickBot="1" x14ac:dyDescent="0.35">
      <c r="A205" s="142">
        <v>110</v>
      </c>
      <c r="B205" s="143" t="s">
        <v>221</v>
      </c>
      <c r="C205" s="142">
        <v>31</v>
      </c>
      <c r="D205" s="143" t="s">
        <v>261</v>
      </c>
      <c r="E205" s="142">
        <v>455676</v>
      </c>
      <c r="F205" s="143" t="s">
        <v>272</v>
      </c>
      <c r="G205" s="144">
        <v>1.9523576781641299</v>
      </c>
      <c r="H205" s="145">
        <v>17.986489050008942</v>
      </c>
      <c r="I205" s="146">
        <v>0.13899962237205696</v>
      </c>
      <c r="J205" s="147">
        <v>0.98905293222694535</v>
      </c>
      <c r="K205" s="148">
        <v>291</v>
      </c>
      <c r="M205" s="138">
        <f t="shared" si="21"/>
        <v>0.13899962237205696</v>
      </c>
      <c r="N205" s="149"/>
      <c r="U205" s="141">
        <f t="shared" si="23"/>
        <v>9287328.4818261005</v>
      </c>
      <c r="V205" s="141">
        <f t="shared" si="24"/>
        <v>1808668.9795596944</v>
      </c>
      <c r="W205" s="141">
        <f t="shared" si="25"/>
        <v>1303841.0905977746</v>
      </c>
      <c r="X205" s="141">
        <f t="shared" si="26"/>
        <v>1114453.8358121705</v>
      </c>
      <c r="Y205" s="141">
        <f t="shared" si="22"/>
        <v>786903.97334209818</v>
      </c>
      <c r="Z205" s="141">
        <f t="shared" si="27"/>
        <v>590474.52455354226</v>
      </c>
    </row>
    <row r="206" spans="1:26" ht="19.5" thickBot="1" x14ac:dyDescent="0.35">
      <c r="A206" s="142">
        <v>110</v>
      </c>
      <c r="B206" s="143" t="s">
        <v>221</v>
      </c>
      <c r="C206" s="142">
        <v>31</v>
      </c>
      <c r="D206" s="143" t="s">
        <v>261</v>
      </c>
      <c r="E206" s="142">
        <v>455678</v>
      </c>
      <c r="F206" s="143" t="s">
        <v>273</v>
      </c>
      <c r="G206" s="144">
        <v>9.0627591209834257</v>
      </c>
      <c r="H206" s="145">
        <v>200.40352169295193</v>
      </c>
      <c r="I206" s="146">
        <v>1.0790113873443512</v>
      </c>
      <c r="J206" s="147">
        <v>0.9150212742769942</v>
      </c>
      <c r="K206" s="148">
        <v>123</v>
      </c>
      <c r="M206" s="138">
        <f t="shared" si="21"/>
        <v>1.0790113873443512</v>
      </c>
      <c r="N206" s="149"/>
      <c r="U206" s="141">
        <f t="shared" si="23"/>
        <v>39884441.524955131</v>
      </c>
      <c r="V206" s="141">
        <f t="shared" si="24"/>
        <v>5168830.5613802681</v>
      </c>
      <c r="W206" s="141">
        <f t="shared" si="25"/>
        <v>2825441.5367223453</v>
      </c>
      <c r="X206" s="141">
        <f t="shared" si="26"/>
        <v>1946314.1668235008</v>
      </c>
      <c r="Y206" s="141">
        <f t="shared" si="22"/>
        <v>425842.0028966</v>
      </c>
      <c r="Z206" s="141">
        <f t="shared" si="27"/>
        <v>-485974.9241698634</v>
      </c>
    </row>
    <row r="207" spans="1:26" ht="19.5" thickBot="1" x14ac:dyDescent="0.35">
      <c r="A207" s="142">
        <v>110</v>
      </c>
      <c r="B207" s="143" t="s">
        <v>221</v>
      </c>
      <c r="C207" s="142">
        <v>31</v>
      </c>
      <c r="D207" s="143" t="s">
        <v>261</v>
      </c>
      <c r="E207" s="142">
        <v>555679</v>
      </c>
      <c r="F207" s="143" t="s">
        <v>274</v>
      </c>
      <c r="G207" s="144">
        <v>3.757448525190461</v>
      </c>
      <c r="H207" s="145">
        <v>267.66807631490298</v>
      </c>
      <c r="I207" s="146">
        <v>1.4573844277726797</v>
      </c>
      <c r="J207" s="147">
        <v>0.88522209031965449</v>
      </c>
      <c r="K207" s="148">
        <v>70</v>
      </c>
      <c r="M207" s="138">
        <f t="shared" si="21"/>
        <v>1.4573844277726797</v>
      </c>
      <c r="N207" s="149"/>
      <c r="U207" s="141">
        <f t="shared" si="23"/>
        <v>15997686.043379279</v>
      </c>
      <c r="V207" s="141">
        <f t="shared" si="24"/>
        <v>1604484.2077317357</v>
      </c>
      <c r="W207" s="141">
        <f t="shared" si="25"/>
        <v>632907.72455439705</v>
      </c>
      <c r="X207" s="141">
        <f t="shared" si="26"/>
        <v>268418.743286788</v>
      </c>
      <c r="Y207" s="141">
        <f t="shared" si="22"/>
        <v>-361973.81307195796</v>
      </c>
      <c r="Z207" s="141">
        <f t="shared" si="27"/>
        <v>-740015.98787907173</v>
      </c>
    </row>
    <row r="208" spans="1:26" ht="19.5" thickBot="1" x14ac:dyDescent="0.35">
      <c r="A208" s="142">
        <v>110</v>
      </c>
      <c r="B208" s="143" t="s">
        <v>221</v>
      </c>
      <c r="C208" s="142">
        <v>31</v>
      </c>
      <c r="D208" s="143" t="s">
        <v>261</v>
      </c>
      <c r="E208" s="142">
        <v>554700</v>
      </c>
      <c r="F208" s="143" t="s">
        <v>275</v>
      </c>
      <c r="G208" s="144">
        <v>2.6247581669761875</v>
      </c>
      <c r="H208" s="145">
        <v>271.32698900045403</v>
      </c>
      <c r="I208" s="146">
        <v>1.8134505878625513</v>
      </c>
      <c r="J208" s="147">
        <v>0.85717970919892161</v>
      </c>
      <c r="K208" s="148">
        <v>37</v>
      </c>
      <c r="M208" s="138">
        <f t="shared" si="21"/>
        <v>1.8134505878625513</v>
      </c>
      <c r="N208" s="149"/>
      <c r="U208" s="141">
        <f t="shared" si="23"/>
        <v>10821141.212367298</v>
      </c>
      <c r="V208" s="141">
        <f t="shared" si="24"/>
        <v>766798.80054740759</v>
      </c>
      <c r="W208" s="141">
        <f t="shared" si="25"/>
        <v>88105.987601298839</v>
      </c>
      <c r="X208" s="141">
        <f t="shared" si="26"/>
        <v>-166507.06270163078</v>
      </c>
      <c r="Y208" s="141">
        <f t="shared" si="22"/>
        <v>-606866.52461062488</v>
      </c>
      <c r="Z208" s="141">
        <f t="shared" si="27"/>
        <v>-870947.13120685611</v>
      </c>
    </row>
    <row r="209" spans="1:26" ht="19.5" thickBot="1" x14ac:dyDescent="0.35">
      <c r="A209" s="142">
        <v>160</v>
      </c>
      <c r="B209" s="143" t="s">
        <v>276</v>
      </c>
      <c r="C209" s="142">
        <v>45</v>
      </c>
      <c r="D209" s="143" t="s">
        <v>277</v>
      </c>
      <c r="E209" s="142">
        <v>557105</v>
      </c>
      <c r="F209" s="143" t="s">
        <v>278</v>
      </c>
      <c r="G209" s="144">
        <v>3.8480691393992146</v>
      </c>
      <c r="H209" s="145">
        <v>267.95574334742429</v>
      </c>
      <c r="I209" s="146">
        <v>1.837077387129195</v>
      </c>
      <c r="J209" s="147">
        <v>0.85531895469888419</v>
      </c>
      <c r="K209" s="148">
        <v>35</v>
      </c>
      <c r="M209" s="138">
        <f t="shared" si="21"/>
        <v>1.837077387129195</v>
      </c>
      <c r="N209" s="149"/>
      <c r="U209" s="141">
        <f t="shared" si="23"/>
        <v>15830070.52742162</v>
      </c>
      <c r="V209" s="141">
        <f t="shared" si="24"/>
        <v>1089739.3080892181</v>
      </c>
      <c r="W209" s="141">
        <f t="shared" si="25"/>
        <v>94730.738732642159</v>
      </c>
      <c r="X209" s="141">
        <f t="shared" si="26"/>
        <v>-278548.83943426027</v>
      </c>
      <c r="Y209" s="141">
        <f t="shared" si="22"/>
        <v>-924144.94689074485</v>
      </c>
      <c r="Z209" s="141">
        <f t="shared" si="27"/>
        <v>-1311304.589002643</v>
      </c>
    </row>
    <row r="210" spans="1:26" ht="19.5" thickBot="1" x14ac:dyDescent="0.35">
      <c r="A210" s="142">
        <v>160</v>
      </c>
      <c r="B210" s="143" t="s">
        <v>276</v>
      </c>
      <c r="C210" s="142">
        <v>45</v>
      </c>
      <c r="D210" s="143" t="s">
        <v>277</v>
      </c>
      <c r="E210" s="142">
        <v>557178</v>
      </c>
      <c r="F210" s="143" t="s">
        <v>279</v>
      </c>
      <c r="G210" s="144">
        <v>2.9895671015622725</v>
      </c>
      <c r="H210" s="145">
        <v>82.921168670358526</v>
      </c>
      <c r="I210" s="146">
        <v>0.27800483996685699</v>
      </c>
      <c r="J210" s="147">
        <v>0.97810542379598431</v>
      </c>
      <c r="K210" s="148">
        <v>272</v>
      </c>
      <c r="M210" s="138">
        <f t="shared" si="21"/>
        <v>0.27800483996685699</v>
      </c>
      <c r="N210" s="149"/>
      <c r="U210" s="141">
        <f t="shared" si="23"/>
        <v>14063902.909915293</v>
      </c>
      <c r="V210" s="141">
        <f t="shared" si="24"/>
        <v>2612131.2075161249</v>
      </c>
      <c r="W210" s="141">
        <f t="shared" si="25"/>
        <v>1839108.4844406806</v>
      </c>
      <c r="X210" s="141">
        <f t="shared" si="26"/>
        <v>1549107.3679984114</v>
      </c>
      <c r="Y210" s="141">
        <f t="shared" si="22"/>
        <v>1047543.385171975</v>
      </c>
      <c r="Z210" s="141">
        <f t="shared" si="27"/>
        <v>746758.83916169696</v>
      </c>
    </row>
    <row r="211" spans="1:26" ht="19.5" thickBot="1" x14ac:dyDescent="0.35">
      <c r="A211" s="142">
        <v>160</v>
      </c>
      <c r="B211" s="143" t="s">
        <v>276</v>
      </c>
      <c r="C211" s="142">
        <v>45</v>
      </c>
      <c r="D211" s="143" t="s">
        <v>277</v>
      </c>
      <c r="E211" s="142">
        <v>557224</v>
      </c>
      <c r="F211" s="143" t="s">
        <v>280</v>
      </c>
      <c r="G211" s="144">
        <v>3.3355971104975688</v>
      </c>
      <c r="H211" s="145">
        <v>153.05719278664424</v>
      </c>
      <c r="I211" s="146">
        <v>0.6031106255814902</v>
      </c>
      <c r="J211" s="147">
        <v>0.95250136093738591</v>
      </c>
      <c r="K211" s="148">
        <v>214</v>
      </c>
      <c r="M211" s="138">
        <f t="shared" si="21"/>
        <v>0.6031106255814902</v>
      </c>
      <c r="N211" s="149"/>
      <c r="U211" s="141">
        <f t="shared" si="23"/>
        <v>15280975.53927017</v>
      </c>
      <c r="V211" s="141">
        <f t="shared" si="24"/>
        <v>2503708.6966430498</v>
      </c>
      <c r="W211" s="141">
        <f t="shared" si="25"/>
        <v>1641211.795305074</v>
      </c>
      <c r="X211" s="141">
        <f t="shared" si="26"/>
        <v>1317644.2508467471</v>
      </c>
      <c r="Y211" s="141">
        <f t="shared" si="22"/>
        <v>758026.31453374773</v>
      </c>
      <c r="Z211" s="141">
        <f t="shared" si="27"/>
        <v>422427.20320090337</v>
      </c>
    </row>
    <row r="212" spans="1:26" ht="19.5" thickBot="1" x14ac:dyDescent="0.35">
      <c r="A212" s="142">
        <v>160</v>
      </c>
      <c r="B212" s="143" t="s">
        <v>276</v>
      </c>
      <c r="C212" s="142">
        <v>45</v>
      </c>
      <c r="D212" s="143" t="s">
        <v>277</v>
      </c>
      <c r="E212" s="142">
        <v>557432</v>
      </c>
      <c r="F212" s="143" t="s">
        <v>281</v>
      </c>
      <c r="G212" s="144">
        <v>3.7485562538819845</v>
      </c>
      <c r="H212" s="145">
        <v>149.65461898005211</v>
      </c>
      <c r="I212" s="146">
        <v>0.84056006640875625</v>
      </c>
      <c r="J212" s="147">
        <v>0.93380076969079717</v>
      </c>
      <c r="K212" s="148">
        <v>166</v>
      </c>
      <c r="M212" s="138">
        <f t="shared" si="21"/>
        <v>0.84056006640875625</v>
      </c>
      <c r="N212" s="149"/>
      <c r="U212" s="141">
        <f t="shared" si="23"/>
        <v>16835660.01540532</v>
      </c>
      <c r="V212" s="141">
        <f t="shared" si="24"/>
        <v>2476520.7237586267</v>
      </c>
      <c r="W212" s="141">
        <f t="shared" si="25"/>
        <v>1507243.5459815958</v>
      </c>
      <c r="X212" s="141">
        <f t="shared" si="26"/>
        <v>1143617.1540185781</v>
      </c>
      <c r="Y212" s="141">
        <f t="shared" si="22"/>
        <v>514716.46683765436</v>
      </c>
      <c r="Z212" s="141">
        <f t="shared" si="27"/>
        <v>137568.95593927935</v>
      </c>
    </row>
    <row r="213" spans="1:26" ht="19.5" thickBot="1" x14ac:dyDescent="0.35">
      <c r="A213" s="142">
        <v>160</v>
      </c>
      <c r="B213" s="143" t="s">
        <v>276</v>
      </c>
      <c r="C213" s="142">
        <v>45</v>
      </c>
      <c r="D213" s="143" t="s">
        <v>277</v>
      </c>
      <c r="E213" s="142">
        <v>557433</v>
      </c>
      <c r="F213" s="143" t="s">
        <v>282</v>
      </c>
      <c r="G213" s="144">
        <v>3.1089604484710822</v>
      </c>
      <c r="H213" s="145">
        <v>80.068515738892117</v>
      </c>
      <c r="I213" s="146">
        <v>0.25655834450781012</v>
      </c>
      <c r="J213" s="147">
        <v>0.97979446607738174</v>
      </c>
      <c r="K213" s="148">
        <v>277</v>
      </c>
      <c r="M213" s="138">
        <f t="shared" si="21"/>
        <v>0.25655834450781012</v>
      </c>
      <c r="N213" s="149"/>
      <c r="U213" s="141">
        <f t="shared" si="23"/>
        <v>14650824.498889977</v>
      </c>
      <c r="V213" s="141">
        <f t="shared" si="24"/>
        <v>2741707.1992401131</v>
      </c>
      <c r="W213" s="141">
        <f t="shared" si="25"/>
        <v>1937812.5248054543</v>
      </c>
      <c r="X213" s="141">
        <f t="shared" si="26"/>
        <v>1636229.7302395396</v>
      </c>
      <c r="Y213" s="141">
        <f t="shared" si="22"/>
        <v>1114634.953467295</v>
      </c>
      <c r="Z213" s="141">
        <f t="shared" si="27"/>
        <v>801838.07509363</v>
      </c>
    </row>
    <row r="214" spans="1:26" ht="19.5" thickBot="1" x14ac:dyDescent="0.35">
      <c r="A214" s="142">
        <v>160</v>
      </c>
      <c r="B214" s="143" t="s">
        <v>276</v>
      </c>
      <c r="C214" s="142">
        <v>45</v>
      </c>
      <c r="D214" s="143" t="s">
        <v>277</v>
      </c>
      <c r="E214" s="142">
        <v>557434</v>
      </c>
      <c r="F214" s="143" t="s">
        <v>283</v>
      </c>
      <c r="G214" s="144">
        <v>3.7472367864044478</v>
      </c>
      <c r="H214" s="145">
        <v>131.97579514971775</v>
      </c>
      <c r="I214" s="146">
        <v>0.52177455681311991</v>
      </c>
      <c r="J214" s="147">
        <v>0.95890707227678718</v>
      </c>
      <c r="K214" s="148">
        <v>228</v>
      </c>
      <c r="M214" s="138">
        <f t="shared" si="21"/>
        <v>0.52177455681311991</v>
      </c>
      <c r="N214" s="149"/>
      <c r="U214" s="141">
        <f t="shared" si="23"/>
        <v>17282220.634645782</v>
      </c>
      <c r="V214" s="141">
        <f t="shared" si="24"/>
        <v>2928135.666855406</v>
      </c>
      <c r="W214" s="141">
        <f t="shared" si="25"/>
        <v>1959199.6683554554</v>
      </c>
      <c r="X214" s="141">
        <f t="shared" si="26"/>
        <v>1595701.2705228906</v>
      </c>
      <c r="Y214" s="141">
        <f t="shared" si="22"/>
        <v>967021.95230301085</v>
      </c>
      <c r="Z214" s="141">
        <f t="shared" si="27"/>
        <v>590007.1948812172</v>
      </c>
    </row>
    <row r="215" spans="1:26" ht="19.5" thickBot="1" x14ac:dyDescent="0.35">
      <c r="A215" s="142">
        <v>160</v>
      </c>
      <c r="B215" s="143" t="s">
        <v>276</v>
      </c>
      <c r="C215" s="142">
        <v>45</v>
      </c>
      <c r="D215" s="143" t="s">
        <v>277</v>
      </c>
      <c r="E215" s="142">
        <v>557436</v>
      </c>
      <c r="F215" s="143" t="s">
        <v>284</v>
      </c>
      <c r="G215" s="144">
        <v>4.8968438782934056</v>
      </c>
      <c r="H215" s="145">
        <v>250.55536130908806</v>
      </c>
      <c r="I215" s="146">
        <v>1.6459766273800451</v>
      </c>
      <c r="J215" s="147">
        <v>0.87036930471247342</v>
      </c>
      <c r="K215" s="148">
        <v>50</v>
      </c>
      <c r="M215" s="138">
        <f t="shared" si="21"/>
        <v>1.6459766273800451</v>
      </c>
      <c r="N215" s="149"/>
      <c r="U215" s="141">
        <f t="shared" si="23"/>
        <v>20498954.482575197</v>
      </c>
      <c r="V215" s="141">
        <f t="shared" si="24"/>
        <v>1741209.2133011578</v>
      </c>
      <c r="W215" s="141">
        <f t="shared" si="25"/>
        <v>475015.32613416691</v>
      </c>
      <c r="X215" s="141">
        <f t="shared" si="26"/>
        <v>0</v>
      </c>
      <c r="Y215" s="141">
        <f t="shared" si="22"/>
        <v>-821550.55746787169</v>
      </c>
      <c r="Z215" s="141">
        <f t="shared" si="27"/>
        <v>-1314228.8994411938</v>
      </c>
    </row>
    <row r="216" spans="1:26" ht="19.5" thickBot="1" x14ac:dyDescent="0.35">
      <c r="A216" s="142">
        <v>160</v>
      </c>
      <c r="B216" s="143" t="s">
        <v>276</v>
      </c>
      <c r="C216" s="142">
        <v>45</v>
      </c>
      <c r="D216" s="143" t="s">
        <v>277</v>
      </c>
      <c r="E216" s="142">
        <v>557437</v>
      </c>
      <c r="F216" s="143" t="s">
        <v>541</v>
      </c>
      <c r="G216" s="144">
        <v>3.1521611030053944</v>
      </c>
      <c r="H216" s="145">
        <v>73.288475382726872</v>
      </c>
      <c r="I216" s="146">
        <v>0.27714430057749023</v>
      </c>
      <c r="J216" s="147">
        <v>0.97817319651979473</v>
      </c>
      <c r="K216" s="148">
        <v>273</v>
      </c>
      <c r="M216" s="138">
        <f t="shared" si="21"/>
        <v>0.27714430057749023</v>
      </c>
      <c r="N216" s="149"/>
      <c r="U216" s="141">
        <f t="shared" si="23"/>
        <v>14829825.836470492</v>
      </c>
      <c r="V216" s="141">
        <f t="shared" si="24"/>
        <v>2755225.0349241071</v>
      </c>
      <c r="W216" s="141">
        <f t="shared" si="25"/>
        <v>1940159.8175739523</v>
      </c>
      <c r="X216" s="141">
        <f t="shared" si="26"/>
        <v>1634386.3701073413</v>
      </c>
      <c r="Y216" s="141">
        <f t="shared" si="22"/>
        <v>1105543.757239491</v>
      </c>
      <c r="Z216" s="141">
        <f t="shared" si="27"/>
        <v>788400.40032227396</v>
      </c>
    </row>
    <row r="217" spans="1:26" ht="19.5" thickBot="1" x14ac:dyDescent="0.35">
      <c r="A217" s="142">
        <v>160</v>
      </c>
      <c r="B217" s="143" t="s">
        <v>276</v>
      </c>
      <c r="C217" s="142">
        <v>45</v>
      </c>
      <c r="D217" s="143" t="s">
        <v>277</v>
      </c>
      <c r="E217" s="142">
        <v>557440</v>
      </c>
      <c r="F217" s="143" t="s">
        <v>285</v>
      </c>
      <c r="G217" s="144">
        <v>2.875057239081289</v>
      </c>
      <c r="H217" s="145">
        <v>109.96912671242326</v>
      </c>
      <c r="I217" s="146">
        <v>0.72215189509181699</v>
      </c>
      <c r="J217" s="147">
        <v>0.94312613514265742</v>
      </c>
      <c r="K217" s="148">
        <v>189</v>
      </c>
      <c r="M217" s="138">
        <f t="shared" si="21"/>
        <v>0.72215189509181699</v>
      </c>
      <c r="N217" s="149"/>
      <c r="U217" s="141">
        <f t="shared" si="23"/>
        <v>13041518.505601136</v>
      </c>
      <c r="V217" s="141">
        <f t="shared" si="24"/>
        <v>2028385.8296081913</v>
      </c>
      <c r="W217" s="141">
        <f t="shared" si="25"/>
        <v>1284972.3184041874</v>
      </c>
      <c r="X217" s="141">
        <f t="shared" si="26"/>
        <v>1006079.1606846985</v>
      </c>
      <c r="Y217" s="141">
        <f t="shared" si="22"/>
        <v>523726.66258086817</v>
      </c>
      <c r="Z217" s="141">
        <f t="shared" si="27"/>
        <v>234463.11470508375</v>
      </c>
    </row>
    <row r="218" spans="1:26" ht="19.5" thickBot="1" x14ac:dyDescent="0.35">
      <c r="A218" s="142">
        <v>160</v>
      </c>
      <c r="B218" s="143" t="s">
        <v>276</v>
      </c>
      <c r="C218" s="142">
        <v>45</v>
      </c>
      <c r="D218" s="143" t="s">
        <v>277</v>
      </c>
      <c r="E218" s="142">
        <v>557441</v>
      </c>
      <c r="F218" s="143" t="s">
        <v>286</v>
      </c>
      <c r="G218" s="144">
        <v>2.5461804329391748</v>
      </c>
      <c r="H218" s="145">
        <v>284.56813292827195</v>
      </c>
      <c r="I218" s="146">
        <v>1.6171713058633679</v>
      </c>
      <c r="J218" s="147">
        <v>0.87263789941428971</v>
      </c>
      <c r="K218" s="148">
        <v>54</v>
      </c>
      <c r="M218" s="138">
        <f t="shared" si="21"/>
        <v>1.6171713058633679</v>
      </c>
      <c r="N218" s="149"/>
      <c r="U218" s="141">
        <f t="shared" si="23"/>
        <v>10686491.234775301</v>
      </c>
      <c r="V218" s="141">
        <f t="shared" si="24"/>
        <v>933147.00781417231</v>
      </c>
      <c r="W218" s="141">
        <f t="shared" si="25"/>
        <v>274772.31179765088</v>
      </c>
      <c r="X218" s="141">
        <f t="shared" si="26"/>
        <v>27781.646216017209</v>
      </c>
      <c r="Y218" s="141">
        <f t="shared" si="22"/>
        <v>-399394.71596442926</v>
      </c>
      <c r="Z218" s="141">
        <f t="shared" si="27"/>
        <v>-655569.50634851132</v>
      </c>
    </row>
    <row r="219" spans="1:26" ht="19.5" thickBot="1" x14ac:dyDescent="0.35">
      <c r="A219" s="142">
        <v>160</v>
      </c>
      <c r="B219" s="143" t="s">
        <v>276</v>
      </c>
      <c r="C219" s="142">
        <v>45</v>
      </c>
      <c r="D219" s="143" t="s">
        <v>277</v>
      </c>
      <c r="E219" s="142">
        <v>557439</v>
      </c>
      <c r="F219" s="143" t="s">
        <v>287</v>
      </c>
      <c r="G219" s="144">
        <v>3.7911894120016649</v>
      </c>
      <c r="H219" s="145">
        <v>138.49187055066861</v>
      </c>
      <c r="I219" s="146">
        <v>0.8603950170344502</v>
      </c>
      <c r="J219" s="147">
        <v>0.93223864639096921</v>
      </c>
      <c r="K219" s="148">
        <v>164</v>
      </c>
      <c r="M219" s="138">
        <f t="shared" si="21"/>
        <v>0.8603950170344502</v>
      </c>
      <c r="N219" s="149"/>
      <c r="U219" s="141">
        <f t="shared" si="23"/>
        <v>16998651.583140038</v>
      </c>
      <c r="V219" s="141">
        <f t="shared" si="24"/>
        <v>2476202.6292068805</v>
      </c>
      <c r="W219" s="141">
        <f t="shared" si="25"/>
        <v>1495901.6480284277</v>
      </c>
      <c r="X219" s="141">
        <f t="shared" si="26"/>
        <v>1128139.65280509</v>
      </c>
      <c r="Y219" s="141">
        <f t="shared" si="22"/>
        <v>492086.33922022919</v>
      </c>
      <c r="Z219" s="141">
        <f t="shared" si="27"/>
        <v>110649.4463898308</v>
      </c>
    </row>
    <row r="220" spans="1:26" ht="19.5" thickBot="1" x14ac:dyDescent="0.35">
      <c r="A220" s="142">
        <v>160</v>
      </c>
      <c r="B220" s="143" t="s">
        <v>276</v>
      </c>
      <c r="C220" s="142">
        <v>45</v>
      </c>
      <c r="D220" s="143" t="s">
        <v>277</v>
      </c>
      <c r="E220" s="142">
        <v>457443</v>
      </c>
      <c r="F220" s="143" t="s">
        <v>288</v>
      </c>
      <c r="G220" s="144">
        <v>4.0983728111111111</v>
      </c>
      <c r="H220" s="145">
        <v>187.00491627852102</v>
      </c>
      <c r="I220" s="146">
        <v>1.8658861884228619</v>
      </c>
      <c r="J220" s="147">
        <v>0.85305008594341303</v>
      </c>
      <c r="K220" s="148">
        <v>33</v>
      </c>
      <c r="M220" s="138">
        <f t="shared" si="21"/>
        <v>1.8658861884228619</v>
      </c>
      <c r="N220" s="149"/>
      <c r="U220" s="141">
        <f t="shared" si="23"/>
        <v>16815039.022482529</v>
      </c>
      <c r="V220" s="141">
        <f t="shared" si="24"/>
        <v>1115899.9198218072</v>
      </c>
      <c r="W220" s="141">
        <f t="shared" si="25"/>
        <v>56169.462871071046</v>
      </c>
      <c r="X220" s="141">
        <f t="shared" si="26"/>
        <v>-341390.66889441642</v>
      </c>
      <c r="Y220" s="141">
        <f t="shared" si="22"/>
        <v>-1028980.5842284007</v>
      </c>
      <c r="Z220" s="141">
        <f t="shared" si="27"/>
        <v>-1441323.6303927531</v>
      </c>
    </row>
    <row r="221" spans="1:26" ht="19.5" thickBot="1" x14ac:dyDescent="0.35">
      <c r="A221" s="142">
        <v>160</v>
      </c>
      <c r="B221" s="143" t="s">
        <v>276</v>
      </c>
      <c r="C221" s="142">
        <v>45</v>
      </c>
      <c r="D221" s="143" t="s">
        <v>277</v>
      </c>
      <c r="E221" s="142">
        <v>557444</v>
      </c>
      <c r="F221" s="143" t="s">
        <v>542</v>
      </c>
      <c r="G221" s="144">
        <v>6.0225891789421091</v>
      </c>
      <c r="H221" s="145">
        <v>265.29582571671511</v>
      </c>
      <c r="I221" s="146">
        <v>1.7731809662427997</v>
      </c>
      <c r="J221" s="147">
        <v>0.86035118743421302</v>
      </c>
      <c r="K221" s="148">
        <v>42</v>
      </c>
      <c r="M221" s="138">
        <f t="shared" si="21"/>
        <v>1.7731809662427997</v>
      </c>
      <c r="N221" s="149"/>
      <c r="U221" s="141">
        <f t="shared" si="23"/>
        <v>24921311.215240575</v>
      </c>
      <c r="V221" s="141">
        <f t="shared" si="24"/>
        <v>1851310.1108856814</v>
      </c>
      <c r="W221" s="141">
        <f t="shared" si="25"/>
        <v>294028.36108396779</v>
      </c>
      <c r="X221" s="141">
        <f t="shared" si="26"/>
        <v>-290189.19498079969</v>
      </c>
      <c r="Y221" s="141">
        <f t="shared" si="22"/>
        <v>-1300607.6645776362</v>
      </c>
      <c r="Z221" s="141">
        <f t="shared" si="27"/>
        <v>-1906548.8227633382</v>
      </c>
    </row>
    <row r="222" spans="1:26" ht="19.5" thickBot="1" x14ac:dyDescent="0.35">
      <c r="A222" s="142">
        <v>160</v>
      </c>
      <c r="B222" s="143" t="s">
        <v>276</v>
      </c>
      <c r="C222" s="142">
        <v>45</v>
      </c>
      <c r="D222" s="143" t="s">
        <v>277</v>
      </c>
      <c r="E222" s="142">
        <v>557445</v>
      </c>
      <c r="F222" s="143" t="s">
        <v>289</v>
      </c>
      <c r="G222" s="144">
        <v>3.0671238161600978</v>
      </c>
      <c r="H222" s="145">
        <v>158.38864546009651</v>
      </c>
      <c r="I222" s="146">
        <v>0.68709899124267937</v>
      </c>
      <c r="J222" s="147">
        <v>0.94588676504603775</v>
      </c>
      <c r="K222" s="148">
        <v>201</v>
      </c>
      <c r="M222" s="138">
        <f t="shared" si="21"/>
        <v>0.68709899124267937</v>
      </c>
      <c r="N222" s="149"/>
      <c r="U222" s="141">
        <f t="shared" si="23"/>
        <v>13953473.882314464</v>
      </c>
      <c r="V222" s="141">
        <f t="shared" si="24"/>
        <v>2204615.0902499408</v>
      </c>
      <c r="W222" s="141">
        <f t="shared" si="25"/>
        <v>1411538.2587787139</v>
      </c>
      <c r="X222" s="141">
        <f t="shared" si="26"/>
        <v>1114013.8009773525</v>
      </c>
      <c r="Y222" s="141">
        <f t="shared" si="22"/>
        <v>599438.01632573199</v>
      </c>
      <c r="Z222" s="141">
        <f t="shared" si="27"/>
        <v>290850.38030347036</v>
      </c>
    </row>
    <row r="223" spans="1:26" ht="19.5" thickBot="1" x14ac:dyDescent="0.35">
      <c r="A223" s="142">
        <v>160</v>
      </c>
      <c r="B223" s="143" t="s">
        <v>276</v>
      </c>
      <c r="C223" s="142">
        <v>45</v>
      </c>
      <c r="D223" s="143" t="s">
        <v>277</v>
      </c>
      <c r="E223" s="142">
        <v>457446</v>
      </c>
      <c r="F223" s="143" t="s">
        <v>290</v>
      </c>
      <c r="G223" s="144">
        <v>7.3002462539154163</v>
      </c>
      <c r="H223" s="145">
        <v>303.21192610630078</v>
      </c>
      <c r="I223" s="146">
        <v>1.7580507711252205</v>
      </c>
      <c r="J223" s="147">
        <v>0.86154278255184824</v>
      </c>
      <c r="K223" s="148">
        <v>43</v>
      </c>
      <c r="M223" s="138">
        <f t="shared" si="21"/>
        <v>1.7580507711252205</v>
      </c>
      <c r="N223" s="149"/>
      <c r="U223" s="141">
        <f t="shared" si="23"/>
        <v>30250060.346148305</v>
      </c>
      <c r="V223" s="141">
        <f t="shared" si="24"/>
        <v>2285893.4179510903</v>
      </c>
      <c r="W223" s="141">
        <f t="shared" si="25"/>
        <v>398243.45171551633</v>
      </c>
      <c r="X223" s="141">
        <f t="shared" si="26"/>
        <v>-309912.44243806583</v>
      </c>
      <c r="Y223" s="141">
        <f t="shared" si="22"/>
        <v>-1534685.2815605463</v>
      </c>
      <c r="Z223" s="141">
        <f t="shared" si="27"/>
        <v>-2269173.3129881429</v>
      </c>
    </row>
    <row r="224" spans="1:26" ht="19.5" thickBot="1" x14ac:dyDescent="0.35">
      <c r="A224" s="142">
        <v>160</v>
      </c>
      <c r="B224" s="143" t="s">
        <v>276</v>
      </c>
      <c r="C224" s="142">
        <v>45</v>
      </c>
      <c r="D224" s="143" t="s">
        <v>277</v>
      </c>
      <c r="E224" s="142">
        <v>557447</v>
      </c>
      <c r="F224" s="143" t="s">
        <v>291</v>
      </c>
      <c r="G224" s="144">
        <v>2.9612506945259045</v>
      </c>
      <c r="H224" s="145">
        <v>134.31030680219922</v>
      </c>
      <c r="I224" s="146">
        <v>0.68741403477353991</v>
      </c>
      <c r="J224" s="147">
        <v>0.94586195344709301</v>
      </c>
      <c r="K224" s="148">
        <v>200</v>
      </c>
      <c r="M224" s="138">
        <f t="shared" si="21"/>
        <v>0.68741403477353991</v>
      </c>
      <c r="N224" s="149"/>
      <c r="U224" s="141">
        <f t="shared" si="23"/>
        <v>13471464.747369023</v>
      </c>
      <c r="V224" s="141">
        <f t="shared" si="24"/>
        <v>2128161.2672229153</v>
      </c>
      <c r="W224" s="141">
        <f t="shared" si="25"/>
        <v>1362460.4156196071</v>
      </c>
      <c r="X224" s="141">
        <f t="shared" si="26"/>
        <v>1075206.1148115778</v>
      </c>
      <c r="Y224" s="141">
        <f t="shared" si="22"/>
        <v>578392.81641870807</v>
      </c>
      <c r="Z224" s="141">
        <f t="shared" si="27"/>
        <v>280457.2239009359</v>
      </c>
    </row>
    <row r="225" spans="1:26" ht="19.5" thickBot="1" x14ac:dyDescent="0.35">
      <c r="A225" s="142">
        <v>160</v>
      </c>
      <c r="B225" s="143" t="s">
        <v>276</v>
      </c>
      <c r="C225" s="142">
        <v>45</v>
      </c>
      <c r="D225" s="143" t="s">
        <v>277</v>
      </c>
      <c r="E225" s="142">
        <v>457453</v>
      </c>
      <c r="F225" s="143" t="s">
        <v>543</v>
      </c>
      <c r="G225" s="144">
        <v>7.7095109330981</v>
      </c>
      <c r="H225" s="145">
        <v>319.62261098964126</v>
      </c>
      <c r="I225" s="146">
        <v>2.4784260120792885</v>
      </c>
      <c r="J225" s="147">
        <v>0.80480884004050413</v>
      </c>
      <c r="K225" s="148">
        <v>11</v>
      </c>
      <c r="M225" s="138">
        <f t="shared" si="21"/>
        <v>2.4784260120792885</v>
      </c>
      <c r="N225" s="149"/>
      <c r="U225" s="141">
        <f t="shared" si="23"/>
        <v>29842242.380499247</v>
      </c>
      <c r="V225" s="141">
        <f t="shared" si="24"/>
        <v>310354.9387178052</v>
      </c>
      <c r="W225" s="141">
        <f t="shared" si="25"/>
        <v>-1683120.0135483779</v>
      </c>
      <c r="X225" s="141">
        <f t="shared" si="26"/>
        <v>-2430976.3759809099</v>
      </c>
      <c r="Y225" s="141">
        <f t="shared" si="22"/>
        <v>-3724412.1403857097</v>
      </c>
      <c r="Z225" s="141">
        <f t="shared" si="27"/>
        <v>-4500076.8661452979</v>
      </c>
    </row>
    <row r="226" spans="1:26" ht="19.5" thickBot="1" x14ac:dyDescent="0.35">
      <c r="A226" s="142">
        <v>160</v>
      </c>
      <c r="B226" s="143" t="s">
        <v>276</v>
      </c>
      <c r="C226" s="142">
        <v>45</v>
      </c>
      <c r="D226" s="143" t="s">
        <v>277</v>
      </c>
      <c r="E226" s="142">
        <v>557459</v>
      </c>
      <c r="F226" s="143" t="s">
        <v>294</v>
      </c>
      <c r="G226" s="144">
        <v>2.8369629421676046</v>
      </c>
      <c r="H226" s="145">
        <v>203.43925221632398</v>
      </c>
      <c r="I226" s="146">
        <v>1.0858994182723443</v>
      </c>
      <c r="J226" s="147">
        <v>0.91447879984357594</v>
      </c>
      <c r="K226" s="148">
        <v>122</v>
      </c>
      <c r="M226" s="138">
        <f t="shared" si="21"/>
        <v>1.0858994182723443</v>
      </c>
      <c r="N226" s="149"/>
      <c r="U226" s="141">
        <f t="shared" si="23"/>
        <v>12477833.646482389</v>
      </c>
      <c r="V226" s="141">
        <f t="shared" si="24"/>
        <v>1610624.1682631127</v>
      </c>
      <c r="W226" s="141">
        <f t="shared" si="25"/>
        <v>877060.83139320277</v>
      </c>
      <c r="X226" s="141">
        <f t="shared" si="26"/>
        <v>601862.98749666812</v>
      </c>
      <c r="Y226" s="141">
        <f t="shared" si="22"/>
        <v>125901.62450835857</v>
      </c>
      <c r="Z226" s="141">
        <f t="shared" si="27"/>
        <v>-159529.20263780066</v>
      </c>
    </row>
    <row r="227" spans="1:26" ht="19.5" thickBot="1" x14ac:dyDescent="0.35">
      <c r="A227" s="142">
        <v>160</v>
      </c>
      <c r="B227" s="143" t="s">
        <v>276</v>
      </c>
      <c r="C227" s="142">
        <v>45</v>
      </c>
      <c r="D227" s="143" t="s">
        <v>277</v>
      </c>
      <c r="E227" s="142">
        <v>557559</v>
      </c>
      <c r="F227" s="143" t="s">
        <v>295</v>
      </c>
      <c r="G227" s="144">
        <v>2.9777762320543215</v>
      </c>
      <c r="H227" s="145">
        <v>151.43465232406149</v>
      </c>
      <c r="I227" s="146">
        <v>0.92205009081754041</v>
      </c>
      <c r="J227" s="147">
        <v>0.92738293340601186</v>
      </c>
      <c r="K227" s="148">
        <v>152</v>
      </c>
      <c r="M227" s="138">
        <f t="shared" si="21"/>
        <v>0.92205009081754041</v>
      </c>
      <c r="N227" s="149"/>
      <c r="U227" s="141">
        <f t="shared" si="23"/>
        <v>13281986.827696715</v>
      </c>
      <c r="V227" s="141">
        <f t="shared" si="24"/>
        <v>1875380.9774730236</v>
      </c>
      <c r="W227" s="141">
        <f t="shared" si="25"/>
        <v>1105407.0603767794</v>
      </c>
      <c r="X227" s="141">
        <f t="shared" si="26"/>
        <v>816549.70997319324</v>
      </c>
      <c r="Y227" s="141">
        <f t="shared" si="22"/>
        <v>316963.89832354832</v>
      </c>
      <c r="Z227" s="141">
        <f t="shared" si="27"/>
        <v>17365.648258981815</v>
      </c>
    </row>
    <row r="228" spans="1:26" ht="19.5" thickBot="1" x14ac:dyDescent="0.35">
      <c r="A228" s="142">
        <v>160</v>
      </c>
      <c r="B228" s="143" t="s">
        <v>276</v>
      </c>
      <c r="C228" s="142">
        <v>45</v>
      </c>
      <c r="D228" s="143" t="s">
        <v>277</v>
      </c>
      <c r="E228" s="142">
        <v>457574</v>
      </c>
      <c r="F228" s="143" t="s">
        <v>296</v>
      </c>
      <c r="G228" s="144">
        <v>3.3124110479673949</v>
      </c>
      <c r="H228" s="145">
        <v>248.92999014297339</v>
      </c>
      <c r="I228" s="146">
        <v>1.6184380105813392</v>
      </c>
      <c r="J228" s="147">
        <v>0.87253813869437225</v>
      </c>
      <c r="K228" s="148">
        <v>53</v>
      </c>
      <c r="M228" s="138">
        <f t="shared" si="21"/>
        <v>1.6184380105813392</v>
      </c>
      <c r="N228" s="149"/>
      <c r="U228" s="141">
        <f t="shared" si="23"/>
        <v>13900823.537992787</v>
      </c>
      <c r="V228" s="141">
        <f t="shared" si="24"/>
        <v>1212372.7298458263</v>
      </c>
      <c r="W228" s="141">
        <f t="shared" si="25"/>
        <v>355871.1290264792</v>
      </c>
      <c r="X228" s="141">
        <f t="shared" si="26"/>
        <v>34552.734291581131</v>
      </c>
      <c r="Y228" s="141">
        <f t="shared" si="22"/>
        <v>-521175.24288231088</v>
      </c>
      <c r="Z228" s="141">
        <f t="shared" si="27"/>
        <v>-854441.57189083158</v>
      </c>
    </row>
    <row r="229" spans="1:26" ht="19.5" thickBot="1" x14ac:dyDescent="0.35">
      <c r="A229" s="142">
        <v>160</v>
      </c>
      <c r="B229" s="143" t="s">
        <v>276</v>
      </c>
      <c r="C229" s="142">
        <v>45</v>
      </c>
      <c r="D229" s="143" t="s">
        <v>277</v>
      </c>
      <c r="E229" s="142">
        <v>557612</v>
      </c>
      <c r="F229" s="143" t="s">
        <v>297</v>
      </c>
      <c r="G229" s="144">
        <v>3.8271842644328</v>
      </c>
      <c r="H229" s="145">
        <v>197.05142684363739</v>
      </c>
      <c r="I229" s="146">
        <v>0.73371167319955555</v>
      </c>
      <c r="J229" s="147">
        <v>0.94221573213416454</v>
      </c>
      <c r="K229" s="148">
        <v>185</v>
      </c>
      <c r="M229" s="138">
        <f t="shared" si="21"/>
        <v>0.73371167319955555</v>
      </c>
      <c r="N229" s="149"/>
      <c r="U229" s="141">
        <f t="shared" si="23"/>
        <v>17343694.315381605</v>
      </c>
      <c r="V229" s="141">
        <f t="shared" si="24"/>
        <v>2683364.250739309</v>
      </c>
      <c r="W229" s="141">
        <f t="shared" si="25"/>
        <v>1693755.9558603291</v>
      </c>
      <c r="X229" s="141">
        <f t="shared" si="26"/>
        <v>1322502.302133742</v>
      </c>
      <c r="Y229" s="141">
        <f t="shared" si="22"/>
        <v>680410.08026106423</v>
      </c>
      <c r="Z229" s="141">
        <f t="shared" si="27"/>
        <v>295351.69475985481</v>
      </c>
    </row>
    <row r="230" spans="1:26" ht="19.5" thickBot="1" x14ac:dyDescent="0.35">
      <c r="A230" s="142">
        <v>160</v>
      </c>
      <c r="B230" s="143" t="s">
        <v>276</v>
      </c>
      <c r="C230" s="142">
        <v>45</v>
      </c>
      <c r="D230" s="143" t="s">
        <v>277</v>
      </c>
      <c r="E230" s="142">
        <v>557712</v>
      </c>
      <c r="F230" s="143" t="s">
        <v>544</v>
      </c>
      <c r="G230" s="144">
        <v>5.7046753832273573</v>
      </c>
      <c r="H230" s="145">
        <v>104.21820900589978</v>
      </c>
      <c r="I230" s="146">
        <v>0.58089738005832625</v>
      </c>
      <c r="J230" s="147">
        <v>0.95425078946137631</v>
      </c>
      <c r="K230" s="148">
        <v>222</v>
      </c>
      <c r="M230" s="138">
        <f t="shared" si="21"/>
        <v>0.58089738005832625</v>
      </c>
      <c r="N230" s="149"/>
      <c r="U230" s="141">
        <f t="shared" si="23"/>
        <v>26182152.683241542</v>
      </c>
      <c r="V230" s="141">
        <f t="shared" si="24"/>
        <v>4329945.3550042603</v>
      </c>
      <c r="W230" s="141">
        <f t="shared" si="25"/>
        <v>2854867.6768014897</v>
      </c>
      <c r="X230" s="141">
        <f t="shared" si="26"/>
        <v>2301489.1527964137</v>
      </c>
      <c r="Y230" s="141">
        <f t="shared" si="22"/>
        <v>1344407.5390576825</v>
      </c>
      <c r="Z230" s="141">
        <f t="shared" si="27"/>
        <v>770452.13448309561</v>
      </c>
    </row>
    <row r="231" spans="1:26" ht="19.5" thickBot="1" x14ac:dyDescent="0.35">
      <c r="A231" s="142">
        <v>160</v>
      </c>
      <c r="B231" s="143" t="s">
        <v>276</v>
      </c>
      <c r="C231" s="142">
        <v>42</v>
      </c>
      <c r="D231" s="143" t="s">
        <v>300</v>
      </c>
      <c r="E231" s="142">
        <v>457163</v>
      </c>
      <c r="F231" s="143" t="s">
        <v>301</v>
      </c>
      <c r="G231" s="144">
        <v>2.456290679625579</v>
      </c>
      <c r="H231" s="145">
        <v>41.00065867422154</v>
      </c>
      <c r="I231" s="146">
        <v>0.26169711614831553</v>
      </c>
      <c r="J231" s="147">
        <v>0.9793897564784716</v>
      </c>
      <c r="K231" s="148">
        <v>276</v>
      </c>
      <c r="M231" s="138">
        <f t="shared" si="21"/>
        <v>0.26169711614831553</v>
      </c>
      <c r="N231" s="149"/>
      <c r="U231" s="141">
        <f t="shared" si="23"/>
        <v>11570368.86128352</v>
      </c>
      <c r="V231" s="141">
        <f t="shared" si="24"/>
        <v>2161354.3979173764</v>
      </c>
      <c r="W231" s="141">
        <f t="shared" si="25"/>
        <v>1526222.8068462978</v>
      </c>
      <c r="X231" s="141">
        <f t="shared" si="26"/>
        <v>1287951.841452708</v>
      </c>
      <c r="Y231" s="141">
        <f t="shared" si="22"/>
        <v>875856.41278390354</v>
      </c>
      <c r="Z231" s="141">
        <f t="shared" si="27"/>
        <v>628725.55676318705</v>
      </c>
    </row>
    <row r="232" spans="1:26" ht="19.5" thickBot="1" x14ac:dyDescent="0.35">
      <c r="A232" s="142">
        <v>160</v>
      </c>
      <c r="B232" s="143" t="s">
        <v>276</v>
      </c>
      <c r="C232" s="142">
        <v>42</v>
      </c>
      <c r="D232" s="143" t="s">
        <v>300</v>
      </c>
      <c r="E232" s="142">
        <v>457165</v>
      </c>
      <c r="F232" s="143" t="s">
        <v>302</v>
      </c>
      <c r="G232" s="144">
        <v>3.326340992863813</v>
      </c>
      <c r="H232" s="145">
        <v>266.31091018643144</v>
      </c>
      <c r="I232" s="146">
        <v>0.95509136586288379</v>
      </c>
      <c r="J232" s="147">
        <v>0.92478073153627327</v>
      </c>
      <c r="K232" s="148">
        <v>140</v>
      </c>
      <c r="M232" s="138">
        <f t="shared" si="21"/>
        <v>0.95509136586288379</v>
      </c>
      <c r="N232" s="149"/>
      <c r="U232" s="141">
        <f t="shared" si="23"/>
        <v>14795083.719489254</v>
      </c>
      <c r="V232" s="141">
        <f t="shared" si="24"/>
        <v>2053273.1628029733</v>
      </c>
      <c r="W232" s="141">
        <f t="shared" si="25"/>
        <v>1193169.6478702112</v>
      </c>
      <c r="X232" s="141">
        <f t="shared" si="26"/>
        <v>870499.98740529141</v>
      </c>
      <c r="Y232" s="141">
        <f t="shared" si="22"/>
        <v>312434.96329268086</v>
      </c>
      <c r="Z232" s="141">
        <f t="shared" si="27"/>
        <v>-22232.877041485532</v>
      </c>
    </row>
    <row r="233" spans="1:26" ht="19.5" thickBot="1" x14ac:dyDescent="0.35">
      <c r="A233" s="142">
        <v>160</v>
      </c>
      <c r="B233" s="143" t="s">
        <v>276</v>
      </c>
      <c r="C233" s="142">
        <v>42</v>
      </c>
      <c r="D233" s="143" t="s">
        <v>300</v>
      </c>
      <c r="E233" s="142">
        <v>557210</v>
      </c>
      <c r="F233" s="143" t="s">
        <v>303</v>
      </c>
      <c r="G233" s="144">
        <v>2.2747145523264414</v>
      </c>
      <c r="H233" s="145">
        <v>130.51430126754414</v>
      </c>
      <c r="I233" s="146">
        <v>0.86220858750568163</v>
      </c>
      <c r="J233" s="147">
        <v>0.93209581665862196</v>
      </c>
      <c r="K233" s="148">
        <v>161</v>
      </c>
      <c r="M233" s="138">
        <f t="shared" si="21"/>
        <v>0.86220858750568163</v>
      </c>
      <c r="N233" s="149"/>
      <c r="U233" s="141">
        <f t="shared" si="23"/>
        <v>10197632.373694092</v>
      </c>
      <c r="V233" s="141">
        <f t="shared" si="24"/>
        <v>1484159.5341800661</v>
      </c>
      <c r="W233" s="141">
        <f t="shared" si="25"/>
        <v>895978.71143157291</v>
      </c>
      <c r="X233" s="141">
        <f t="shared" si="26"/>
        <v>675321.42649643379</v>
      </c>
      <c r="Y233" s="141">
        <f t="shared" si="22"/>
        <v>293689.28649131698</v>
      </c>
      <c r="Z233" s="141">
        <f t="shared" si="27"/>
        <v>64827.059727135638</v>
      </c>
    </row>
    <row r="234" spans="1:26" ht="19.5" thickBot="1" x14ac:dyDescent="0.35">
      <c r="A234" s="142">
        <v>160</v>
      </c>
      <c r="B234" s="143" t="s">
        <v>276</v>
      </c>
      <c r="C234" s="142">
        <v>42</v>
      </c>
      <c r="D234" s="143" t="s">
        <v>300</v>
      </c>
      <c r="E234" s="142">
        <v>557250</v>
      </c>
      <c r="F234" s="143" t="s">
        <v>304</v>
      </c>
      <c r="G234" s="144">
        <v>2.9376340331368493</v>
      </c>
      <c r="H234" s="145">
        <v>285.88019801882427</v>
      </c>
      <c r="I234" s="146">
        <v>0.93401031113809319</v>
      </c>
      <c r="J234" s="147">
        <v>0.92644099313167561</v>
      </c>
      <c r="K234" s="148">
        <v>151</v>
      </c>
      <c r="M234" s="138">
        <f t="shared" si="21"/>
        <v>0.93401031113809319</v>
      </c>
      <c r="N234" s="149"/>
      <c r="U234" s="141">
        <f t="shared" si="23"/>
        <v>13089629.109199071</v>
      </c>
      <c r="V234" s="141">
        <f t="shared" si="24"/>
        <v>1836791.1062984804</v>
      </c>
      <c r="W234" s="141">
        <f t="shared" si="25"/>
        <v>1077196.8966525912</v>
      </c>
      <c r="X234" s="141">
        <f t="shared" si="26"/>
        <v>792233.51554523897</v>
      </c>
      <c r="Y234" s="141">
        <f t="shared" si="22"/>
        <v>299382.41848284542</v>
      </c>
      <c r="Z234" s="141">
        <f t="shared" si="27"/>
        <v>3822.9314455200119</v>
      </c>
    </row>
    <row r="235" spans="1:26" ht="19.5" thickBot="1" x14ac:dyDescent="0.35">
      <c r="A235" s="142">
        <v>160</v>
      </c>
      <c r="B235" s="143" t="s">
        <v>276</v>
      </c>
      <c r="C235" s="142">
        <v>42</v>
      </c>
      <c r="D235" s="143" t="s">
        <v>300</v>
      </c>
      <c r="E235" s="142">
        <v>457258</v>
      </c>
      <c r="F235" s="143" t="s">
        <v>305</v>
      </c>
      <c r="G235" s="144">
        <v>3.2454949073058987</v>
      </c>
      <c r="H235" s="145">
        <v>208.48949191286576</v>
      </c>
      <c r="I235" s="146">
        <v>2.2078719270732834</v>
      </c>
      <c r="J235" s="147">
        <v>0.82611662386246199</v>
      </c>
      <c r="K235" s="148">
        <v>19</v>
      </c>
      <c r="M235" s="138">
        <f t="shared" si="21"/>
        <v>2.2078719270732834</v>
      </c>
      <c r="N235" s="149"/>
      <c r="U235" s="141">
        <f t="shared" si="23"/>
        <v>12895381.063092664</v>
      </c>
      <c r="V235" s="141">
        <f t="shared" si="24"/>
        <v>463257.79001277644</v>
      </c>
      <c r="W235" s="141">
        <f t="shared" si="25"/>
        <v>-375941.0724787311</v>
      </c>
      <c r="X235" s="141">
        <f t="shared" si="26"/>
        <v>-690768.30817936605</v>
      </c>
      <c r="Y235" s="141">
        <f t="shared" si="22"/>
        <v>-1235269.6679583802</v>
      </c>
      <c r="Z235" s="141">
        <f t="shared" si="27"/>
        <v>-1561803.4700471635</v>
      </c>
    </row>
    <row r="236" spans="1:26" ht="19.5" thickBot="1" x14ac:dyDescent="0.35">
      <c r="A236" s="142">
        <v>160</v>
      </c>
      <c r="B236" s="143" t="s">
        <v>276</v>
      </c>
      <c r="C236" s="142">
        <v>42</v>
      </c>
      <c r="D236" s="143" t="s">
        <v>300</v>
      </c>
      <c r="E236" s="142">
        <v>557305</v>
      </c>
      <c r="F236" s="143" t="s">
        <v>306</v>
      </c>
      <c r="G236" s="144">
        <v>2.8560806017217275</v>
      </c>
      <c r="H236" s="145">
        <v>132.27660684094693</v>
      </c>
      <c r="I236" s="146">
        <v>0.60803011005121421</v>
      </c>
      <c r="J236" s="147">
        <v>0.95211392154021679</v>
      </c>
      <c r="K236" s="148">
        <v>211</v>
      </c>
      <c r="M236" s="138">
        <f t="shared" si="21"/>
        <v>0.60803011005121421</v>
      </c>
      <c r="N236" s="149"/>
      <c r="U236" s="141">
        <f t="shared" si="23"/>
        <v>13078901.276134081</v>
      </c>
      <c r="V236" s="141">
        <f t="shared" si="24"/>
        <v>2138460.1007290832</v>
      </c>
      <c r="W236" s="141">
        <f t="shared" si="25"/>
        <v>1399953.4443934103</v>
      </c>
      <c r="X236" s="141">
        <f t="shared" si="26"/>
        <v>1122901.1036998103</v>
      </c>
      <c r="Y236" s="141">
        <f t="shared" si="22"/>
        <v>643732.34340529027</v>
      </c>
      <c r="Z236" s="141">
        <f t="shared" si="27"/>
        <v>356378.06167376286</v>
      </c>
    </row>
    <row r="237" spans="1:26" ht="19.5" thickBot="1" x14ac:dyDescent="0.35">
      <c r="A237" s="142">
        <v>160</v>
      </c>
      <c r="B237" s="143" t="s">
        <v>276</v>
      </c>
      <c r="C237" s="142">
        <v>42</v>
      </c>
      <c r="D237" s="143" t="s">
        <v>300</v>
      </c>
      <c r="E237" s="142">
        <v>457308</v>
      </c>
      <c r="F237" s="143" t="s">
        <v>307</v>
      </c>
      <c r="G237" s="144">
        <v>9.2014397202331395</v>
      </c>
      <c r="H237" s="145">
        <v>201.04633734351395</v>
      </c>
      <c r="I237" s="146">
        <v>1.1728561872518102</v>
      </c>
      <c r="J237" s="147">
        <v>0.90763042409190609</v>
      </c>
      <c r="K237" s="148">
        <v>103</v>
      </c>
      <c r="M237" s="138">
        <f t="shared" si="21"/>
        <v>1.1728561872518102</v>
      </c>
      <c r="N237" s="149"/>
      <c r="U237" s="141">
        <f t="shared" si="23"/>
        <v>40167677.10473711</v>
      </c>
      <c r="V237" s="141">
        <f t="shared" si="24"/>
        <v>4920839.2082294757</v>
      </c>
      <c r="W237" s="141">
        <f t="shared" si="25"/>
        <v>2541591.0605521267</v>
      </c>
      <c r="X237" s="141">
        <f t="shared" si="26"/>
        <v>1649011.0644886843</v>
      </c>
      <c r="Y237" s="141">
        <f t="shared" si="22"/>
        <v>105272.25648341661</v>
      </c>
      <c r="Z237" s="141">
        <f t="shared" si="27"/>
        <v>-820497.5205003341</v>
      </c>
    </row>
    <row r="238" spans="1:26" ht="19.5" thickBot="1" x14ac:dyDescent="0.35">
      <c r="A238" s="142">
        <v>160</v>
      </c>
      <c r="B238" s="143" t="s">
        <v>276</v>
      </c>
      <c r="C238" s="142">
        <v>42</v>
      </c>
      <c r="D238" s="143" t="s">
        <v>300</v>
      </c>
      <c r="E238" s="142">
        <v>457345</v>
      </c>
      <c r="F238" s="143" t="s">
        <v>308</v>
      </c>
      <c r="G238" s="144">
        <v>2.4944492773355069</v>
      </c>
      <c r="H238" s="145">
        <v>93.613476506298198</v>
      </c>
      <c r="I238" s="146">
        <v>0.38391609128366072</v>
      </c>
      <c r="J238" s="147">
        <v>0.96976426699060325</v>
      </c>
      <c r="K238" s="148">
        <v>252</v>
      </c>
      <c r="M238" s="138">
        <f t="shared" si="21"/>
        <v>0.38391609128366072</v>
      </c>
      <c r="N238" s="149"/>
      <c r="U238" s="141">
        <f t="shared" si="23"/>
        <v>11634634.421460416</v>
      </c>
      <c r="V238" s="141">
        <f t="shared" si="24"/>
        <v>2079450.4510678418</v>
      </c>
      <c r="W238" s="141">
        <f t="shared" si="25"/>
        <v>1434452.0591830085</v>
      </c>
      <c r="X238" s="141">
        <f t="shared" si="26"/>
        <v>1192479.5425073062</v>
      </c>
      <c r="Y238" s="141">
        <f t="shared" si="22"/>
        <v>773982.19088568981</v>
      </c>
      <c r="Z238" s="141">
        <f t="shared" si="27"/>
        <v>523012.14474190446</v>
      </c>
    </row>
    <row r="239" spans="1:26" ht="19.5" thickBot="1" x14ac:dyDescent="0.35">
      <c r="A239" s="142">
        <v>160</v>
      </c>
      <c r="B239" s="143" t="s">
        <v>276</v>
      </c>
      <c r="C239" s="142">
        <v>42</v>
      </c>
      <c r="D239" s="143" t="s">
        <v>300</v>
      </c>
      <c r="E239" s="142">
        <v>557353</v>
      </c>
      <c r="F239" s="143" t="s">
        <v>309</v>
      </c>
      <c r="G239" s="144">
        <v>2.600180563864698</v>
      </c>
      <c r="H239" s="145">
        <v>70.455776770252356</v>
      </c>
      <c r="I239" s="146">
        <v>0.21207938470641338</v>
      </c>
      <c r="J239" s="147">
        <v>0.98329745535973789</v>
      </c>
      <c r="K239" s="148">
        <v>284</v>
      </c>
      <c r="M239" s="138">
        <f t="shared" si="21"/>
        <v>0.21207938470641338</v>
      </c>
      <c r="N239" s="149"/>
      <c r="U239" s="141">
        <f t="shared" si="23"/>
        <v>12297032.182651866</v>
      </c>
      <c r="V239" s="141">
        <f t="shared" si="24"/>
        <v>2336836.2108559744</v>
      </c>
      <c r="W239" s="141">
        <f t="shared" si="25"/>
        <v>1664498.5138977233</v>
      </c>
      <c r="X239" s="141">
        <f t="shared" si="26"/>
        <v>1412269.5988557423</v>
      </c>
      <c r="Y239" s="141">
        <f t="shared" si="22"/>
        <v>976033.55685543129</v>
      </c>
      <c r="Z239" s="141">
        <f t="shared" si="27"/>
        <v>714425.73743632913</v>
      </c>
    </row>
    <row r="240" spans="1:26" ht="19.5" thickBot="1" x14ac:dyDescent="0.35">
      <c r="A240" s="142">
        <v>160</v>
      </c>
      <c r="B240" s="143" t="s">
        <v>276</v>
      </c>
      <c r="C240" s="142">
        <v>42</v>
      </c>
      <c r="D240" s="143" t="s">
        <v>300</v>
      </c>
      <c r="E240" s="142">
        <v>457435</v>
      </c>
      <c r="F240" s="143" t="s">
        <v>310</v>
      </c>
      <c r="G240" s="144">
        <v>3.3634437715401972</v>
      </c>
      <c r="H240" s="145">
        <v>48.627274367992321</v>
      </c>
      <c r="I240" s="146">
        <v>0.41367084565913986</v>
      </c>
      <c r="J240" s="147">
        <v>0.96742089866225545</v>
      </c>
      <c r="K240" s="148">
        <v>247</v>
      </c>
      <c r="M240" s="138">
        <f t="shared" si="21"/>
        <v>0.41367084565913986</v>
      </c>
      <c r="N240" s="149"/>
      <c r="U240" s="141">
        <f t="shared" si="23"/>
        <v>15649898.436572019</v>
      </c>
      <c r="V240" s="141">
        <f t="shared" si="24"/>
        <v>2765962.7706334474</v>
      </c>
      <c r="W240" s="141">
        <f t="shared" si="25"/>
        <v>1896265.4616724141</v>
      </c>
      <c r="X240" s="141">
        <f t="shared" si="26"/>
        <v>1569996.6690008154</v>
      </c>
      <c r="Y240" s="141">
        <f t="shared" si="22"/>
        <v>1005706.8582168735</v>
      </c>
      <c r="Z240" s="141">
        <f t="shared" si="27"/>
        <v>667306.05519588059</v>
      </c>
    </row>
    <row r="241" spans="1:26" ht="19.5" thickBot="1" x14ac:dyDescent="0.35">
      <c r="A241" s="142">
        <v>160</v>
      </c>
      <c r="B241" s="143" t="s">
        <v>276</v>
      </c>
      <c r="C241" s="142">
        <v>42</v>
      </c>
      <c r="D241" s="143" t="s">
        <v>300</v>
      </c>
      <c r="E241" s="142">
        <v>557458</v>
      </c>
      <c r="F241" s="143" t="s">
        <v>311</v>
      </c>
      <c r="G241" s="144">
        <v>2.3177117404141168</v>
      </c>
      <c r="H241" s="145">
        <v>82.092898431797224</v>
      </c>
      <c r="I241" s="146">
        <v>0.39455004155806295</v>
      </c>
      <c r="J241" s="147">
        <v>0.96892677856896148</v>
      </c>
      <c r="K241" s="148">
        <v>250</v>
      </c>
      <c r="M241" s="138">
        <f t="shared" si="21"/>
        <v>0.39455004155806295</v>
      </c>
      <c r="N241" s="149"/>
      <c r="U241" s="141">
        <f t="shared" si="23"/>
        <v>10800957.724592002</v>
      </c>
      <c r="V241" s="141">
        <f t="shared" si="24"/>
        <v>1922780.7773936673</v>
      </c>
      <c r="W241" s="141">
        <f t="shared" si="25"/>
        <v>1323482.022753713</v>
      </c>
      <c r="X241" s="141">
        <f t="shared" si="26"/>
        <v>1098653.8220552888</v>
      </c>
      <c r="Y241" s="141">
        <f t="shared" si="22"/>
        <v>709807.98181366548</v>
      </c>
      <c r="Z241" s="141">
        <f t="shared" si="27"/>
        <v>476619.74755096983</v>
      </c>
    </row>
    <row r="242" spans="1:26" ht="19.5" thickBot="1" x14ac:dyDescent="0.35">
      <c r="A242" s="142">
        <v>160</v>
      </c>
      <c r="B242" s="143" t="s">
        <v>276</v>
      </c>
      <c r="C242" s="142">
        <v>42</v>
      </c>
      <c r="D242" s="143" t="s">
        <v>300</v>
      </c>
      <c r="E242" s="142">
        <v>557503</v>
      </c>
      <c r="F242" s="143" t="s">
        <v>312</v>
      </c>
      <c r="G242" s="144">
        <v>2.7902735090423261</v>
      </c>
      <c r="H242" s="145">
        <v>128.57474972520978</v>
      </c>
      <c r="I242" s="146">
        <v>0.52619823451426673</v>
      </c>
      <c r="J242" s="147">
        <v>0.9585586806856865</v>
      </c>
      <c r="K242" s="148">
        <v>227</v>
      </c>
      <c r="M242" s="138">
        <f t="shared" si="21"/>
        <v>0.52619823451426673</v>
      </c>
      <c r="N242" s="149"/>
      <c r="U242" s="141">
        <f t="shared" si="23"/>
        <v>12864039.564713273</v>
      </c>
      <c r="V242" s="141">
        <f t="shared" si="24"/>
        <v>2175677.6289310637</v>
      </c>
      <c r="W242" s="141">
        <f t="shared" si="25"/>
        <v>1454186.9405441033</v>
      </c>
      <c r="X242" s="141">
        <f t="shared" si="26"/>
        <v>1183518.1763679439</v>
      </c>
      <c r="Y242" s="141">
        <f t="shared" si="22"/>
        <v>715389.96688938024</v>
      </c>
      <c r="Z242" s="141">
        <f t="shared" si="27"/>
        <v>434656.62920205446</v>
      </c>
    </row>
    <row r="243" spans="1:26" ht="19.5" thickBot="1" x14ac:dyDescent="0.35">
      <c r="A243" s="142">
        <v>160</v>
      </c>
      <c r="B243" s="143" t="s">
        <v>276</v>
      </c>
      <c r="C243" s="142">
        <v>42</v>
      </c>
      <c r="D243" s="143" t="s">
        <v>300</v>
      </c>
      <c r="E243" s="142">
        <v>557523</v>
      </c>
      <c r="F243" s="143" t="s">
        <v>313</v>
      </c>
      <c r="G243" s="144">
        <v>3.5784199740302469</v>
      </c>
      <c r="H243" s="145">
        <v>70.924319473926218</v>
      </c>
      <c r="I243" s="146">
        <v>0.33223292206560628</v>
      </c>
      <c r="J243" s="147">
        <v>0.97383463169016982</v>
      </c>
      <c r="K243" s="148">
        <v>264</v>
      </c>
      <c r="M243" s="138">
        <f t="shared" si="21"/>
        <v>0.33223292206560628</v>
      </c>
      <c r="N243" s="149"/>
      <c r="U243" s="141">
        <f t="shared" si="23"/>
        <v>16760555.596302725</v>
      </c>
      <c r="V243" s="141">
        <f t="shared" si="24"/>
        <v>3053136.6939188903</v>
      </c>
      <c r="W243" s="141">
        <f t="shared" si="25"/>
        <v>2127852.243475588</v>
      </c>
      <c r="X243" s="141">
        <f t="shared" si="26"/>
        <v>1780729.8166112483</v>
      </c>
      <c r="Y243" s="141">
        <f t="shared" si="22"/>
        <v>1180373.138394404</v>
      </c>
      <c r="Z243" s="141">
        <f t="shared" si="27"/>
        <v>820343.27762950142</v>
      </c>
    </row>
    <row r="244" spans="1:26" ht="19.5" thickBot="1" x14ac:dyDescent="0.35">
      <c r="A244" s="142">
        <v>160</v>
      </c>
      <c r="B244" s="143" t="s">
        <v>276</v>
      </c>
      <c r="C244" s="142">
        <v>42</v>
      </c>
      <c r="D244" s="143" t="s">
        <v>300</v>
      </c>
      <c r="E244" s="142">
        <v>457543</v>
      </c>
      <c r="F244" s="143" t="s">
        <v>314</v>
      </c>
      <c r="G244" s="144">
        <v>3.0802030008650325</v>
      </c>
      <c r="H244" s="145">
        <v>63.193707419717285</v>
      </c>
      <c r="I244" s="146">
        <v>0.19082043992715234</v>
      </c>
      <c r="J244" s="147">
        <v>0.98497172688156454</v>
      </c>
      <c r="K244" s="148">
        <v>287</v>
      </c>
      <c r="M244" s="138">
        <f t="shared" si="21"/>
        <v>0.19082043992715234</v>
      </c>
      <c r="N244" s="149"/>
      <c r="U244" s="141">
        <f t="shared" si="23"/>
        <v>14592005.706338339</v>
      </c>
      <c r="V244" s="141">
        <f t="shared" si="24"/>
        <v>2793046.0695006233</v>
      </c>
      <c r="W244" s="141">
        <f t="shared" si="25"/>
        <v>1996587.3079262283</v>
      </c>
      <c r="X244" s="141">
        <f t="shared" si="26"/>
        <v>1697794.1118635302</v>
      </c>
      <c r="Y244" s="141">
        <f t="shared" si="22"/>
        <v>1181024.0135370966</v>
      </c>
      <c r="Z244" s="141">
        <f t="shared" si="27"/>
        <v>871120.46236725291</v>
      </c>
    </row>
    <row r="245" spans="1:26" ht="19.5" thickBot="1" x14ac:dyDescent="0.35">
      <c r="A245" s="142">
        <v>160</v>
      </c>
      <c r="B245" s="143" t="s">
        <v>276</v>
      </c>
      <c r="C245" s="142">
        <v>42</v>
      </c>
      <c r="D245" s="143" t="s">
        <v>300</v>
      </c>
      <c r="E245" s="142">
        <v>457583</v>
      </c>
      <c r="F245" s="143" t="s">
        <v>315</v>
      </c>
      <c r="G245" s="144">
        <v>6.0121721622273636</v>
      </c>
      <c r="H245" s="145">
        <v>130.5367232895818</v>
      </c>
      <c r="I245" s="146">
        <v>0.86100434670224579</v>
      </c>
      <c r="J245" s="147">
        <v>0.93219065796441347</v>
      </c>
      <c r="K245" s="148">
        <v>163</v>
      </c>
      <c r="M245" s="138">
        <f t="shared" si="21"/>
        <v>0.86100434670224579</v>
      </c>
      <c r="N245" s="149"/>
      <c r="U245" s="141">
        <f t="shared" si="23"/>
        <v>26955540.305553116</v>
      </c>
      <c r="V245" s="141">
        <f t="shared" si="24"/>
        <v>3925442.4022921161</v>
      </c>
      <c r="W245" s="141">
        <f t="shared" si="25"/>
        <v>2370854.2165930266</v>
      </c>
      <c r="X245" s="141">
        <f t="shared" si="26"/>
        <v>1787647.1568224207</v>
      </c>
      <c r="Y245" s="141">
        <f t="shared" si="22"/>
        <v>778976.36513851187</v>
      </c>
      <c r="Z245" s="141">
        <f t="shared" si="27"/>
        <v>174083.2776389269</v>
      </c>
    </row>
    <row r="246" spans="1:26" ht="19.5" thickBot="1" x14ac:dyDescent="0.35">
      <c r="A246" s="142">
        <v>160</v>
      </c>
      <c r="B246" s="143" t="s">
        <v>276</v>
      </c>
      <c r="C246" s="142">
        <v>42</v>
      </c>
      <c r="D246" s="143" t="s">
        <v>300</v>
      </c>
      <c r="E246" s="142">
        <v>457614</v>
      </c>
      <c r="F246" s="143" t="s">
        <v>316</v>
      </c>
      <c r="G246" s="144">
        <v>8.556177349674952</v>
      </c>
      <c r="H246" s="145">
        <v>345.87596850507379</v>
      </c>
      <c r="I246" s="146">
        <v>3.5058887504990279</v>
      </c>
      <c r="J246" s="147">
        <v>0.72388988472375648</v>
      </c>
      <c r="K246" s="148">
        <v>4</v>
      </c>
      <c r="M246" s="138">
        <f t="shared" si="21"/>
        <v>3.5058887504990279</v>
      </c>
      <c r="N246" s="149"/>
      <c r="U246" s="141">
        <f t="shared" si="23"/>
        <v>29789565.766278565</v>
      </c>
      <c r="V246" s="141">
        <f t="shared" si="24"/>
        <v>-2985543.9151574755</v>
      </c>
      <c r="W246" s="141">
        <f t="shared" si="25"/>
        <v>-5197944.3361099949</v>
      </c>
      <c r="X246" s="141">
        <f t="shared" si="26"/>
        <v>-6027931.0531123076</v>
      </c>
      <c r="Y246" s="141">
        <f t="shared" si="22"/>
        <v>-7463413.262904387</v>
      </c>
      <c r="Z246" s="141">
        <f t="shared" si="27"/>
        <v>-8324262.2862832295</v>
      </c>
    </row>
    <row r="247" spans="1:26" ht="19.5" thickBot="1" x14ac:dyDescent="0.35">
      <c r="A247" s="142">
        <v>160</v>
      </c>
      <c r="B247" s="143" t="s">
        <v>276</v>
      </c>
      <c r="C247" s="142">
        <v>42</v>
      </c>
      <c r="D247" s="143" t="s">
        <v>300</v>
      </c>
      <c r="E247" s="142">
        <v>457617</v>
      </c>
      <c r="F247" s="143" t="s">
        <v>545</v>
      </c>
      <c r="G247" s="144">
        <v>7.6637250357256459</v>
      </c>
      <c r="H247" s="145">
        <v>181.48722918897164</v>
      </c>
      <c r="I247" s="146">
        <v>1.0462724443558769</v>
      </c>
      <c r="J247" s="147">
        <v>0.91759966565386941</v>
      </c>
      <c r="K247" s="148">
        <v>128</v>
      </c>
      <c r="M247" s="138">
        <f t="shared" si="21"/>
        <v>1.0462724443558769</v>
      </c>
      <c r="N247" s="149"/>
      <c r="U247" s="141">
        <f t="shared" si="23"/>
        <v>33822448.782943137</v>
      </c>
      <c r="V247" s="141">
        <f t="shared" si="24"/>
        <v>4465947.8188978266</v>
      </c>
      <c r="W247" s="141">
        <f t="shared" si="25"/>
        <v>2484311.8847446046</v>
      </c>
      <c r="X247" s="141">
        <f t="shared" si="26"/>
        <v>1740896.9551029219</v>
      </c>
      <c r="Y247" s="141">
        <f t="shared" si="22"/>
        <v>455142.75671194703</v>
      </c>
      <c r="Z247" s="141">
        <f t="shared" si="27"/>
        <v>-315915.38559023989</v>
      </c>
    </row>
    <row r="248" spans="1:26" ht="19.5" thickBot="1" x14ac:dyDescent="0.35">
      <c r="A248" s="142">
        <v>160</v>
      </c>
      <c r="B248" s="143" t="s">
        <v>276</v>
      </c>
      <c r="C248" s="142">
        <v>42</v>
      </c>
      <c r="D248" s="143" t="s">
        <v>300</v>
      </c>
      <c r="E248" s="142">
        <v>557668</v>
      </c>
      <c r="F248" s="143" t="s">
        <v>318</v>
      </c>
      <c r="G248" s="144">
        <v>4.1744710626853223</v>
      </c>
      <c r="H248" s="145">
        <v>57.564744153579099</v>
      </c>
      <c r="I248" s="146">
        <v>0.40777016789403869</v>
      </c>
      <c r="J248" s="147">
        <v>0.96788561301398668</v>
      </c>
      <c r="K248" s="148">
        <v>248</v>
      </c>
      <c r="M248" s="138">
        <f t="shared" si="21"/>
        <v>0.40777016789403869</v>
      </c>
      <c r="N248" s="149"/>
      <c r="U248" s="141">
        <f t="shared" si="23"/>
        <v>19432889.268386934</v>
      </c>
      <c r="V248" s="141">
        <f t="shared" si="24"/>
        <v>3442249.8332786821</v>
      </c>
      <c r="W248" s="141">
        <f t="shared" si="25"/>
        <v>2362842.3877691552</v>
      </c>
      <c r="X248" s="141">
        <f t="shared" si="26"/>
        <v>1957900.3919524164</v>
      </c>
      <c r="Y248" s="141">
        <f t="shared" si="22"/>
        <v>1257543.3632374536</v>
      </c>
      <c r="Z248" s="141">
        <f t="shared" si="27"/>
        <v>837543.96507485886</v>
      </c>
    </row>
    <row r="249" spans="1:26" ht="19.5" thickBot="1" x14ac:dyDescent="0.35">
      <c r="A249" s="142">
        <v>160</v>
      </c>
      <c r="B249" s="143" t="s">
        <v>276</v>
      </c>
      <c r="C249" s="142">
        <v>44</v>
      </c>
      <c r="D249" s="143" t="s">
        <v>319</v>
      </c>
      <c r="E249" s="142">
        <v>557113</v>
      </c>
      <c r="F249" s="143" t="s">
        <v>320</v>
      </c>
      <c r="G249" s="144">
        <v>2.5533062174516035</v>
      </c>
      <c r="H249" s="145">
        <v>178.29380478866469</v>
      </c>
      <c r="I249" s="146">
        <v>0.69324335592879216</v>
      </c>
      <c r="J249" s="147">
        <v>0.94540285886346409</v>
      </c>
      <c r="K249" s="148">
        <v>197</v>
      </c>
      <c r="M249" s="138">
        <f t="shared" si="21"/>
        <v>0.69324335592879216</v>
      </c>
      <c r="N249" s="149"/>
      <c r="U249" s="141">
        <f t="shared" si="23"/>
        <v>11609986.125680434</v>
      </c>
      <c r="V249" s="141">
        <f t="shared" si="24"/>
        <v>1829346.0212010595</v>
      </c>
      <c r="W249" s="141">
        <f t="shared" si="25"/>
        <v>1169128.7863952371</v>
      </c>
      <c r="X249" s="141">
        <f t="shared" si="26"/>
        <v>921446.88847329188</v>
      </c>
      <c r="Y249" s="141">
        <f t="shared" si="22"/>
        <v>493075.02315162175</v>
      </c>
      <c r="Z249" s="141">
        <f t="shared" si="27"/>
        <v>236183.29757701737</v>
      </c>
    </row>
    <row r="250" spans="1:26" ht="19.5" thickBot="1" x14ac:dyDescent="0.35">
      <c r="A250" s="142">
        <v>160</v>
      </c>
      <c r="B250" s="143" t="s">
        <v>276</v>
      </c>
      <c r="C250" s="142">
        <v>44</v>
      </c>
      <c r="D250" s="143" t="s">
        <v>319</v>
      </c>
      <c r="E250" s="142">
        <v>457180</v>
      </c>
      <c r="F250" s="143" t="s">
        <v>321</v>
      </c>
      <c r="G250" s="144">
        <v>2.251466510688148</v>
      </c>
      <c r="H250" s="145">
        <v>128.80364954278804</v>
      </c>
      <c r="I250" s="146">
        <v>1.3383167574982229</v>
      </c>
      <c r="J250" s="147">
        <v>0.89459939533552946</v>
      </c>
      <c r="K250" s="148">
        <v>82</v>
      </c>
      <c r="M250" s="138">
        <f t="shared" si="21"/>
        <v>1.3383167574982229</v>
      </c>
      <c r="N250" s="149"/>
      <c r="U250" s="141">
        <f t="shared" si="23"/>
        <v>9687372.0285826195</v>
      </c>
      <c r="V250" s="141">
        <f t="shared" si="24"/>
        <v>1062952.6393927138</v>
      </c>
      <c r="W250" s="141">
        <f t="shared" si="25"/>
        <v>480783.14331556816</v>
      </c>
      <c r="X250" s="141">
        <f t="shared" si="26"/>
        <v>262381.02034908941</v>
      </c>
      <c r="Y250" s="141">
        <f t="shared" si="22"/>
        <v>-115350.76219259271</v>
      </c>
      <c r="Z250" s="141">
        <f t="shared" si="27"/>
        <v>-341873.9708273104</v>
      </c>
    </row>
    <row r="251" spans="1:26" ht="19.5" thickBot="1" x14ac:dyDescent="0.35">
      <c r="A251" s="142">
        <v>160</v>
      </c>
      <c r="B251" s="143" t="s">
        <v>276</v>
      </c>
      <c r="C251" s="142">
        <v>44</v>
      </c>
      <c r="D251" s="143" t="s">
        <v>319</v>
      </c>
      <c r="E251" s="142">
        <v>557182</v>
      </c>
      <c r="F251" s="143" t="s">
        <v>322</v>
      </c>
      <c r="G251" s="144">
        <v>2.8395425426615799</v>
      </c>
      <c r="H251" s="145">
        <v>207.2528814618075</v>
      </c>
      <c r="I251" s="146">
        <v>1.3365340244005315</v>
      </c>
      <c r="J251" s="147">
        <v>0.89473979643668822</v>
      </c>
      <c r="K251" s="148">
        <v>84</v>
      </c>
      <c r="M251" s="138">
        <f t="shared" si="21"/>
        <v>1.3365340244005315</v>
      </c>
      <c r="N251" s="149"/>
      <c r="U251" s="141">
        <f t="shared" si="23"/>
        <v>12219600.874598958</v>
      </c>
      <c r="V251" s="141">
        <f t="shared" si="24"/>
        <v>1342510.0339827735</v>
      </c>
      <c r="W251" s="141">
        <f t="shared" si="25"/>
        <v>608279.6808758782</v>
      </c>
      <c r="X251" s="141">
        <f t="shared" si="26"/>
        <v>332831.60442131286</v>
      </c>
      <c r="Y251" s="141">
        <f t="shared" si="22"/>
        <v>-143562.54186100038</v>
      </c>
      <c r="Z251" s="141">
        <f t="shared" si="27"/>
        <v>-429252.90623683494</v>
      </c>
    </row>
    <row r="252" spans="1:26" ht="19.5" thickBot="1" x14ac:dyDescent="0.35">
      <c r="A252" s="142">
        <v>160</v>
      </c>
      <c r="B252" s="143" t="s">
        <v>276</v>
      </c>
      <c r="C252" s="142">
        <v>44</v>
      </c>
      <c r="D252" s="143" t="s">
        <v>319</v>
      </c>
      <c r="E252" s="142">
        <v>457192</v>
      </c>
      <c r="F252" s="143" t="s">
        <v>323</v>
      </c>
      <c r="G252" s="144">
        <v>2.5984562648251952</v>
      </c>
      <c r="H252" s="145">
        <v>203.05168508791292</v>
      </c>
      <c r="I252" s="146">
        <v>0.84770403851618537</v>
      </c>
      <c r="J252" s="147">
        <v>0.93323813832896862</v>
      </c>
      <c r="K252" s="148">
        <v>165</v>
      </c>
      <c r="M252" s="138">
        <f t="shared" si="21"/>
        <v>0.84770403851618537</v>
      </c>
      <c r="N252" s="149"/>
      <c r="U252" s="141">
        <f t="shared" si="23"/>
        <v>11663255.159487849</v>
      </c>
      <c r="V252" s="141">
        <f t="shared" si="24"/>
        <v>1709664.2506580085</v>
      </c>
      <c r="W252" s="141">
        <f t="shared" si="25"/>
        <v>1037772.4116763907</v>
      </c>
      <c r="X252" s="141">
        <f t="shared" si="26"/>
        <v>785710.76120133477</v>
      </c>
      <c r="Y252" s="141">
        <f t="shared" si="22"/>
        <v>349764.00733688293</v>
      </c>
      <c r="Z252" s="141">
        <f t="shared" si="27"/>
        <v>88329.67206654328</v>
      </c>
    </row>
    <row r="253" spans="1:26" ht="19.5" thickBot="1" x14ac:dyDescent="0.35">
      <c r="A253" s="142">
        <v>160</v>
      </c>
      <c r="B253" s="143" t="s">
        <v>276</v>
      </c>
      <c r="C253" s="142">
        <v>44</v>
      </c>
      <c r="D253" s="143" t="s">
        <v>319</v>
      </c>
      <c r="E253" s="142">
        <v>557303</v>
      </c>
      <c r="F253" s="143" t="s">
        <v>324</v>
      </c>
      <c r="G253" s="144">
        <v>3.4220960403097598</v>
      </c>
      <c r="H253" s="145">
        <v>106.02007030964545</v>
      </c>
      <c r="I253" s="146">
        <v>0.71631457139879529</v>
      </c>
      <c r="J253" s="147">
        <v>0.94358585997492872</v>
      </c>
      <c r="K253" s="148">
        <v>190</v>
      </c>
      <c r="M253" s="138">
        <f t="shared" si="21"/>
        <v>0.71631457139879529</v>
      </c>
      <c r="N253" s="149"/>
      <c r="U253" s="141">
        <f t="shared" si="23"/>
        <v>15530502.385233819</v>
      </c>
      <c r="V253" s="141">
        <f t="shared" si="24"/>
        <v>2421894.5948843961</v>
      </c>
      <c r="W253" s="141">
        <f t="shared" si="25"/>
        <v>1537031.365581549</v>
      </c>
      <c r="X253" s="141">
        <f t="shared" si="26"/>
        <v>1205073.0456816913</v>
      </c>
      <c r="Y253" s="141">
        <f t="shared" si="22"/>
        <v>630943.05920458795</v>
      </c>
      <c r="Z253" s="141">
        <f t="shared" si="27"/>
        <v>286641.16902448551</v>
      </c>
    </row>
    <row r="254" spans="1:26" ht="19.5" thickBot="1" x14ac:dyDescent="0.35">
      <c r="A254" s="142">
        <v>160</v>
      </c>
      <c r="B254" s="143" t="s">
        <v>276</v>
      </c>
      <c r="C254" s="142">
        <v>44</v>
      </c>
      <c r="D254" s="143" t="s">
        <v>319</v>
      </c>
      <c r="E254" s="142">
        <v>457306</v>
      </c>
      <c r="F254" s="143" t="s">
        <v>325</v>
      </c>
      <c r="G254" s="144">
        <v>2.6425147732690633</v>
      </c>
      <c r="H254" s="145">
        <v>110.10711476176644</v>
      </c>
      <c r="I254" s="146">
        <v>0.91721293924936997</v>
      </c>
      <c r="J254" s="147">
        <v>0.92776388858518177</v>
      </c>
      <c r="K254" s="148">
        <v>154</v>
      </c>
      <c r="M254" s="138">
        <f t="shared" si="21"/>
        <v>0.91721293924936997</v>
      </c>
      <c r="N254" s="149"/>
      <c r="U254" s="141">
        <f t="shared" si="23"/>
        <v>11791438.090031795</v>
      </c>
      <c r="V254" s="141">
        <f t="shared" si="24"/>
        <v>1669077.6024948102</v>
      </c>
      <c r="W254" s="141">
        <f t="shared" si="25"/>
        <v>985793.40234019049</v>
      </c>
      <c r="X254" s="141">
        <f t="shared" si="26"/>
        <v>729457.88337399904</v>
      </c>
      <c r="Y254" s="141">
        <f t="shared" si="22"/>
        <v>286119.37002672756</v>
      </c>
      <c r="Z254" s="141">
        <f t="shared" si="27"/>
        <v>20252.246325830947</v>
      </c>
    </row>
    <row r="255" spans="1:26" ht="19.5" thickBot="1" x14ac:dyDescent="0.35">
      <c r="A255" s="142">
        <v>160</v>
      </c>
      <c r="B255" s="143" t="s">
        <v>276</v>
      </c>
      <c r="C255" s="142">
        <v>44</v>
      </c>
      <c r="D255" s="143" t="s">
        <v>319</v>
      </c>
      <c r="E255" s="142">
        <v>557307</v>
      </c>
      <c r="F255" s="143" t="s">
        <v>326</v>
      </c>
      <c r="G255" s="144">
        <v>3.049660826332139</v>
      </c>
      <c r="H255" s="145">
        <v>175.54275101597656</v>
      </c>
      <c r="I255" s="146">
        <v>0.84045132535038614</v>
      </c>
      <c r="J255" s="147">
        <v>0.9338093337121619</v>
      </c>
      <c r="K255" s="148">
        <v>167</v>
      </c>
      <c r="M255" s="138">
        <f t="shared" si="21"/>
        <v>0.84045132535038614</v>
      </c>
      <c r="N255" s="149"/>
      <c r="U255" s="141">
        <f t="shared" si="23"/>
        <v>13696879.606859289</v>
      </c>
      <c r="V255" s="141">
        <f t="shared" si="24"/>
        <v>2014914.1695706458</v>
      </c>
      <c r="W255" s="141">
        <f t="shared" si="25"/>
        <v>1226352.8038813351</v>
      </c>
      <c r="X255" s="141">
        <f t="shared" si="26"/>
        <v>930522.33265879389</v>
      </c>
      <c r="Y255" s="141">
        <f t="shared" si="22"/>
        <v>418876.33898781094</v>
      </c>
      <c r="Z255" s="141">
        <f t="shared" si="27"/>
        <v>112045.6789051895</v>
      </c>
    </row>
    <row r="256" spans="1:26" ht="19.5" thickBot="1" x14ac:dyDescent="0.35">
      <c r="A256" s="142">
        <v>160</v>
      </c>
      <c r="B256" s="143" t="s">
        <v>276</v>
      </c>
      <c r="C256" s="142">
        <v>44</v>
      </c>
      <c r="D256" s="143" t="s">
        <v>319</v>
      </c>
      <c r="E256" s="142">
        <v>557347</v>
      </c>
      <c r="F256" s="143" t="s">
        <v>327</v>
      </c>
      <c r="G256" s="144">
        <v>2.8493458840345491</v>
      </c>
      <c r="H256" s="145">
        <v>167.34324478881638</v>
      </c>
      <c r="I256" s="146">
        <v>0.80767064826170321</v>
      </c>
      <c r="J256" s="147">
        <v>0.9363910119038904</v>
      </c>
      <c r="K256" s="148">
        <v>169</v>
      </c>
      <c r="M256" s="138">
        <f t="shared" si="21"/>
        <v>0.80767064826170321</v>
      </c>
      <c r="N256" s="149"/>
      <c r="U256" s="141">
        <f t="shared" si="23"/>
        <v>12832589.291888954</v>
      </c>
      <c r="V256" s="141">
        <f t="shared" si="24"/>
        <v>1917945.9817980903</v>
      </c>
      <c r="W256" s="141">
        <f t="shared" si="25"/>
        <v>1181180.7447478273</v>
      </c>
      <c r="X256" s="141">
        <f t="shared" si="26"/>
        <v>904781.70119787892</v>
      </c>
      <c r="Y256" s="141">
        <f t="shared" si="22"/>
        <v>426742.83419949131</v>
      </c>
      <c r="Z256" s="141">
        <f t="shared" si="27"/>
        <v>140066.14187580382</v>
      </c>
    </row>
    <row r="257" spans="1:26" ht="19.5" thickBot="1" x14ac:dyDescent="0.35">
      <c r="A257" s="142">
        <v>160</v>
      </c>
      <c r="B257" s="143" t="s">
        <v>276</v>
      </c>
      <c r="C257" s="142">
        <v>44</v>
      </c>
      <c r="D257" s="143" t="s">
        <v>319</v>
      </c>
      <c r="E257" s="142">
        <v>457348</v>
      </c>
      <c r="F257" s="143" t="s">
        <v>328</v>
      </c>
      <c r="G257" s="144">
        <v>7.8533208781537667</v>
      </c>
      <c r="H257" s="145">
        <v>161.75135189415957</v>
      </c>
      <c r="I257" s="146">
        <v>0.70986912711130479</v>
      </c>
      <c r="J257" s="147">
        <v>0.9440934780118595</v>
      </c>
      <c r="K257" s="148">
        <v>193</v>
      </c>
      <c r="M257" s="138">
        <f t="shared" si="21"/>
        <v>0.70986912711130479</v>
      </c>
      <c r="N257" s="149"/>
      <c r="U257" s="141">
        <f t="shared" si="23"/>
        <v>35659908.688600868</v>
      </c>
      <c r="V257" s="141">
        <f t="shared" si="24"/>
        <v>5577145.9517135071</v>
      </c>
      <c r="W257" s="141">
        <f t="shared" si="25"/>
        <v>3546485.5637117722</v>
      </c>
      <c r="X257" s="141">
        <f t="shared" si="26"/>
        <v>2784679.0060821329</v>
      </c>
      <c r="Y257" s="141">
        <f t="shared" si="22"/>
        <v>1467116.0398578865</v>
      </c>
      <c r="Z257" s="141">
        <f t="shared" si="27"/>
        <v>676982.39349346352</v>
      </c>
    </row>
    <row r="258" spans="1:26" ht="19.5" thickBot="1" x14ac:dyDescent="0.35">
      <c r="A258" s="142">
        <v>160</v>
      </c>
      <c r="B258" s="143" t="s">
        <v>276</v>
      </c>
      <c r="C258" s="142">
        <v>44</v>
      </c>
      <c r="D258" s="143" t="s">
        <v>319</v>
      </c>
      <c r="E258" s="142">
        <v>457350</v>
      </c>
      <c r="F258" s="143" t="s">
        <v>329</v>
      </c>
      <c r="G258" s="144">
        <v>8.9100383937324263</v>
      </c>
      <c r="H258" s="145">
        <v>147.93508702804175</v>
      </c>
      <c r="I258" s="146">
        <v>0.67737891228903369</v>
      </c>
      <c r="J258" s="147">
        <v>0.94665228052909578</v>
      </c>
      <c r="K258" s="148">
        <v>203</v>
      </c>
      <c r="M258" s="138">
        <f t="shared" si="21"/>
        <v>0.67737891228903369</v>
      </c>
      <c r="N258" s="149"/>
      <c r="U258" s="141">
        <f t="shared" si="23"/>
        <v>40567845.878745958</v>
      </c>
      <c r="V258" s="141">
        <f t="shared" si="24"/>
        <v>6437243.6616845503</v>
      </c>
      <c r="W258" s="141">
        <f t="shared" si="25"/>
        <v>4133344.164586633</v>
      </c>
      <c r="X258" s="141">
        <f t="shared" si="26"/>
        <v>3269031.374826672</v>
      </c>
      <c r="Y258" s="141">
        <f t="shared" si="22"/>
        <v>1774181.3874952157</v>
      </c>
      <c r="Z258" s="141">
        <f t="shared" si="27"/>
        <v>877729.90734865819</v>
      </c>
    </row>
    <row r="259" spans="1:26" ht="19.5" thickBot="1" x14ac:dyDescent="0.35">
      <c r="A259" s="142">
        <v>160</v>
      </c>
      <c r="B259" s="143" t="s">
        <v>276</v>
      </c>
      <c r="C259" s="142">
        <v>44</v>
      </c>
      <c r="D259" s="143" t="s">
        <v>319</v>
      </c>
      <c r="E259" s="142">
        <v>557352</v>
      </c>
      <c r="F259" s="143" t="s">
        <v>330</v>
      </c>
      <c r="G259" s="144">
        <v>3.7235578407680481</v>
      </c>
      <c r="H259" s="145">
        <v>231.0792720551697</v>
      </c>
      <c r="I259" s="146">
        <v>1.3663036331001679</v>
      </c>
      <c r="J259" s="147">
        <v>0.89239525823974308</v>
      </c>
      <c r="K259" s="148">
        <v>81</v>
      </c>
      <c r="M259" s="138">
        <f t="shared" si="21"/>
        <v>1.3663036331001679</v>
      </c>
      <c r="N259" s="149"/>
      <c r="U259" s="141">
        <f t="shared" si="23"/>
        <v>15981857.173428167</v>
      </c>
      <c r="V259" s="141">
        <f t="shared" si="24"/>
        <v>1718476.2675870513</v>
      </c>
      <c r="W259" s="141">
        <f t="shared" si="25"/>
        <v>755663.01609814481</v>
      </c>
      <c r="X259" s="141">
        <f t="shared" si="26"/>
        <v>394461.57981133123</v>
      </c>
      <c r="Y259" s="141">
        <f t="shared" si="22"/>
        <v>-230245.08756009734</v>
      </c>
      <c r="Z259" s="141">
        <f t="shared" si="27"/>
        <v>-604877.47299581813</v>
      </c>
    </row>
    <row r="260" spans="1:26" ht="19.5" thickBot="1" x14ac:dyDescent="0.35">
      <c r="A260" s="142">
        <v>160</v>
      </c>
      <c r="B260" s="143" t="s">
        <v>276</v>
      </c>
      <c r="C260" s="142">
        <v>44</v>
      </c>
      <c r="D260" s="143" t="s">
        <v>319</v>
      </c>
      <c r="E260" s="142">
        <v>457449</v>
      </c>
      <c r="F260" s="143" t="s">
        <v>331</v>
      </c>
      <c r="G260" s="144">
        <v>2.4875433198240544</v>
      </c>
      <c r="H260" s="145">
        <v>147.13792764255791</v>
      </c>
      <c r="I260" s="146">
        <v>1.2955030335825219</v>
      </c>
      <c r="J260" s="147">
        <v>0.89797123713857785</v>
      </c>
      <c r="K260" s="148">
        <v>88</v>
      </c>
      <c r="M260" s="138">
        <f t="shared" si="21"/>
        <v>1.2955030335825219</v>
      </c>
      <c r="N260" s="149"/>
      <c r="U260" s="141">
        <f t="shared" si="23"/>
        <v>10743479.644998092</v>
      </c>
      <c r="V260" s="141">
        <f t="shared" si="24"/>
        <v>1214749.4875225439</v>
      </c>
      <c r="W260" s="141">
        <f t="shared" si="25"/>
        <v>571536.79299775872</v>
      </c>
      <c r="X260" s="141">
        <f t="shared" si="26"/>
        <v>330234.18447945378</v>
      </c>
      <c r="Y260" s="141">
        <f t="shared" si="22"/>
        <v>-87104.544693827542</v>
      </c>
      <c r="Z260" s="141">
        <f t="shared" si="27"/>
        <v>-337379.77275048487</v>
      </c>
    </row>
    <row r="261" spans="1:26" ht="19.5" thickBot="1" x14ac:dyDescent="0.35">
      <c r="A261" s="142">
        <v>160</v>
      </c>
      <c r="B261" s="143" t="s">
        <v>276</v>
      </c>
      <c r="C261" s="142">
        <v>44</v>
      </c>
      <c r="D261" s="143" t="s">
        <v>319</v>
      </c>
      <c r="E261" s="142">
        <v>557508</v>
      </c>
      <c r="F261" s="143" t="s">
        <v>332</v>
      </c>
      <c r="G261" s="144">
        <v>2.6455275505029943</v>
      </c>
      <c r="H261" s="145">
        <v>118.41605194791391</v>
      </c>
      <c r="I261" s="146">
        <v>0.79680498248797738</v>
      </c>
      <c r="J261" s="147">
        <v>0.93724674933392427</v>
      </c>
      <c r="K261" s="148">
        <v>172</v>
      </c>
      <c r="M261" s="138">
        <f t="shared" ref="M261:M297" si="28">I261</f>
        <v>0.79680498248797738</v>
      </c>
      <c r="N261" s="149"/>
      <c r="U261" s="141">
        <f t="shared" si="23"/>
        <v>11925541.777712693</v>
      </c>
      <c r="V261" s="141">
        <f t="shared" si="24"/>
        <v>1791640.6102374198</v>
      </c>
      <c r="W261" s="141">
        <f t="shared" si="25"/>
        <v>1107577.385835385</v>
      </c>
      <c r="X261" s="141">
        <f t="shared" si="26"/>
        <v>850949.61426814785</v>
      </c>
      <c r="Y261" s="141">
        <f t="shared" si="22"/>
        <v>407105.64294067945</v>
      </c>
      <c r="Z261" s="141">
        <f t="shared" si="27"/>
        <v>140935.39948974791</v>
      </c>
    </row>
    <row r="262" spans="1:26" ht="19.5" thickBot="1" x14ac:dyDescent="0.35">
      <c r="A262" s="142">
        <v>160</v>
      </c>
      <c r="B262" s="143" t="s">
        <v>276</v>
      </c>
      <c r="C262" s="142">
        <v>44</v>
      </c>
      <c r="D262" s="143" t="s">
        <v>319</v>
      </c>
      <c r="E262" s="142">
        <v>557622</v>
      </c>
      <c r="F262" s="143" t="s">
        <v>333</v>
      </c>
      <c r="G262" s="144">
        <v>2.5458872462458033</v>
      </c>
      <c r="H262" s="145">
        <v>108.50298315738119</v>
      </c>
      <c r="I262" s="146">
        <v>0.57348756711554494</v>
      </c>
      <c r="J262" s="147">
        <v>0.95483435740987876</v>
      </c>
      <c r="K262" s="148">
        <v>224</v>
      </c>
      <c r="M262" s="138">
        <f t="shared" si="28"/>
        <v>0.57348756711554494</v>
      </c>
      <c r="N262" s="149"/>
      <c r="U262" s="141">
        <f t="shared" si="23"/>
        <v>11691738.407237928</v>
      </c>
      <c r="V262" s="141">
        <f t="shared" si="24"/>
        <v>1939517.2549443371</v>
      </c>
      <c r="W262" s="141">
        <f t="shared" si="25"/>
        <v>1281218.3692268925</v>
      </c>
      <c r="X262" s="141">
        <f t="shared" si="26"/>
        <v>1034256.1440399764</v>
      </c>
      <c r="Y262" s="141">
        <f t="shared" ref="Y262:Y297" si="29">((((($R$5-$M262)))/0.003)*G262*1000)+(((((($R$5/$O$2)-($M262/$O$2))))/0.003)*G262*1000)*$O$3</f>
        <v>607128.97021377773</v>
      </c>
      <c r="Z262" s="141">
        <f t="shared" si="27"/>
        <v>350983.67775480199</v>
      </c>
    </row>
    <row r="263" spans="1:26" ht="19.5" thickBot="1" x14ac:dyDescent="0.35">
      <c r="A263" s="142">
        <v>160</v>
      </c>
      <c r="B263" s="143" t="s">
        <v>276</v>
      </c>
      <c r="C263" s="142">
        <v>44</v>
      </c>
      <c r="D263" s="143" t="s">
        <v>319</v>
      </c>
      <c r="E263" s="142">
        <v>557628</v>
      </c>
      <c r="F263" s="143" t="s">
        <v>334</v>
      </c>
      <c r="G263" s="144">
        <v>2.3152426595163873</v>
      </c>
      <c r="H263" s="145">
        <v>161.04676079952856</v>
      </c>
      <c r="I263" s="146">
        <v>1.3772520686907421</v>
      </c>
      <c r="J263" s="147">
        <v>0.89153300218196674</v>
      </c>
      <c r="K263" s="148">
        <v>78</v>
      </c>
      <c r="M263" s="138">
        <f t="shared" si="28"/>
        <v>1.3772520686907421</v>
      </c>
      <c r="N263" s="149"/>
      <c r="U263" s="141">
        <f t="shared" ref="U263:U297" si="30">((((($N$5-$M263)))/0.003)*G263*1000)+(((((($N$5/$O$2)-($M263/$O$2))))/0.003)*G263*1000)*$O$3</f>
        <v>9927635.5807605572</v>
      </c>
      <c r="V263" s="141">
        <f t="shared" ref="V263:V297" si="31">((((($O$5-$M263)))/0.003)*G263*1000)+(((((($O$5/$O$2)-($M263/$O$2))))/0.003)*G263*1000)*$O$3</f>
        <v>1058916.6419610919</v>
      </c>
      <c r="W263" s="141">
        <f t="shared" ref="W263:W297" si="32">((((($P$5-$M263)))/0.003)*G263*1000)+(((((($P$5/$O$2)-($M263/$O$2))))/0.003)*G263*1000)*$O$3</f>
        <v>460256.32612321671</v>
      </c>
      <c r="X263" s="141">
        <f t="shared" ref="X263:X297" si="33">((((($Q$5-$M263)))/0.003)*G263*1000)+(((((($Q$5/$O$2)-($M263/$O$2))))/0.003)*G263*1000)*$O$3</f>
        <v>235667.63709742029</v>
      </c>
      <c r="Y263" s="141">
        <f t="shared" si="29"/>
        <v>-152763.96188220274</v>
      </c>
      <c r="Z263" s="141">
        <f t="shared" ref="Z263:Z297" si="34">((((($S$5-$M263)))/0.003)*G263*1000)+(((((($S$5/$O$2)-($M263/$O$2))))/0.003)*G263*1000)*$O$3</f>
        <v>-385703.77844706574</v>
      </c>
    </row>
    <row r="264" spans="1:26" ht="19.5" thickBot="1" x14ac:dyDescent="0.35">
      <c r="A264" s="142">
        <v>160</v>
      </c>
      <c r="B264" s="143" t="s">
        <v>276</v>
      </c>
      <c r="C264" s="142">
        <v>44</v>
      </c>
      <c r="D264" s="143" t="s">
        <v>319</v>
      </c>
      <c r="E264" s="142">
        <v>457632</v>
      </c>
      <c r="F264" s="143" t="s">
        <v>335</v>
      </c>
      <c r="G264" s="144">
        <v>8.7242769703991669</v>
      </c>
      <c r="H264" s="145">
        <v>188.07467628173276</v>
      </c>
      <c r="I264" s="146">
        <v>1.13487221629863</v>
      </c>
      <c r="J264" s="147">
        <v>0.91062189340109023</v>
      </c>
      <c r="K264" s="148">
        <v>109</v>
      </c>
      <c r="M264" s="138">
        <f t="shared" si="28"/>
        <v>1.13487221629863</v>
      </c>
      <c r="N264" s="149"/>
      <c r="U264" s="141">
        <f t="shared" si="30"/>
        <v>38210209.507335544</v>
      </c>
      <c r="V264" s="141">
        <f t="shared" si="31"/>
        <v>4791181.0194650851</v>
      </c>
      <c r="W264" s="141">
        <f t="shared" si="32"/>
        <v>2535314.4971856312</v>
      </c>
      <c r="X264" s="141">
        <f t="shared" si="33"/>
        <v>1689021.3799496284</v>
      </c>
      <c r="Y264" s="141">
        <f t="shared" si="29"/>
        <v>225336.85443163977</v>
      </c>
      <c r="Z264" s="141">
        <f t="shared" si="34"/>
        <v>-652424.90794463642</v>
      </c>
    </row>
    <row r="265" spans="1:26" ht="19.5" thickBot="1" x14ac:dyDescent="0.35">
      <c r="A265" s="142">
        <v>160</v>
      </c>
      <c r="B265" s="143" t="s">
        <v>276</v>
      </c>
      <c r="C265" s="142">
        <v>44</v>
      </c>
      <c r="D265" s="143" t="s">
        <v>319</v>
      </c>
      <c r="E265" s="142">
        <v>557633</v>
      </c>
      <c r="F265" s="143" t="s">
        <v>336</v>
      </c>
      <c r="G265" s="144">
        <v>1.953744093309282</v>
      </c>
      <c r="H265" s="145">
        <v>359.63374390034392</v>
      </c>
      <c r="I265" s="146">
        <v>1.2614409313583828</v>
      </c>
      <c r="J265" s="147">
        <v>0.90065383537285415</v>
      </c>
      <c r="K265" s="148">
        <v>95</v>
      </c>
      <c r="M265" s="138">
        <f t="shared" si="28"/>
        <v>1.2614409313583828</v>
      </c>
      <c r="N265" s="149"/>
      <c r="U265" s="141">
        <f t="shared" si="30"/>
        <v>8463255.8000085223</v>
      </c>
      <c r="V265" s="141">
        <f t="shared" si="31"/>
        <v>979285.52558425767</v>
      </c>
      <c r="W265" s="141">
        <f t="shared" si="32"/>
        <v>474099.14645489573</v>
      </c>
      <c r="X265" s="141">
        <f t="shared" si="33"/>
        <v>284577.40332155162</v>
      </c>
      <c r="Y265" s="141">
        <f t="shared" si="29"/>
        <v>-43205.060016281728</v>
      </c>
      <c r="Z265" s="141">
        <f t="shared" si="34"/>
        <v>-239773.99798031012</v>
      </c>
    </row>
    <row r="266" spans="1:26" ht="19.5" thickBot="1" x14ac:dyDescent="0.35">
      <c r="A266" s="142">
        <v>160</v>
      </c>
      <c r="B266" s="143" t="s">
        <v>276</v>
      </c>
      <c r="C266" s="142">
        <v>44</v>
      </c>
      <c r="D266" s="143" t="s">
        <v>319</v>
      </c>
      <c r="E266" s="142">
        <v>457634</v>
      </c>
      <c r="F266" s="143" t="s">
        <v>337</v>
      </c>
      <c r="G266" s="144">
        <v>1.6595588506878931</v>
      </c>
      <c r="H266" s="145">
        <v>79.694616460982147</v>
      </c>
      <c r="I266" s="146">
        <v>0.77754577233891498</v>
      </c>
      <c r="J266" s="147">
        <v>0.93876352956080122</v>
      </c>
      <c r="K266" s="148">
        <v>176</v>
      </c>
      <c r="M266" s="138">
        <f t="shared" si="28"/>
        <v>0.77754577233891498</v>
      </c>
      <c r="N266" s="149"/>
      <c r="U266" s="141">
        <f t="shared" si="30"/>
        <v>7493086.630663624</v>
      </c>
      <c r="V266" s="141">
        <f t="shared" si="31"/>
        <v>1136016.0451456655</v>
      </c>
      <c r="W266" s="141">
        <f t="shared" si="32"/>
        <v>706898.16343218589</v>
      </c>
      <c r="X266" s="141">
        <f t="shared" si="33"/>
        <v>545913.67867195536</v>
      </c>
      <c r="Y266" s="141">
        <f t="shared" si="29"/>
        <v>267487.09762920009</v>
      </c>
      <c r="Z266" s="141">
        <f t="shared" si="34"/>
        <v>100516.55021427739</v>
      </c>
    </row>
    <row r="267" spans="1:26" ht="19.5" thickBot="1" x14ac:dyDescent="0.35">
      <c r="A267" s="142">
        <v>160</v>
      </c>
      <c r="B267" s="143" t="s">
        <v>276</v>
      </c>
      <c r="C267" s="142">
        <v>44</v>
      </c>
      <c r="D267" s="143" t="s">
        <v>319</v>
      </c>
      <c r="E267" s="142">
        <v>557660</v>
      </c>
      <c r="F267" s="143" t="s">
        <v>546</v>
      </c>
      <c r="G267" s="144">
        <v>1.9110045249520344</v>
      </c>
      <c r="H267" s="145">
        <v>282.15500814344426</v>
      </c>
      <c r="I267" s="146">
        <v>1.6422776193995527</v>
      </c>
      <c r="J267" s="147">
        <v>0.8706606241446021</v>
      </c>
      <c r="K267" s="148">
        <v>51</v>
      </c>
      <c r="M267" s="138">
        <f t="shared" si="28"/>
        <v>1.6422776193995527</v>
      </c>
      <c r="N267" s="149"/>
      <c r="U267" s="141">
        <f t="shared" si="30"/>
        <v>8002441.4615464536</v>
      </c>
      <c r="V267" s="141">
        <f t="shared" si="31"/>
        <v>682188.46218536026</v>
      </c>
      <c r="W267" s="141">
        <f t="shared" si="32"/>
        <v>188053.40132121582</v>
      </c>
      <c r="X267" s="141">
        <f t="shared" si="33"/>
        <v>2677.5837077858519</v>
      </c>
      <c r="Y267" s="141">
        <f t="shared" si="29"/>
        <v>-317934.40062713722</v>
      </c>
      <c r="Z267" s="141">
        <f t="shared" si="34"/>
        <v>-510203.25057564914</v>
      </c>
    </row>
    <row r="268" spans="1:26" ht="19.5" thickBot="1" x14ac:dyDescent="0.35">
      <c r="A268" s="142">
        <v>160</v>
      </c>
      <c r="B268" s="143" t="s">
        <v>276</v>
      </c>
      <c r="C268" s="142">
        <v>44</v>
      </c>
      <c r="D268" s="143" t="s">
        <v>319</v>
      </c>
      <c r="E268" s="142">
        <v>457158</v>
      </c>
      <c r="F268" s="143" t="s">
        <v>339</v>
      </c>
      <c r="G268" s="144">
        <v>4.3293466173291888</v>
      </c>
      <c r="H268" s="145">
        <v>224.55033780587695</v>
      </c>
      <c r="I268" s="146">
        <v>1.4948444230119065</v>
      </c>
      <c r="J268" s="147">
        <v>0.8822718872927392</v>
      </c>
      <c r="K268" s="148">
        <v>64</v>
      </c>
      <c r="M268" s="138">
        <f t="shared" si="28"/>
        <v>1.4948444230119065</v>
      </c>
      <c r="N268" s="149"/>
      <c r="U268" s="141">
        <f t="shared" si="30"/>
        <v>18371164.484944802</v>
      </c>
      <c r="V268" s="141">
        <f t="shared" si="31"/>
        <v>1787262.0676686058</v>
      </c>
      <c r="W268" s="141">
        <f t="shared" si="32"/>
        <v>667807.91341450647</v>
      </c>
      <c r="X268" s="141">
        <f t="shared" si="33"/>
        <v>247842.30975405488</v>
      </c>
      <c r="Y268" s="141">
        <f t="shared" si="29"/>
        <v>-478498.4140547688</v>
      </c>
      <c r="Z268" s="141">
        <f t="shared" si="34"/>
        <v>-914080.05934849544</v>
      </c>
    </row>
    <row r="269" spans="1:26" ht="19.5" thickBot="1" x14ac:dyDescent="0.35">
      <c r="A269" s="142">
        <v>80</v>
      </c>
      <c r="B269" s="143" t="s">
        <v>340</v>
      </c>
      <c r="C269" s="142">
        <v>57</v>
      </c>
      <c r="D269" s="143" t="s">
        <v>341</v>
      </c>
      <c r="E269" s="142">
        <v>588201</v>
      </c>
      <c r="F269" s="143" t="s">
        <v>342</v>
      </c>
      <c r="G269" s="144">
        <v>3.4371100664698147</v>
      </c>
      <c r="H269" s="145">
        <v>123.45372388548923</v>
      </c>
      <c r="I269" s="146">
        <v>0.86208929421144065</v>
      </c>
      <c r="J269" s="147">
        <v>0.93210521173290095</v>
      </c>
      <c r="K269" s="148">
        <v>162</v>
      </c>
      <c r="M269" s="138">
        <f t="shared" si="28"/>
        <v>0.86208929421144065</v>
      </c>
      <c r="N269" s="149"/>
      <c r="U269" s="141">
        <f t="shared" si="30"/>
        <v>15408851.251614919</v>
      </c>
      <c r="V269" s="141">
        <f t="shared" si="31"/>
        <v>2242731.0542588281</v>
      </c>
      <c r="W269" s="141">
        <f t="shared" si="32"/>
        <v>1353985.5961943292</v>
      </c>
      <c r="X269" s="141">
        <f t="shared" si="33"/>
        <v>1020570.8499287833</v>
      </c>
      <c r="Y269" s="141">
        <f t="shared" si="29"/>
        <v>443921.93863639067</v>
      </c>
      <c r="Z269" s="141">
        <f t="shared" si="34"/>
        <v>98109.466191726038</v>
      </c>
    </row>
    <row r="270" spans="1:26" ht="19.5" thickBot="1" x14ac:dyDescent="0.35">
      <c r="A270" s="142">
        <v>80</v>
      </c>
      <c r="B270" s="143" t="s">
        <v>340</v>
      </c>
      <c r="C270" s="142">
        <v>57</v>
      </c>
      <c r="D270" s="143" t="s">
        <v>341</v>
      </c>
      <c r="E270" s="142">
        <v>588206</v>
      </c>
      <c r="F270" s="143" t="s">
        <v>343</v>
      </c>
      <c r="G270" s="144">
        <v>2.6865209235209235</v>
      </c>
      <c r="H270" s="145">
        <v>191.78473915428907</v>
      </c>
      <c r="I270" s="146">
        <v>0.77407922098910231</v>
      </c>
      <c r="J270" s="147">
        <v>0.93903654161592454</v>
      </c>
      <c r="K270" s="148">
        <v>178</v>
      </c>
      <c r="M270" s="138">
        <f t="shared" si="28"/>
        <v>0.77407922098910231</v>
      </c>
      <c r="N270" s="149"/>
      <c r="U270" s="141">
        <f t="shared" si="30"/>
        <v>12133458.435989758</v>
      </c>
      <c r="V270" s="141">
        <f t="shared" si="31"/>
        <v>1842528.9319144178</v>
      </c>
      <c r="W270" s="141">
        <f t="shared" si="32"/>
        <v>1147865.9090259036</v>
      </c>
      <c r="X270" s="141">
        <f t="shared" si="33"/>
        <v>887261.60054276278</v>
      </c>
      <c r="Y270" s="141">
        <f t="shared" si="29"/>
        <v>436540.11192203197</v>
      </c>
      <c r="Z270" s="141">
        <f t="shared" si="34"/>
        <v>166245.46762183227</v>
      </c>
    </row>
    <row r="271" spans="1:26" ht="19.5" thickBot="1" x14ac:dyDescent="0.35">
      <c r="A271" s="142">
        <v>80</v>
      </c>
      <c r="B271" s="143" t="s">
        <v>340</v>
      </c>
      <c r="C271" s="142">
        <v>57</v>
      </c>
      <c r="D271" s="143" t="s">
        <v>341</v>
      </c>
      <c r="E271" s="142">
        <v>588216</v>
      </c>
      <c r="F271" s="143" t="s">
        <v>547</v>
      </c>
      <c r="G271" s="144">
        <v>1</v>
      </c>
      <c r="H271" s="145">
        <v>171.90418720000002</v>
      </c>
      <c r="I271" s="146">
        <v>1.5441712516000001</v>
      </c>
      <c r="J271" s="147">
        <v>0.87838709878490906</v>
      </c>
      <c r="K271" s="148">
        <v>59</v>
      </c>
      <c r="M271" s="138">
        <f t="shared" si="28"/>
        <v>1.5441712516000001</v>
      </c>
      <c r="N271" s="149"/>
      <c r="U271" s="141">
        <f t="shared" si="30"/>
        <v>4224719.0712690363</v>
      </c>
      <c r="V271" s="141">
        <f t="shared" si="31"/>
        <v>394140.49137539137</v>
      </c>
      <c r="W271" s="141">
        <f t="shared" si="32"/>
        <v>135567.02678532345</v>
      </c>
      <c r="X271" s="141">
        <f t="shared" si="33"/>
        <v>38562.642340926133</v>
      </c>
      <c r="Y271" s="141">
        <f t="shared" si="29"/>
        <v>-129208.79940538282</v>
      </c>
      <c r="Z271" s="141">
        <f t="shared" si="34"/>
        <v>-229820.20426500129</v>
      </c>
    </row>
    <row r="272" spans="1:26" ht="19.5" thickBot="1" x14ac:dyDescent="0.35">
      <c r="A272" s="142">
        <v>80</v>
      </c>
      <c r="B272" s="143" t="s">
        <v>340</v>
      </c>
      <c r="C272" s="142">
        <v>57</v>
      </c>
      <c r="D272" s="143" t="s">
        <v>341</v>
      </c>
      <c r="E272" s="142">
        <v>488256</v>
      </c>
      <c r="F272" s="143" t="s">
        <v>345</v>
      </c>
      <c r="G272" s="144">
        <v>2.6251377057828655</v>
      </c>
      <c r="H272" s="145">
        <v>143.57309973862937</v>
      </c>
      <c r="I272" s="146">
        <v>0.43188657131489072</v>
      </c>
      <c r="J272" s="147">
        <v>0.9659862992015813</v>
      </c>
      <c r="K272" s="148">
        <v>241</v>
      </c>
      <c r="M272" s="138">
        <f t="shared" si="28"/>
        <v>0.43188657131489072</v>
      </c>
      <c r="N272" s="149"/>
      <c r="U272" s="141">
        <f t="shared" si="30"/>
        <v>12196492.229487814</v>
      </c>
      <c r="V272" s="141">
        <f t="shared" si="31"/>
        <v>2140695.9644448264</v>
      </c>
      <c r="W272" s="141">
        <f t="shared" si="32"/>
        <v>1461905.0128345282</v>
      </c>
      <c r="X272" s="141">
        <f t="shared" si="33"/>
        <v>1207255.145603284</v>
      </c>
      <c r="Y272" s="141">
        <f t="shared" si="29"/>
        <v>766832.00792149489</v>
      </c>
      <c r="Z272" s="141">
        <f t="shared" si="34"/>
        <v>502713.21539272513</v>
      </c>
    </row>
    <row r="273" spans="1:26" ht="19.5" thickBot="1" x14ac:dyDescent="0.35">
      <c r="A273" s="142">
        <v>80</v>
      </c>
      <c r="B273" s="143" t="s">
        <v>340</v>
      </c>
      <c r="C273" s="142">
        <v>57</v>
      </c>
      <c r="D273" s="143" t="s">
        <v>341</v>
      </c>
      <c r="E273" s="142">
        <v>488281</v>
      </c>
      <c r="F273" s="143" t="s">
        <v>346</v>
      </c>
      <c r="G273" s="144">
        <v>4.5014537386150302</v>
      </c>
      <c r="H273" s="145">
        <v>101.2612292490745</v>
      </c>
      <c r="I273" s="146">
        <v>0.58116630289860494</v>
      </c>
      <c r="J273" s="147">
        <v>0.95422961014802266</v>
      </c>
      <c r="K273" s="148">
        <v>221</v>
      </c>
      <c r="M273" s="138">
        <f t="shared" si="28"/>
        <v>0.58116630289860494</v>
      </c>
      <c r="N273" s="149"/>
      <c r="U273" s="141">
        <f t="shared" si="30"/>
        <v>20659393.45290035</v>
      </c>
      <c r="V273" s="141">
        <f t="shared" si="31"/>
        <v>3416221.1833794536</v>
      </c>
      <c r="W273" s="141">
        <f t="shared" si="32"/>
        <v>2252264.6944938512</v>
      </c>
      <c r="X273" s="141">
        <f t="shared" si="33"/>
        <v>1815603.945474569</v>
      </c>
      <c r="Y273" s="141">
        <f t="shared" si="29"/>
        <v>1060388.561792813</v>
      </c>
      <c r="Z273" s="141">
        <f t="shared" si="34"/>
        <v>607490.97724017291</v>
      </c>
    </row>
    <row r="274" spans="1:26" ht="19.5" thickBot="1" x14ac:dyDescent="0.35">
      <c r="A274" s="142">
        <v>80</v>
      </c>
      <c r="B274" s="143" t="s">
        <v>340</v>
      </c>
      <c r="C274" s="142">
        <v>57</v>
      </c>
      <c r="D274" s="143" t="s">
        <v>341</v>
      </c>
      <c r="E274" s="142">
        <v>488286</v>
      </c>
      <c r="F274" s="143" t="s">
        <v>347</v>
      </c>
      <c r="G274" s="144">
        <v>8.6759634028119379</v>
      </c>
      <c r="H274" s="145">
        <v>188.4470334118858</v>
      </c>
      <c r="I274" s="146">
        <v>0.94665209685394403</v>
      </c>
      <c r="J274" s="147">
        <v>0.92544537542680583</v>
      </c>
      <c r="K274" s="148">
        <v>144</v>
      </c>
      <c r="M274" s="138">
        <f t="shared" si="28"/>
        <v>0.94665209685394403</v>
      </c>
      <c r="N274" s="149"/>
      <c r="U274" s="141">
        <f t="shared" si="30"/>
        <v>38617164.988528118</v>
      </c>
      <c r="V274" s="141">
        <f t="shared" si="31"/>
        <v>5383205.4177755378</v>
      </c>
      <c r="W274" s="141">
        <f t="shared" si="32"/>
        <v>3139831.5020538201</v>
      </c>
      <c r="X274" s="141">
        <f t="shared" si="33"/>
        <v>2298225.0127019291</v>
      </c>
      <c r="Y274" s="141">
        <f t="shared" si="29"/>
        <v>842646.12407395779</v>
      </c>
      <c r="Z274" s="141">
        <f t="shared" si="34"/>
        <v>-30254.742393587203</v>
      </c>
    </row>
    <row r="275" spans="1:26" ht="19.5" thickBot="1" x14ac:dyDescent="0.35">
      <c r="A275" s="142">
        <v>80</v>
      </c>
      <c r="B275" s="143" t="s">
        <v>340</v>
      </c>
      <c r="C275" s="142">
        <v>57</v>
      </c>
      <c r="D275" s="143" t="s">
        <v>341</v>
      </c>
      <c r="E275" s="142">
        <v>488291</v>
      </c>
      <c r="F275" s="143" t="s">
        <v>348</v>
      </c>
      <c r="G275" s="144">
        <v>1.8989247311827957</v>
      </c>
      <c r="H275" s="145">
        <v>52.907390487995457</v>
      </c>
      <c r="I275" s="146">
        <v>0.35319940583544729</v>
      </c>
      <c r="J275" s="147">
        <v>0.97218339325603398</v>
      </c>
      <c r="K275" s="148">
        <v>260</v>
      </c>
      <c r="M275" s="138">
        <f t="shared" si="28"/>
        <v>0.35319940583544729</v>
      </c>
      <c r="N275" s="149"/>
      <c r="U275" s="141">
        <f t="shared" si="30"/>
        <v>8879077.2737266012</v>
      </c>
      <c r="V275" s="141">
        <f t="shared" si="31"/>
        <v>1605096.8736274862</v>
      </c>
      <c r="W275" s="141">
        <f t="shared" si="32"/>
        <v>1114085.3268897876</v>
      </c>
      <c r="X275" s="141">
        <f t="shared" si="33"/>
        <v>929881.30223515804</v>
      </c>
      <c r="Y275" s="141">
        <f t="shared" si="29"/>
        <v>611295.96231689805</v>
      </c>
      <c r="Z275" s="141">
        <f t="shared" si="34"/>
        <v>420242.4773899237</v>
      </c>
    </row>
    <row r="276" spans="1:26" ht="19.5" thickBot="1" x14ac:dyDescent="0.35">
      <c r="A276" s="142">
        <v>80</v>
      </c>
      <c r="B276" s="143" t="s">
        <v>340</v>
      </c>
      <c r="C276" s="142">
        <v>57</v>
      </c>
      <c r="D276" s="143" t="s">
        <v>341</v>
      </c>
      <c r="E276" s="142">
        <v>488288</v>
      </c>
      <c r="F276" s="143" t="s">
        <v>349</v>
      </c>
      <c r="G276" s="144">
        <v>1.8613756613756598</v>
      </c>
      <c r="H276" s="145">
        <v>167.65496376984098</v>
      </c>
      <c r="I276" s="146">
        <v>0.90300395313956872</v>
      </c>
      <c r="J276" s="147">
        <v>0.92888293287664059</v>
      </c>
      <c r="K276" s="148">
        <v>155</v>
      </c>
      <c r="M276" s="138">
        <f t="shared" si="28"/>
        <v>0.90300395313956872</v>
      </c>
      <c r="N276" s="149"/>
      <c r="U276" s="141">
        <f t="shared" si="30"/>
        <v>8315854.8630704582</v>
      </c>
      <c r="V276" s="141">
        <f t="shared" si="31"/>
        <v>1185709.12546949</v>
      </c>
      <c r="W276" s="141">
        <f t="shared" si="32"/>
        <v>704406.7718039566</v>
      </c>
      <c r="X276" s="141">
        <f t="shared" si="33"/>
        <v>523845.17155242775</v>
      </c>
      <c r="Y276" s="141">
        <f t="shared" si="29"/>
        <v>211559.49321194398</v>
      </c>
      <c r="Z276" s="141">
        <f t="shared" si="34"/>
        <v>24283.872949437413</v>
      </c>
    </row>
    <row r="277" spans="1:26" ht="19.5" thickBot="1" x14ac:dyDescent="0.35">
      <c r="A277" s="142">
        <v>80</v>
      </c>
      <c r="B277" s="143" t="s">
        <v>340</v>
      </c>
      <c r="C277" s="142">
        <v>57</v>
      </c>
      <c r="D277" s="143" t="s">
        <v>341</v>
      </c>
      <c r="E277" s="142">
        <v>588336</v>
      </c>
      <c r="F277" s="143" t="s">
        <v>350</v>
      </c>
      <c r="G277" s="144">
        <v>4.0649831649831629</v>
      </c>
      <c r="H277" s="145">
        <v>162.90061316963482</v>
      </c>
      <c r="I277" s="146">
        <v>0.94998371544694826</v>
      </c>
      <c r="J277" s="147">
        <v>0.92518299014899574</v>
      </c>
      <c r="K277" s="148">
        <v>141</v>
      </c>
      <c r="M277" s="138">
        <f t="shared" si="28"/>
        <v>0.94998371544694826</v>
      </c>
      <c r="N277" s="149"/>
      <c r="U277" s="141">
        <f t="shared" si="30"/>
        <v>18088321.875471093</v>
      </c>
      <c r="V277" s="141">
        <f t="shared" si="31"/>
        <v>2517084.4360583164</v>
      </c>
      <c r="W277" s="141">
        <f t="shared" si="32"/>
        <v>1465987.6555883205</v>
      </c>
      <c r="X277" s="141">
        <f t="shared" si="33"/>
        <v>1071666.4658922909</v>
      </c>
      <c r="Y277" s="141">
        <f t="shared" si="29"/>
        <v>389678.37962859153</v>
      </c>
      <c r="Z277" s="141">
        <f t="shared" si="34"/>
        <v>-19305.2873310627</v>
      </c>
    </row>
    <row r="278" spans="1:26" ht="19.5" thickBot="1" x14ac:dyDescent="0.35">
      <c r="A278" s="142">
        <v>80</v>
      </c>
      <c r="B278" s="143" t="s">
        <v>340</v>
      </c>
      <c r="C278" s="142">
        <v>57</v>
      </c>
      <c r="D278" s="143" t="s">
        <v>341</v>
      </c>
      <c r="E278" s="142">
        <v>588396</v>
      </c>
      <c r="F278" s="143" t="s">
        <v>351</v>
      </c>
      <c r="G278" s="144">
        <v>2.7843147969375193</v>
      </c>
      <c r="H278" s="145">
        <v>93.795129403918622</v>
      </c>
      <c r="I278" s="146">
        <v>0.73404621930250225</v>
      </c>
      <c r="J278" s="147">
        <v>0.94218938458875645</v>
      </c>
      <c r="K278" s="148">
        <v>184</v>
      </c>
      <c r="M278" s="138">
        <f t="shared" si="28"/>
        <v>0.73404621930250225</v>
      </c>
      <c r="N278" s="149"/>
      <c r="U278" s="141">
        <f t="shared" si="30"/>
        <v>12617358.093794346</v>
      </c>
      <c r="V278" s="141">
        <f t="shared" si="31"/>
        <v>1951821.4729645639</v>
      </c>
      <c r="W278" s="141">
        <f t="shared" si="32"/>
        <v>1231871.5494110379</v>
      </c>
      <c r="X278" s="141">
        <f t="shared" si="33"/>
        <v>961780.80643468676</v>
      </c>
      <c r="Y278" s="141">
        <f t="shared" si="29"/>
        <v>494652.29867689771</v>
      </c>
      <c r="Z278" s="141">
        <f t="shared" si="34"/>
        <v>214518.47538559054</v>
      </c>
    </row>
    <row r="279" spans="1:26" ht="19.5" thickBot="1" x14ac:dyDescent="0.35">
      <c r="A279" s="142">
        <v>80</v>
      </c>
      <c r="B279" s="143" t="s">
        <v>340</v>
      </c>
      <c r="C279" s="142">
        <v>57</v>
      </c>
      <c r="D279" s="143" t="s">
        <v>341</v>
      </c>
      <c r="E279" s="142">
        <v>488451</v>
      </c>
      <c r="F279" s="143" t="s">
        <v>352</v>
      </c>
      <c r="G279" s="144">
        <v>4.6097894054415791</v>
      </c>
      <c r="H279" s="145">
        <v>194.60051887209116</v>
      </c>
      <c r="I279" s="146">
        <v>0.97430170230732449</v>
      </c>
      <c r="J279" s="147">
        <v>0.92326780041162915</v>
      </c>
      <c r="K279" s="148">
        <v>137</v>
      </c>
      <c r="M279" s="138">
        <f t="shared" si="28"/>
        <v>0.97430170230732449</v>
      </c>
      <c r="N279" s="149"/>
      <c r="U279" s="141">
        <f t="shared" si="30"/>
        <v>20470132.871314026</v>
      </c>
      <c r="V279" s="141">
        <f t="shared" si="31"/>
        <v>2811972.3170088562</v>
      </c>
      <c r="W279" s="141">
        <f t="shared" si="32"/>
        <v>1620003.099413238</v>
      </c>
      <c r="X279" s="141">
        <f t="shared" si="33"/>
        <v>1172833.3157200736</v>
      </c>
      <c r="Y279" s="141">
        <f t="shared" si="29"/>
        <v>399442.30102227954</v>
      </c>
      <c r="Z279" s="141">
        <f t="shared" si="34"/>
        <v>-64355.087166183155</v>
      </c>
    </row>
    <row r="280" spans="1:26" ht="19.5" thickBot="1" x14ac:dyDescent="0.35">
      <c r="A280" s="142">
        <v>80</v>
      </c>
      <c r="B280" s="143" t="s">
        <v>340</v>
      </c>
      <c r="C280" s="142">
        <v>57</v>
      </c>
      <c r="D280" s="143" t="s">
        <v>341</v>
      </c>
      <c r="E280" s="142">
        <v>588501</v>
      </c>
      <c r="F280" s="143" t="s">
        <v>353</v>
      </c>
      <c r="G280" s="144">
        <v>4.6161616161616159</v>
      </c>
      <c r="H280" s="145">
        <v>145.29767960284465</v>
      </c>
      <c r="I280" s="146">
        <v>0.4845685659420132</v>
      </c>
      <c r="J280" s="147">
        <v>0.96183727091099258</v>
      </c>
      <c r="K280" s="148">
        <v>236</v>
      </c>
      <c r="M280" s="138">
        <f t="shared" si="28"/>
        <v>0.4845685659420132</v>
      </c>
      <c r="N280" s="149"/>
      <c r="U280" s="141">
        <f t="shared" si="30"/>
        <v>21354750.124159649</v>
      </c>
      <c r="V280" s="141">
        <f t="shared" si="31"/>
        <v>3672180.3159637363</v>
      </c>
      <c r="W280" s="141">
        <f t="shared" si="32"/>
        <v>2478563.4137651399</v>
      </c>
      <c r="X280" s="141">
        <f t="shared" si="33"/>
        <v>2030775.4976935282</v>
      </c>
      <c r="Y280" s="141">
        <f t="shared" si="29"/>
        <v>1256315.4080161224</v>
      </c>
      <c r="Z280" s="141">
        <f t="shared" si="34"/>
        <v>791876.90275505534</v>
      </c>
    </row>
    <row r="281" spans="1:26" ht="19.5" thickBot="1" x14ac:dyDescent="0.35">
      <c r="A281" s="142">
        <v>80</v>
      </c>
      <c r="B281" s="143" t="s">
        <v>340</v>
      </c>
      <c r="C281" s="142">
        <v>57</v>
      </c>
      <c r="D281" s="143" t="s">
        <v>341</v>
      </c>
      <c r="E281" s="142">
        <v>488561</v>
      </c>
      <c r="F281" s="143" t="s">
        <v>354</v>
      </c>
      <c r="G281" s="144">
        <v>6.39810303448564</v>
      </c>
      <c r="H281" s="145">
        <v>248.97572188567653</v>
      </c>
      <c r="I281" s="146">
        <v>1.4133070995983028</v>
      </c>
      <c r="J281" s="147">
        <v>0.88869344866254651</v>
      </c>
      <c r="K281" s="148">
        <v>74</v>
      </c>
      <c r="M281" s="138">
        <f t="shared" si="28"/>
        <v>1.4133070995983028</v>
      </c>
      <c r="N281" s="149"/>
      <c r="U281" s="141">
        <f t="shared" si="30"/>
        <v>27347340.306715865</v>
      </c>
      <c r="V281" s="141">
        <f t="shared" si="31"/>
        <v>2838903.870862647</v>
      </c>
      <c r="W281" s="141">
        <f t="shared" si="32"/>
        <v>1184524.2024314685</v>
      </c>
      <c r="X281" s="141">
        <f t="shared" si="33"/>
        <v>563880.15595935844</v>
      </c>
      <c r="Y281" s="141">
        <f t="shared" si="29"/>
        <v>-509538.81457773165</v>
      </c>
      <c r="Z281" s="141">
        <f t="shared" si="34"/>
        <v>-1153260.9493139198</v>
      </c>
    </row>
    <row r="282" spans="1:26" ht="19.5" thickBot="1" x14ac:dyDescent="0.35">
      <c r="A282" s="142">
        <v>80</v>
      </c>
      <c r="B282" s="143" t="s">
        <v>340</v>
      </c>
      <c r="C282" s="142">
        <v>57</v>
      </c>
      <c r="D282" s="143" t="s">
        <v>341</v>
      </c>
      <c r="E282" s="142">
        <v>588631</v>
      </c>
      <c r="F282" s="143" t="s">
        <v>355</v>
      </c>
      <c r="G282" s="144">
        <v>5.0444772766063091</v>
      </c>
      <c r="H282" s="145">
        <v>119.9199347503001</v>
      </c>
      <c r="I282" s="146">
        <v>0.69197301600461225</v>
      </c>
      <c r="J282" s="147">
        <v>0.9455029058780352</v>
      </c>
      <c r="K282" s="148">
        <v>198</v>
      </c>
      <c r="M282" s="138">
        <f t="shared" si="28"/>
        <v>0.69197301600461225</v>
      </c>
      <c r="N282" s="149"/>
      <c r="U282" s="141">
        <f t="shared" si="30"/>
        <v>22939868.53484413</v>
      </c>
      <c r="V282" s="141">
        <f t="shared" si="31"/>
        <v>3616601.9323157743</v>
      </c>
      <c r="W282" s="141">
        <f t="shared" si="32"/>
        <v>2312233.9658578113</v>
      </c>
      <c r="X282" s="141">
        <f t="shared" si="33"/>
        <v>1822897.5527968663</v>
      </c>
      <c r="Y282" s="141">
        <f t="shared" si="29"/>
        <v>976578.32724413183</v>
      </c>
      <c r="Z282" s="141">
        <f t="shared" si="34"/>
        <v>469046.38166234887</v>
      </c>
    </row>
    <row r="283" spans="1:26" ht="19.5" thickBot="1" x14ac:dyDescent="0.35">
      <c r="A283" s="142">
        <v>80</v>
      </c>
      <c r="B283" s="143" t="s">
        <v>340</v>
      </c>
      <c r="C283" s="142">
        <v>57</v>
      </c>
      <c r="D283" s="143" t="s">
        <v>341</v>
      </c>
      <c r="E283" s="142">
        <v>488706</v>
      </c>
      <c r="F283" s="143" t="s">
        <v>356</v>
      </c>
      <c r="G283" s="144">
        <v>3.2630691802820828</v>
      </c>
      <c r="H283" s="145">
        <v>285.88301164958978</v>
      </c>
      <c r="I283" s="146">
        <v>1.2934552607723562</v>
      </c>
      <c r="J283" s="147">
        <v>0.89813251173309927</v>
      </c>
      <c r="K283" s="148">
        <v>89</v>
      </c>
      <c r="M283" s="138">
        <f t="shared" si="28"/>
        <v>1.2934552607723562</v>
      </c>
      <c r="N283" s="149"/>
      <c r="U283" s="141">
        <f t="shared" si="30"/>
        <v>14095438.332669135</v>
      </c>
      <c r="V283" s="141">
        <f t="shared" si="31"/>
        <v>1595995.4259694766</v>
      </c>
      <c r="W283" s="141">
        <f t="shared" si="32"/>
        <v>752252.32282686548</v>
      </c>
      <c r="X283" s="141">
        <f t="shared" si="33"/>
        <v>435720.30559411785</v>
      </c>
      <c r="Y283" s="141">
        <f t="shared" si="29"/>
        <v>-111729.51529975369</v>
      </c>
      <c r="Z283" s="141">
        <f t="shared" si="34"/>
        <v>-440031.48968205764</v>
      </c>
    </row>
    <row r="284" spans="1:26" ht="19.5" thickBot="1" x14ac:dyDescent="0.35">
      <c r="A284" s="142">
        <v>80</v>
      </c>
      <c r="B284" s="143" t="s">
        <v>340</v>
      </c>
      <c r="C284" s="142">
        <v>57</v>
      </c>
      <c r="D284" s="143" t="s">
        <v>341</v>
      </c>
      <c r="E284" s="142">
        <v>588716</v>
      </c>
      <c r="F284" s="143" t="s">
        <v>357</v>
      </c>
      <c r="G284" s="144">
        <v>2.6091871091871091</v>
      </c>
      <c r="H284" s="145">
        <v>61.218900874366319</v>
      </c>
      <c r="I284" s="146">
        <v>0.20502649622803953</v>
      </c>
      <c r="J284" s="147">
        <v>0.98385291333042135</v>
      </c>
      <c r="K284" s="148">
        <v>286</v>
      </c>
      <c r="M284" s="138">
        <f t="shared" si="28"/>
        <v>0.20502649622803953</v>
      </c>
      <c r="N284" s="149"/>
      <c r="U284" s="141">
        <f t="shared" si="30"/>
        <v>12346597.401696665</v>
      </c>
      <c r="V284" s="141">
        <f t="shared" si="31"/>
        <v>2351901.1503099063</v>
      </c>
      <c r="W284" s="141">
        <f t="shared" si="32"/>
        <v>1677234.5997236518</v>
      </c>
      <c r="X284" s="141">
        <f t="shared" si="33"/>
        <v>1424132.0102966996</v>
      </c>
      <c r="Y284" s="141">
        <f t="shared" si="29"/>
        <v>986384.92720249435</v>
      </c>
      <c r="Z284" s="141">
        <f t="shared" si="34"/>
        <v>723870.94660557248</v>
      </c>
    </row>
    <row r="285" spans="1:26" ht="19.5" thickBot="1" x14ac:dyDescent="0.35">
      <c r="A285" s="142">
        <v>80</v>
      </c>
      <c r="B285" s="143" t="s">
        <v>340</v>
      </c>
      <c r="C285" s="142">
        <v>55</v>
      </c>
      <c r="D285" s="143" t="s">
        <v>358</v>
      </c>
      <c r="E285" s="142">
        <v>588186</v>
      </c>
      <c r="F285" s="143" t="s">
        <v>359</v>
      </c>
      <c r="G285" s="144">
        <v>2.567366041366042</v>
      </c>
      <c r="H285" s="145">
        <v>374.3267241272124</v>
      </c>
      <c r="I285" s="146">
        <v>1.754993560366096</v>
      </c>
      <c r="J285" s="147">
        <v>0.86178355653961536</v>
      </c>
      <c r="K285" s="148">
        <v>44</v>
      </c>
      <c r="M285" s="138">
        <f t="shared" si="28"/>
        <v>1.754993560366096</v>
      </c>
      <c r="N285" s="149"/>
      <c r="U285" s="141">
        <f t="shared" si="30"/>
        <v>10641378.294445008</v>
      </c>
      <c r="V285" s="141">
        <f t="shared" si="31"/>
        <v>806880.92964190617</v>
      </c>
      <c r="W285" s="141">
        <f t="shared" si="32"/>
        <v>143028.19745500118</v>
      </c>
      <c r="X285" s="141">
        <f t="shared" si="33"/>
        <v>-106017.56503116078</v>
      </c>
      <c r="Y285" s="141">
        <f t="shared" si="29"/>
        <v>-536748.26728165557</v>
      </c>
      <c r="Z285" s="141">
        <f t="shared" si="34"/>
        <v>-795054.57149237022</v>
      </c>
    </row>
    <row r="286" spans="1:26" ht="19.5" thickBot="1" x14ac:dyDescent="0.35">
      <c r="A286" s="142">
        <v>80</v>
      </c>
      <c r="B286" s="143" t="s">
        <v>340</v>
      </c>
      <c r="C286" s="142">
        <v>55</v>
      </c>
      <c r="D286" s="143" t="s">
        <v>358</v>
      </c>
      <c r="E286" s="142">
        <v>488246</v>
      </c>
      <c r="F286" s="143" t="s">
        <v>360</v>
      </c>
      <c r="G286" s="144">
        <v>2.927814375640462</v>
      </c>
      <c r="H286" s="145">
        <v>244.54582775363886</v>
      </c>
      <c r="I286" s="146">
        <v>0.79626050045950258</v>
      </c>
      <c r="J286" s="147">
        <v>0.93728963061349324</v>
      </c>
      <c r="K286" s="148">
        <v>173</v>
      </c>
      <c r="M286" s="138">
        <f t="shared" si="28"/>
        <v>0.79626050045950258</v>
      </c>
      <c r="N286" s="149"/>
      <c r="U286" s="141">
        <f t="shared" si="30"/>
        <v>13198641.657511935</v>
      </c>
      <c r="V286" s="141">
        <f t="shared" si="31"/>
        <v>1983418.6242788984</v>
      </c>
      <c r="W286" s="141">
        <f t="shared" si="32"/>
        <v>1226363.5174929376</v>
      </c>
      <c r="X286" s="141">
        <f t="shared" si="33"/>
        <v>942352.6862164773</v>
      </c>
      <c r="Y286" s="141">
        <f t="shared" si="29"/>
        <v>451149.04724970751</v>
      </c>
      <c r="Z286" s="141">
        <f t="shared" si="34"/>
        <v>156577.52974833394</v>
      </c>
    </row>
    <row r="287" spans="1:26" ht="19.5" thickBot="1" x14ac:dyDescent="0.35">
      <c r="A287" s="142">
        <v>80</v>
      </c>
      <c r="B287" s="143" t="s">
        <v>340</v>
      </c>
      <c r="C287" s="142">
        <v>55</v>
      </c>
      <c r="D287" s="143" t="s">
        <v>358</v>
      </c>
      <c r="E287" s="142">
        <v>588316</v>
      </c>
      <c r="F287" s="143" t="s">
        <v>361</v>
      </c>
      <c r="G287" s="144">
        <v>3.9837235643687254</v>
      </c>
      <c r="H287" s="145">
        <v>145.36725145279163</v>
      </c>
      <c r="I287" s="146">
        <v>0.91913757220758052</v>
      </c>
      <c r="J287" s="147">
        <v>0.92761231200481253</v>
      </c>
      <c r="K287" s="148">
        <v>153</v>
      </c>
      <c r="M287" s="138">
        <f t="shared" si="28"/>
        <v>0.91913757220758052</v>
      </c>
      <c r="N287" s="149"/>
      <c r="U287" s="141">
        <f t="shared" si="30"/>
        <v>17773280.112931076</v>
      </c>
      <c r="V287" s="141">
        <f t="shared" si="31"/>
        <v>2513313.9590426777</v>
      </c>
      <c r="W287" s="141">
        <f t="shared" si="32"/>
        <v>1483228.7550347615</v>
      </c>
      <c r="X287" s="141">
        <f t="shared" si="33"/>
        <v>1096790.1028765331</v>
      </c>
      <c r="Y287" s="141">
        <f t="shared" si="29"/>
        <v>428435.05696364719</v>
      </c>
      <c r="Z287" s="141">
        <f t="shared" si="34"/>
        <v>27627.032580143052</v>
      </c>
    </row>
    <row r="288" spans="1:26" ht="19.5" thickBot="1" x14ac:dyDescent="0.35">
      <c r="A288" s="142">
        <v>80</v>
      </c>
      <c r="B288" s="143" t="s">
        <v>340</v>
      </c>
      <c r="C288" s="142">
        <v>55</v>
      </c>
      <c r="D288" s="143" t="s">
        <v>358</v>
      </c>
      <c r="E288" s="142">
        <v>488326</v>
      </c>
      <c r="F288" s="143" t="s">
        <v>362</v>
      </c>
      <c r="G288" s="144">
        <v>5.0138817773226396</v>
      </c>
      <c r="H288" s="145">
        <v>518.35181279200685</v>
      </c>
      <c r="I288" s="146">
        <v>2.294796213033965</v>
      </c>
      <c r="J288" s="147">
        <v>0.81927080634657723</v>
      </c>
      <c r="K288" s="148">
        <v>15</v>
      </c>
      <c r="M288" s="138">
        <f t="shared" si="28"/>
        <v>2.294796213033965</v>
      </c>
      <c r="N288" s="149"/>
      <c r="U288" s="141">
        <f t="shared" si="30"/>
        <v>19756656.808267009</v>
      </c>
      <c r="V288" s="141">
        <f t="shared" si="31"/>
        <v>550588.66993582889</v>
      </c>
      <c r="W288" s="141">
        <f t="shared" si="32"/>
        <v>-745868.11227149353</v>
      </c>
      <c r="X288" s="141">
        <f t="shared" si="33"/>
        <v>-1232236.6277576566</v>
      </c>
      <c r="Y288" s="141">
        <f t="shared" si="29"/>
        <v>-2073422.8022846221</v>
      </c>
      <c r="Z288" s="141">
        <f t="shared" si="34"/>
        <v>-2577876.4917010935</v>
      </c>
    </row>
    <row r="289" spans="1:26" ht="19.5" thickBot="1" x14ac:dyDescent="0.35">
      <c r="A289" s="142">
        <v>80</v>
      </c>
      <c r="B289" s="143" t="s">
        <v>340</v>
      </c>
      <c r="C289" s="142">
        <v>55</v>
      </c>
      <c r="D289" s="143" t="s">
        <v>358</v>
      </c>
      <c r="E289" s="142">
        <v>488346</v>
      </c>
      <c r="F289" s="143" t="s">
        <v>363</v>
      </c>
      <c r="G289" s="144">
        <v>1.8723945526189556</v>
      </c>
      <c r="H289" s="145">
        <v>258.14146528248489</v>
      </c>
      <c r="I289" s="146">
        <v>1.2211458194010838</v>
      </c>
      <c r="J289" s="147">
        <v>0.90382732112764752</v>
      </c>
      <c r="K289" s="148">
        <v>99</v>
      </c>
      <c r="M289" s="138">
        <f t="shared" si="28"/>
        <v>1.2211458194010838</v>
      </c>
      <c r="N289" s="149"/>
      <c r="U289" s="141">
        <f t="shared" si="30"/>
        <v>8139443.6494829776</v>
      </c>
      <c r="V289" s="141">
        <f t="shared" si="31"/>
        <v>967089.18311126344</v>
      </c>
      <c r="W289" s="141">
        <f t="shared" si="32"/>
        <v>482937.63656100986</v>
      </c>
      <c r="X289" s="141">
        <f t="shared" si="33"/>
        <v>301307.15554716537</v>
      </c>
      <c r="Y289" s="141">
        <f t="shared" si="29"/>
        <v>-12827.178063651894</v>
      </c>
      <c r="Z289" s="141">
        <f t="shared" si="34"/>
        <v>-201211.42445414184</v>
      </c>
    </row>
    <row r="290" spans="1:26" ht="19.5" thickBot="1" x14ac:dyDescent="0.35">
      <c r="A290" s="142">
        <v>80</v>
      </c>
      <c r="B290" s="143" t="s">
        <v>340</v>
      </c>
      <c r="C290" s="142">
        <v>55</v>
      </c>
      <c r="D290" s="143" t="s">
        <v>358</v>
      </c>
      <c r="E290" s="142">
        <v>588386</v>
      </c>
      <c r="F290" s="143" t="s">
        <v>364</v>
      </c>
      <c r="G290" s="144">
        <v>2.0195966230448992</v>
      </c>
      <c r="H290" s="145">
        <v>137.899881715047</v>
      </c>
      <c r="I290" s="146">
        <v>0.41634148457937209</v>
      </c>
      <c r="J290" s="147">
        <v>0.96721056956381468</v>
      </c>
      <c r="K290" s="148">
        <v>246</v>
      </c>
      <c r="M290" s="138">
        <f t="shared" si="28"/>
        <v>0.41634148457937209</v>
      </c>
      <c r="N290" s="149"/>
      <c r="U290" s="141">
        <f t="shared" si="30"/>
        <v>9395016.6987560466</v>
      </c>
      <c r="V290" s="141">
        <f t="shared" si="31"/>
        <v>1658793.1344947156</v>
      </c>
      <c r="W290" s="141">
        <f t="shared" si="32"/>
        <v>1136579.0385995947</v>
      </c>
      <c r="X290" s="141">
        <f t="shared" si="33"/>
        <v>940669.31135514088</v>
      </c>
      <c r="Y290" s="141">
        <f t="shared" si="29"/>
        <v>601838.67416092125</v>
      </c>
      <c r="Z290" s="141">
        <f t="shared" si="34"/>
        <v>398644.22066663252</v>
      </c>
    </row>
    <row r="291" spans="1:26" ht="19.5" thickBot="1" x14ac:dyDescent="0.35">
      <c r="A291" s="142">
        <v>80</v>
      </c>
      <c r="B291" s="143" t="s">
        <v>340</v>
      </c>
      <c r="C291" s="142">
        <v>55</v>
      </c>
      <c r="D291" s="143" t="s">
        <v>358</v>
      </c>
      <c r="E291" s="142">
        <v>588461</v>
      </c>
      <c r="F291" s="143" t="s">
        <v>365</v>
      </c>
      <c r="G291" s="144">
        <v>2.8940228847615943</v>
      </c>
      <c r="H291" s="145">
        <v>62.548823716337701</v>
      </c>
      <c r="I291" s="146">
        <v>0.24950254386446671</v>
      </c>
      <c r="J291" s="147">
        <v>0.98035015339881282</v>
      </c>
      <c r="K291" s="148">
        <v>278</v>
      </c>
      <c r="M291" s="138">
        <f t="shared" si="28"/>
        <v>0.24950254386446671</v>
      </c>
      <c r="N291" s="149"/>
      <c r="U291" s="141">
        <f t="shared" si="30"/>
        <v>13645676.427112307</v>
      </c>
      <c r="V291" s="141">
        <f t="shared" si="31"/>
        <v>2559894.3550225301</v>
      </c>
      <c r="W291" s="141">
        <f t="shared" si="32"/>
        <v>1811576.8311067815</v>
      </c>
      <c r="X291" s="141">
        <f t="shared" si="33"/>
        <v>1530843.9226024842</v>
      </c>
      <c r="Y291" s="141">
        <f t="shared" si="29"/>
        <v>1045309.5307792192</v>
      </c>
      <c r="Z291" s="141">
        <f t="shared" si="34"/>
        <v>754137.82264746947</v>
      </c>
    </row>
    <row r="292" spans="1:26" ht="19.5" thickBot="1" x14ac:dyDescent="0.35">
      <c r="A292" s="142">
        <v>80</v>
      </c>
      <c r="B292" s="143" t="s">
        <v>340</v>
      </c>
      <c r="C292" s="142">
        <v>55</v>
      </c>
      <c r="D292" s="143" t="s">
        <v>358</v>
      </c>
      <c r="E292" s="142">
        <v>588551</v>
      </c>
      <c r="F292" s="143" t="s">
        <v>366</v>
      </c>
      <c r="G292" s="144">
        <v>3.7017378756509185</v>
      </c>
      <c r="H292" s="145">
        <v>176.54484775886073</v>
      </c>
      <c r="I292" s="146">
        <v>0.61986064820878795</v>
      </c>
      <c r="J292" s="147">
        <v>0.95118219452691599</v>
      </c>
      <c r="K292" s="148">
        <v>209</v>
      </c>
      <c r="M292" s="138">
        <f t="shared" si="28"/>
        <v>0.61986064820878795</v>
      </c>
      <c r="N292" s="149"/>
      <c r="U292" s="141">
        <f t="shared" si="30"/>
        <v>16934846.376404017</v>
      </c>
      <c r="V292" s="141">
        <f t="shared" si="31"/>
        <v>2755048.5615546037</v>
      </c>
      <c r="W292" s="141">
        <f t="shared" si="32"/>
        <v>1797877.3740432675</v>
      </c>
      <c r="X292" s="141">
        <f t="shared" si="33"/>
        <v>1438792.5700412393</v>
      </c>
      <c r="Y292" s="141">
        <f t="shared" si="29"/>
        <v>817746.66967636556</v>
      </c>
      <c r="Z292" s="141">
        <f t="shared" si="34"/>
        <v>445309.62158506725</v>
      </c>
    </row>
    <row r="293" spans="1:26" ht="19.5" thickBot="1" x14ac:dyDescent="0.35">
      <c r="A293" s="142">
        <v>80</v>
      </c>
      <c r="B293" s="143" t="s">
        <v>340</v>
      </c>
      <c r="C293" s="142">
        <v>55</v>
      </c>
      <c r="D293" s="143" t="s">
        <v>358</v>
      </c>
      <c r="E293" s="142">
        <v>488556</v>
      </c>
      <c r="F293" s="143" t="s">
        <v>367</v>
      </c>
      <c r="G293" s="144">
        <v>3.4620816408930022</v>
      </c>
      <c r="H293" s="145">
        <v>179.1466805040512</v>
      </c>
      <c r="I293" s="146">
        <v>0.58465002006073619</v>
      </c>
      <c r="J293" s="147">
        <v>0.95395524618051541</v>
      </c>
      <c r="K293" s="148">
        <v>219</v>
      </c>
      <c r="M293" s="138">
        <f t="shared" si="28"/>
        <v>0.58465002006073619</v>
      </c>
      <c r="N293" s="149"/>
      <c r="U293" s="141">
        <f t="shared" si="30"/>
        <v>15884633.258722249</v>
      </c>
      <c r="V293" s="141">
        <f t="shared" si="31"/>
        <v>2622857.4832744743</v>
      </c>
      <c r="W293" s="141">
        <f t="shared" si="32"/>
        <v>1727655.0386951035</v>
      </c>
      <c r="X293" s="141">
        <f t="shared" si="33"/>
        <v>1391817.9402240289</v>
      </c>
      <c r="Y293" s="141">
        <f t="shared" si="29"/>
        <v>810979.51188798284</v>
      </c>
      <c r="Z293" s="141">
        <f t="shared" si="34"/>
        <v>462654.61425904476</v>
      </c>
    </row>
    <row r="294" spans="1:26" ht="19.5" thickBot="1" x14ac:dyDescent="0.35">
      <c r="A294" s="150">
        <v>80</v>
      </c>
      <c r="B294" s="151" t="s">
        <v>340</v>
      </c>
      <c r="C294" s="150">
        <v>55</v>
      </c>
      <c r="D294" s="151" t="s">
        <v>358</v>
      </c>
      <c r="E294" s="150">
        <v>488586</v>
      </c>
      <c r="F294" s="151" t="s">
        <v>358</v>
      </c>
      <c r="G294" s="144">
        <v>10.277247068561795</v>
      </c>
      <c r="H294" s="145">
        <v>407.62990951294267</v>
      </c>
      <c r="I294" s="146">
        <v>2.4002514334076483</v>
      </c>
      <c r="J294" s="147">
        <v>0.81096556475848791</v>
      </c>
      <c r="K294" s="148">
        <v>14</v>
      </c>
      <c r="M294" s="138">
        <f t="shared" si="28"/>
        <v>2.4002514334076483</v>
      </c>
      <c r="N294" s="149"/>
      <c r="U294" s="141">
        <f t="shared" si="30"/>
        <v>40085850.047160253</v>
      </c>
      <c r="V294" s="141">
        <f t="shared" si="31"/>
        <v>718047.56605269283</v>
      </c>
      <c r="W294" s="141">
        <f t="shared" si="32"/>
        <v>-1939375.8149134498</v>
      </c>
      <c r="X294" s="141">
        <f t="shared" si="33"/>
        <v>-2936313.8405822734</v>
      </c>
      <c r="Y294" s="141">
        <f t="shared" si="29"/>
        <v>-4660542.3984579137</v>
      </c>
      <c r="Z294" s="141">
        <f t="shared" si="34"/>
        <v>-5694550.6641153106</v>
      </c>
    </row>
    <row r="295" spans="1:26" ht="19.5" thickBot="1" x14ac:dyDescent="0.35">
      <c r="A295" s="150">
        <v>80</v>
      </c>
      <c r="B295" s="151" t="s">
        <v>340</v>
      </c>
      <c r="C295" s="150">
        <v>55</v>
      </c>
      <c r="D295" s="151" t="s">
        <v>358</v>
      </c>
      <c r="E295" s="150">
        <v>588587</v>
      </c>
      <c r="F295" s="151" t="s">
        <v>368</v>
      </c>
      <c r="G295" s="144">
        <v>3.9912457912457913</v>
      </c>
      <c r="H295" s="145">
        <v>51.039441140610762</v>
      </c>
      <c r="I295" s="146">
        <v>0.33351665708979245</v>
      </c>
      <c r="J295" s="147">
        <v>0.97373352972980043</v>
      </c>
      <c r="K295" s="148">
        <v>263</v>
      </c>
      <c r="M295" s="138">
        <f t="shared" si="28"/>
        <v>0.33351665708979245</v>
      </c>
      <c r="N295" s="149"/>
      <c r="U295" s="141">
        <f t="shared" si="30"/>
        <v>18692202.839288991</v>
      </c>
      <c r="V295" s="141">
        <f t="shared" si="31"/>
        <v>3403422.2042522021</v>
      </c>
      <c r="W295" s="141">
        <f t="shared" si="32"/>
        <v>2371391.9519792511</v>
      </c>
      <c r="X295" s="141">
        <f t="shared" si="33"/>
        <v>1984223.610833162</v>
      </c>
      <c r="Y295" s="141">
        <f t="shared" si="29"/>
        <v>1314606.550071968</v>
      </c>
      <c r="Z295" s="141">
        <f t="shared" si="34"/>
        <v>913041.70387468941</v>
      </c>
    </row>
    <row r="296" spans="1:26" ht="19.5" thickBot="1" x14ac:dyDescent="0.35">
      <c r="A296" s="150">
        <v>80</v>
      </c>
      <c r="B296" s="151" t="s">
        <v>340</v>
      </c>
      <c r="C296" s="150">
        <v>55</v>
      </c>
      <c r="D296" s="151" t="s">
        <v>358</v>
      </c>
      <c r="E296" s="150">
        <v>488616</v>
      </c>
      <c r="F296" s="151" t="s">
        <v>369</v>
      </c>
      <c r="G296" s="144">
        <v>1.8887926887926878</v>
      </c>
      <c r="H296" s="145">
        <v>188.4083891850872</v>
      </c>
      <c r="I296" s="146">
        <v>1.6618456978496494</v>
      </c>
      <c r="J296" s="147">
        <v>0.86911951865578085</v>
      </c>
      <c r="K296" s="148">
        <v>48</v>
      </c>
      <c r="M296" s="138">
        <f t="shared" si="28"/>
        <v>1.6618456978496494</v>
      </c>
      <c r="N296" s="149"/>
      <c r="U296" s="141">
        <f t="shared" si="30"/>
        <v>7895428.1024500551</v>
      </c>
      <c r="V296" s="141">
        <f t="shared" si="31"/>
        <v>660259.2869010627</v>
      </c>
      <c r="W296" s="141">
        <f t="shared" si="32"/>
        <v>171867.61746754739</v>
      </c>
      <c r="X296" s="141">
        <f t="shared" si="33"/>
        <v>-11353.554651865325</v>
      </c>
      <c r="Y296" s="141">
        <f t="shared" si="29"/>
        <v>-328239.02721050201</v>
      </c>
      <c r="Z296" s="141">
        <f t="shared" si="34"/>
        <v>-518273.11311851046</v>
      </c>
    </row>
    <row r="297" spans="1:26" ht="18.75" x14ac:dyDescent="0.3">
      <c r="A297" s="150">
        <v>80</v>
      </c>
      <c r="B297" s="151" t="s">
        <v>340</v>
      </c>
      <c r="C297" s="150">
        <v>55</v>
      </c>
      <c r="D297" s="151" t="s">
        <v>358</v>
      </c>
      <c r="E297" s="150">
        <v>588666</v>
      </c>
      <c r="F297" s="151" t="s">
        <v>370</v>
      </c>
      <c r="G297" s="152">
        <v>3.20739114918638</v>
      </c>
      <c r="H297" s="153">
        <v>204.46981740794567</v>
      </c>
      <c r="I297" s="154">
        <v>1.3382459462697036</v>
      </c>
      <c r="J297" s="155">
        <v>0.89460497215152701</v>
      </c>
      <c r="K297" s="156">
        <v>83</v>
      </c>
      <c r="M297" s="138">
        <f t="shared" si="28"/>
        <v>1.3382459462697036</v>
      </c>
      <c r="N297" s="149"/>
      <c r="U297" s="141">
        <f t="shared" si="30"/>
        <v>13800509.512180353</v>
      </c>
      <c r="V297" s="141">
        <f t="shared" si="31"/>
        <v>1514345.6787665433</v>
      </c>
      <c r="W297" s="141">
        <f t="shared" si="32"/>
        <v>684999.43702590163</v>
      </c>
      <c r="X297" s="141">
        <f t="shared" si="33"/>
        <v>373868.43292666884</v>
      </c>
      <c r="Y297" s="141">
        <f t="shared" si="29"/>
        <v>-164240.20441668082</v>
      </c>
      <c r="Z297" s="141">
        <f t="shared" si="34"/>
        <v>-486940.33387062862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topLeftCell="F38" workbookViewId="0">
      <selection activeCell="K3" sqref="K3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312" t="s">
        <v>446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M1" s="313" t="s">
        <v>447</v>
      </c>
      <c r="N1" s="313"/>
      <c r="O1" s="313"/>
      <c r="P1" s="313"/>
      <c r="Q1" s="313"/>
      <c r="R1" s="313"/>
      <c r="S1" s="313"/>
      <c r="T1" s="313"/>
      <c r="V1" s="314" t="s">
        <v>548</v>
      </c>
      <c r="W1" s="314"/>
      <c r="X1" s="314"/>
      <c r="Y1" s="314"/>
      <c r="Z1" s="314"/>
      <c r="AA1" s="314"/>
    </row>
    <row r="2" spans="1:27" x14ac:dyDescent="0.25">
      <c r="M2" t="s">
        <v>549</v>
      </c>
      <c r="N2" t="s">
        <v>550</v>
      </c>
      <c r="O2" t="s">
        <v>551</v>
      </c>
      <c r="Q2" t="s">
        <v>449</v>
      </c>
      <c r="T2">
        <f>'[1]CA UC'!O2</f>
        <v>44</v>
      </c>
    </row>
    <row r="3" spans="1:27" ht="15.75" thickBot="1" x14ac:dyDescent="0.3">
      <c r="M3" s="104">
        <f>SUM(H5:H297)</f>
        <v>2349.6128860643712</v>
      </c>
      <c r="N3" s="104">
        <f>SUM(I5:I297)</f>
        <v>1559.6785955548926</v>
      </c>
      <c r="O3" s="157">
        <f>N3/M3</f>
        <v>0.66380236710710772</v>
      </c>
      <c r="Q3" s="104" t="s">
        <v>450</v>
      </c>
      <c r="R3" s="104"/>
      <c r="S3" s="104"/>
      <c r="T3">
        <f>'[1]CA UC'!O3</f>
        <v>6</v>
      </c>
      <c r="V3">
        <v>18</v>
      </c>
      <c r="W3">
        <v>19</v>
      </c>
      <c r="X3">
        <v>20</v>
      </c>
      <c r="Y3">
        <v>21</v>
      </c>
      <c r="Z3">
        <v>22</v>
      </c>
      <c r="AA3">
        <v>23</v>
      </c>
    </row>
    <row r="4" spans="1:27" ht="30.75" thickBot="1" x14ac:dyDescent="0.3">
      <c r="A4" s="128"/>
      <c r="B4" s="129" t="s">
        <v>451</v>
      </c>
      <c r="C4" s="128" t="s">
        <v>452</v>
      </c>
      <c r="D4" s="129" t="s">
        <v>453</v>
      </c>
      <c r="E4" s="128" t="s">
        <v>452</v>
      </c>
      <c r="F4" s="129" t="s">
        <v>454</v>
      </c>
      <c r="G4" s="129" t="s">
        <v>455</v>
      </c>
      <c r="H4" s="130" t="s">
        <v>552</v>
      </c>
      <c r="I4" s="131" t="s">
        <v>457</v>
      </c>
      <c r="J4" s="131" t="s">
        <v>458</v>
      </c>
      <c r="K4" s="132" t="s">
        <v>459</v>
      </c>
      <c r="M4" s="133" t="s">
        <v>553</v>
      </c>
      <c r="N4" s="133" t="s">
        <v>457</v>
      </c>
      <c r="O4" s="133" t="s">
        <v>460</v>
      </c>
      <c r="P4" s="133" t="s">
        <v>461</v>
      </c>
      <c r="Q4" s="133" t="s">
        <v>462</v>
      </c>
      <c r="R4" s="133" t="s">
        <v>463</v>
      </c>
      <c r="S4" s="133" t="s">
        <v>464</v>
      </c>
      <c r="T4" s="133" t="s">
        <v>465</v>
      </c>
      <c r="V4" s="133" t="s">
        <v>466</v>
      </c>
      <c r="W4" s="133" t="s">
        <v>467</v>
      </c>
      <c r="X4" s="133" t="s">
        <v>468</v>
      </c>
      <c r="Y4" s="133" t="s">
        <v>469</v>
      </c>
      <c r="Z4" s="133" t="s">
        <v>470</v>
      </c>
      <c r="AA4" s="133" t="s">
        <v>471</v>
      </c>
    </row>
    <row r="5" spans="1:27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12.105569620253172</v>
      </c>
      <c r="I5" s="138">
        <v>7.6396670886076006</v>
      </c>
      <c r="J5" s="139">
        <v>0.78864426801083842</v>
      </c>
      <c r="K5" s="140">
        <v>62</v>
      </c>
      <c r="M5" s="149">
        <f>IF(ISERROR(I5/H5),$O$3,(I5/H5))</f>
        <v>0.63108695652173918</v>
      </c>
      <c r="N5" s="138">
        <f>I5</f>
        <v>7.6396670886076006</v>
      </c>
      <c r="O5" s="138">
        <f>VLOOKUP(1,$K$5:$N$297,4,0)</f>
        <v>36.146013248409879</v>
      </c>
      <c r="P5" s="138">
        <f>VLOOKUP(10,$K$5:$N$297,4,0)</f>
        <v>14.481225127913598</v>
      </c>
      <c r="Q5" s="138">
        <f>VLOOKUP(30,$K$5:$N$297,4,0)</f>
        <v>9.7444142317264273</v>
      </c>
      <c r="R5" s="138">
        <f>VLOOKUP(50,$K$5:$N$297,4,0)</f>
        <v>8.3727542579627556</v>
      </c>
      <c r="S5" s="138">
        <f>VLOOKUP(100,$K$5:$N$297,4,0)</f>
        <v>6.0316321420248693</v>
      </c>
      <c r="T5" s="138">
        <f>VLOOKUP(150,$K$5:$N$297,4,0)</f>
        <v>4.5181863964770201</v>
      </c>
      <c r="V5" s="158">
        <f>(((($O$5-N5))/M5)*G5)+((((($O$5-N5)/$T$2))*$T$3/M5)*G5)</f>
        <v>97.524174880301359</v>
      </c>
      <c r="W5" s="158">
        <f>(((($P$5-N5))/M5)*G5)+((((($P$5-N5)/$T$2))*$T$3/M5)*G5)</f>
        <v>23.405921577556455</v>
      </c>
      <c r="X5" s="158">
        <f>(((($Q$5-N5))/M5)*G5)+((((($Q$5-N5)/$T$2))*$T$3/M5)*G5)</f>
        <v>7.2006327052108903</v>
      </c>
      <c r="Y5" s="158">
        <f>(((($R$5-N5))/M5)*G5)+((((($R$5-N5)/$T$2))*$T$3/M5)*G5)</f>
        <v>2.5079931642559248</v>
      </c>
      <c r="Z5" s="158">
        <f>(((($S$5-N5))/M5)*G5)+((((($S$5-N5)/$T$2))*$T$3/M5)*G5)</f>
        <v>-5.5013111980415976</v>
      </c>
      <c r="AA5" s="158">
        <f>(((($T$5-N5))/M5)*G5)+((((($T$5-N5)/$T$2))*$T$3/M5)*G5)</f>
        <v>-10.679019583860212</v>
      </c>
    </row>
    <row r="6" spans="1:27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57</v>
      </c>
      <c r="G6" s="144">
        <v>9.1914924979441111</v>
      </c>
      <c r="H6" s="145">
        <v>5.9837942545568108</v>
      </c>
      <c r="I6" s="146">
        <v>3.8628111819643558</v>
      </c>
      <c r="J6" s="147">
        <v>0.89313313323332322</v>
      </c>
      <c r="K6" s="148">
        <v>189</v>
      </c>
      <c r="M6" s="149">
        <f t="shared" ref="M6:M69" si="0">IF(ISERROR(I6/H6),$O$3,(I6/H6))</f>
        <v>0.64554545454545453</v>
      </c>
      <c r="N6" s="138">
        <f t="shared" ref="N6:N69" si="1">I6</f>
        <v>3.8628111819643558</v>
      </c>
      <c r="O6" s="149"/>
      <c r="V6" s="158">
        <f t="shared" ref="V6:V69" si="2">(((($O$5-N6))/M6)*G6)+((((($O$5-N6)/$T$2))*$T$3/M6)*G6)</f>
        <v>522.33982819910557</v>
      </c>
      <c r="W6" s="158">
        <f t="shared" ref="W6:W69" si="3">(((($P$5-N6))/M6)*G6)+((((($P$5-N6)/$T$2))*$T$3/M6)*G6)</f>
        <v>171.80515442236583</v>
      </c>
      <c r="X6" s="158">
        <f t="shared" ref="X6:X69" si="4">(((($Q$5-N6))/M6)*G6)+((((($Q$5-N6)/$T$2))*$T$3/M6)*G6)</f>
        <v>95.163903513190562</v>
      </c>
      <c r="Y6" s="158">
        <f t="shared" ref="Y6:Y69" si="5">(((($R$5-N6))/M6)*G6)+((((($R$5-N6)/$T$2))*$T$3/M6)*G6)</f>
        <v>72.970546312481133</v>
      </c>
      <c r="Z6" s="158">
        <f t="shared" ref="Z6:Z69" si="6">(((($S$5-N6))/M6)*G6)+((((($S$5-N6)/$T$2))*$T$3/M6)*G6)</f>
        <v>35.091363159731294</v>
      </c>
      <c r="AA6" s="158">
        <f t="shared" ref="AA6:AA69" si="7">(((($T$5-N6))/M6)*G6)+((((($T$5-N6)/$T$2))*$T$3/M6)*G6)</f>
        <v>10.603922629790992</v>
      </c>
    </row>
    <row r="7" spans="1:27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58</v>
      </c>
      <c r="G7" s="144">
        <v>2.4137029144041779</v>
      </c>
      <c r="H7" s="145">
        <v>-1.2429035827470711</v>
      </c>
      <c r="I7" s="146">
        <v>-1.1683293677822468</v>
      </c>
      <c r="J7" s="147">
        <v>1.0323224959763342</v>
      </c>
      <c r="K7" s="148">
        <v>290</v>
      </c>
      <c r="M7" s="149">
        <f t="shared" si="0"/>
        <v>0.94</v>
      </c>
      <c r="N7" s="138">
        <f t="shared" si="1"/>
        <v>-1.1683293677822468</v>
      </c>
      <c r="O7" s="149"/>
      <c r="V7" s="158">
        <f t="shared" si="2"/>
        <v>108.88024361917186</v>
      </c>
      <c r="W7" s="158">
        <f t="shared" si="3"/>
        <v>45.664138413186748</v>
      </c>
      <c r="X7" s="158">
        <f t="shared" si="4"/>
        <v>31.842506081092395</v>
      </c>
      <c r="Y7" s="158">
        <f t="shared" si="5"/>
        <v>27.840112855457804</v>
      </c>
      <c r="Z7" s="158">
        <f t="shared" si="6"/>
        <v>21.008907253166512</v>
      </c>
      <c r="AA7" s="158">
        <f t="shared" si="7"/>
        <v>16.592794575674439</v>
      </c>
    </row>
    <row r="8" spans="1:27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59</v>
      </c>
      <c r="G8" s="144">
        <v>2.8152337732047874</v>
      </c>
      <c r="H8" s="145">
        <v>0.35521028822470629</v>
      </c>
      <c r="I8" s="146">
        <v>4.6177337469211821E-2</v>
      </c>
      <c r="J8" s="147">
        <v>0.99872247771415723</v>
      </c>
      <c r="K8" s="148">
        <v>284</v>
      </c>
      <c r="M8" s="149">
        <f t="shared" si="0"/>
        <v>0.13</v>
      </c>
      <c r="N8" s="138">
        <f t="shared" si="1"/>
        <v>4.6177337469211821E-2</v>
      </c>
      <c r="O8" s="149"/>
      <c r="V8" s="158">
        <f t="shared" si="2"/>
        <v>888.36955650027255</v>
      </c>
      <c r="W8" s="158">
        <f t="shared" si="3"/>
        <v>355.22757043255399</v>
      </c>
      <c r="X8" s="158">
        <f t="shared" si="4"/>
        <v>238.66087452144768</v>
      </c>
      <c r="Y8" s="158">
        <f t="shared" si="5"/>
        <v>204.90612379161658</v>
      </c>
      <c r="Z8" s="158">
        <f t="shared" si="6"/>
        <v>147.2941828127268</v>
      </c>
      <c r="AA8" s="158">
        <f t="shared" si="7"/>
        <v>110.05027042829147</v>
      </c>
    </row>
    <row r="9" spans="1:27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60</v>
      </c>
      <c r="G9" s="144">
        <v>6.6773487932149918</v>
      </c>
      <c r="H9" s="145">
        <v>8.5363220890780802</v>
      </c>
      <c r="I9" s="146">
        <v>4.8716939922405258</v>
      </c>
      <c r="J9" s="147">
        <v>0.86522181689138733</v>
      </c>
      <c r="K9" s="148">
        <v>135</v>
      </c>
      <c r="M9" s="149">
        <f t="shared" si="0"/>
        <v>0.57070175438596493</v>
      </c>
      <c r="N9" s="138">
        <f t="shared" si="1"/>
        <v>4.8716939922405258</v>
      </c>
      <c r="O9" s="149"/>
      <c r="V9" s="158">
        <f t="shared" si="2"/>
        <v>415.81490032965235</v>
      </c>
      <c r="W9" s="158">
        <f t="shared" si="3"/>
        <v>127.76573004403151</v>
      </c>
      <c r="X9" s="158">
        <f t="shared" si="4"/>
        <v>64.786371978869525</v>
      </c>
      <c r="Y9" s="158">
        <f t="shared" si="5"/>
        <v>46.549151510379147</v>
      </c>
      <c r="Z9" s="158">
        <f t="shared" si="6"/>
        <v>15.422224291772329</v>
      </c>
      <c r="AA9" s="158">
        <f t="shared" si="7"/>
        <v>-4.7001414960992411</v>
      </c>
    </row>
    <row r="10" spans="1:27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472</v>
      </c>
      <c r="G10" s="144">
        <v>2.0789473684210522</v>
      </c>
      <c r="H10" s="145">
        <v>9.1392405063291164</v>
      </c>
      <c r="I10" s="146">
        <v>6.3589873417721536</v>
      </c>
      <c r="J10" s="147">
        <v>0.82407500107769438</v>
      </c>
      <c r="K10" s="148">
        <v>91</v>
      </c>
      <c r="M10" s="149">
        <f t="shared" si="0"/>
        <v>0.69578947368421051</v>
      </c>
      <c r="N10" s="138">
        <f t="shared" si="1"/>
        <v>6.3589873417721536</v>
      </c>
      <c r="O10" s="149"/>
      <c r="V10" s="158">
        <f t="shared" si="2"/>
        <v>101.13701032459342</v>
      </c>
      <c r="W10" s="158">
        <f t="shared" si="3"/>
        <v>27.577739698166258</v>
      </c>
      <c r="X10" s="158">
        <f t="shared" si="4"/>
        <v>11.49466735603715</v>
      </c>
      <c r="Y10" s="158">
        <f t="shared" si="5"/>
        <v>6.8374186141459878</v>
      </c>
      <c r="Z10" s="158">
        <f t="shared" si="6"/>
        <v>-1.1114814322323037</v>
      </c>
      <c r="AA10" s="158">
        <f t="shared" si="7"/>
        <v>-6.2501407422601565</v>
      </c>
    </row>
    <row r="11" spans="1:27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62</v>
      </c>
      <c r="G11" s="144">
        <v>5.4163613696573032</v>
      </c>
      <c r="H11" s="145">
        <v>8.6774121577810686</v>
      </c>
      <c r="I11" s="146">
        <v>5.0781323702078351</v>
      </c>
      <c r="J11" s="147">
        <v>0.85951058183626294</v>
      </c>
      <c r="K11" s="148">
        <v>130</v>
      </c>
      <c r="M11" s="149">
        <f t="shared" si="0"/>
        <v>0.58521276595744676</v>
      </c>
      <c r="N11" s="138">
        <f t="shared" si="1"/>
        <v>5.0781323702078351</v>
      </c>
      <c r="O11" s="149"/>
      <c r="V11" s="158">
        <f t="shared" si="2"/>
        <v>326.75541975066494</v>
      </c>
      <c r="W11" s="158">
        <f t="shared" si="3"/>
        <v>98.896720154297057</v>
      </c>
      <c r="X11" s="158">
        <f t="shared" si="4"/>
        <v>49.077466670899021</v>
      </c>
      <c r="Y11" s="158">
        <f t="shared" si="5"/>
        <v>34.651077814850574</v>
      </c>
      <c r="Z11" s="158">
        <f t="shared" si="6"/>
        <v>10.028402625646633</v>
      </c>
      <c r="AA11" s="158">
        <f t="shared" si="7"/>
        <v>-5.8892134420561675</v>
      </c>
    </row>
    <row r="12" spans="1:27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63</v>
      </c>
      <c r="G12" s="144">
        <v>2.5347178251492424</v>
      </c>
      <c r="H12" s="145">
        <v>9.4685095760459639</v>
      </c>
      <c r="I12" s="146">
        <v>5.0912965032863813</v>
      </c>
      <c r="J12" s="147">
        <v>0.85914638861284787</v>
      </c>
      <c r="K12" s="148">
        <v>127</v>
      </c>
      <c r="M12" s="149">
        <f t="shared" si="0"/>
        <v>0.53770833333333323</v>
      </c>
      <c r="N12" s="138">
        <f t="shared" si="1"/>
        <v>5.0912965032863813</v>
      </c>
      <c r="O12" s="149"/>
      <c r="V12" s="158">
        <f t="shared" si="2"/>
        <v>166.3518948022089</v>
      </c>
      <c r="W12" s="158">
        <f t="shared" si="3"/>
        <v>50.299361336455327</v>
      </c>
      <c r="X12" s="158">
        <f t="shared" si="4"/>
        <v>24.925519598735384</v>
      </c>
      <c r="Y12" s="158">
        <f t="shared" si="5"/>
        <v>17.577900313308621</v>
      </c>
      <c r="Z12" s="158">
        <f t="shared" si="6"/>
        <v>5.037129030608738</v>
      </c>
      <c r="AA12" s="158">
        <f t="shared" si="7"/>
        <v>-3.0699990916196138</v>
      </c>
    </row>
    <row r="13" spans="1:27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64</v>
      </c>
      <c r="G13" s="144">
        <v>2.8184251680890458</v>
      </c>
      <c r="H13" s="145">
        <v>7.8057775842657851</v>
      </c>
      <c r="I13" s="146">
        <v>5.5066212776274988</v>
      </c>
      <c r="J13" s="147">
        <v>0.84765619268205894</v>
      </c>
      <c r="K13" s="148">
        <v>114</v>
      </c>
      <c r="M13" s="149">
        <f t="shared" si="0"/>
        <v>0.70545454545454533</v>
      </c>
      <c r="N13" s="138">
        <f t="shared" si="1"/>
        <v>5.5066212776274988</v>
      </c>
      <c r="O13" s="149"/>
      <c r="V13" s="158">
        <f t="shared" si="2"/>
        <v>139.10250236050018</v>
      </c>
      <c r="W13" s="158">
        <f t="shared" si="3"/>
        <v>40.744602714682998</v>
      </c>
      <c r="X13" s="158">
        <f t="shared" si="4"/>
        <v>19.239533374650208</v>
      </c>
      <c r="Y13" s="158">
        <f t="shared" si="5"/>
        <v>13.012212188896516</v>
      </c>
      <c r="Z13" s="158">
        <f t="shared" si="6"/>
        <v>2.3835435466136188</v>
      </c>
      <c r="AA13" s="158">
        <f t="shared" si="7"/>
        <v>-4.4874834826862342</v>
      </c>
    </row>
    <row r="14" spans="1:27" ht="19.5" thickBot="1" x14ac:dyDescent="0.35">
      <c r="A14" s="142">
        <v>50</v>
      </c>
      <c r="B14" s="143" t="s">
        <v>4</v>
      </c>
      <c r="C14" s="142">
        <v>14</v>
      </c>
      <c r="D14" s="143" t="s">
        <v>65</v>
      </c>
      <c r="E14" s="142">
        <v>510530</v>
      </c>
      <c r="F14" s="143" t="s">
        <v>66</v>
      </c>
      <c r="G14" s="144">
        <v>3.6851069298474619</v>
      </c>
      <c r="H14" s="145">
        <v>6.5127011120389486</v>
      </c>
      <c r="I14" s="146">
        <v>4.5181863964770201</v>
      </c>
      <c r="J14" s="147">
        <v>0.87500180544321071</v>
      </c>
      <c r="K14" s="148">
        <v>150</v>
      </c>
      <c r="M14" s="149">
        <f t="shared" si="0"/>
        <v>0.69374999999999998</v>
      </c>
      <c r="N14" s="138">
        <f t="shared" si="1"/>
        <v>4.5181863964770201</v>
      </c>
      <c r="O14" s="149"/>
      <c r="V14" s="158">
        <f t="shared" si="2"/>
        <v>190.91224227366652</v>
      </c>
      <c r="W14" s="158">
        <f t="shared" si="3"/>
        <v>60.13900585021392</v>
      </c>
      <c r="X14" s="158">
        <f t="shared" si="4"/>
        <v>31.546614926518082</v>
      </c>
      <c r="Y14" s="158">
        <f t="shared" si="5"/>
        <v>23.26698564771236</v>
      </c>
      <c r="Z14" s="158">
        <f t="shared" si="6"/>
        <v>9.1354781406495302</v>
      </c>
      <c r="AA14" s="158">
        <f t="shared" si="7"/>
        <v>0</v>
      </c>
    </row>
    <row r="15" spans="1:27" ht="19.5" thickBot="1" x14ac:dyDescent="0.35">
      <c r="A15" s="142">
        <v>50</v>
      </c>
      <c r="B15" s="143" t="s">
        <v>4</v>
      </c>
      <c r="C15" s="142">
        <v>14</v>
      </c>
      <c r="D15" s="143" t="s">
        <v>65</v>
      </c>
      <c r="E15" s="142">
        <v>410550</v>
      </c>
      <c r="F15" s="143" t="s">
        <v>67</v>
      </c>
      <c r="G15" s="144">
        <v>2.9880840429759532</v>
      </c>
      <c r="H15" s="145">
        <v>2.6773008673586296</v>
      </c>
      <c r="I15" s="146">
        <v>1.8573774767300493</v>
      </c>
      <c r="J15" s="147">
        <v>0.94861459647111268</v>
      </c>
      <c r="K15" s="148">
        <v>243</v>
      </c>
      <c r="M15" s="149">
        <f t="shared" si="0"/>
        <v>0.69374999999999998</v>
      </c>
      <c r="N15" s="138">
        <f t="shared" si="1"/>
        <v>1.8573774767300493</v>
      </c>
      <c r="O15" s="149"/>
      <c r="V15" s="158">
        <f t="shared" si="2"/>
        <v>167.82526683828166</v>
      </c>
      <c r="W15" s="158">
        <f t="shared" si="3"/>
        <v>61.787252624833798</v>
      </c>
      <c r="X15" s="158">
        <f t="shared" si="4"/>
        <v>38.602995370957444</v>
      </c>
      <c r="Y15" s="158">
        <f t="shared" si="5"/>
        <v>31.889424068759183</v>
      </c>
      <c r="Z15" s="158">
        <f t="shared" si="6"/>
        <v>20.430833344283993</v>
      </c>
      <c r="AA15" s="158">
        <f t="shared" si="7"/>
        <v>13.023293488131053</v>
      </c>
    </row>
    <row r="16" spans="1:27" ht="19.5" thickBot="1" x14ac:dyDescent="0.35">
      <c r="A16" s="142">
        <v>50</v>
      </c>
      <c r="B16" s="143" t="s">
        <v>4</v>
      </c>
      <c r="C16" s="142">
        <v>14</v>
      </c>
      <c r="D16" s="143" t="s">
        <v>65</v>
      </c>
      <c r="E16" s="142">
        <v>510556</v>
      </c>
      <c r="F16" s="143" t="s">
        <v>68</v>
      </c>
      <c r="G16" s="144">
        <v>3.73188092915326</v>
      </c>
      <c r="H16" s="145">
        <v>4.5553436250328572</v>
      </c>
      <c r="I16" s="146">
        <v>3.0092064064187642</v>
      </c>
      <c r="J16" s="147">
        <v>0.91674859449261281</v>
      </c>
      <c r="K16" s="148">
        <v>215</v>
      </c>
      <c r="M16" s="149">
        <f t="shared" si="0"/>
        <v>0.6605882352941177</v>
      </c>
      <c r="N16" s="138">
        <f t="shared" si="1"/>
        <v>3.0092064064187642</v>
      </c>
      <c r="O16" s="149"/>
      <c r="V16" s="158">
        <f t="shared" si="2"/>
        <v>212.72813260070959</v>
      </c>
      <c r="W16" s="158">
        <f t="shared" si="3"/>
        <v>73.646840246884096</v>
      </c>
      <c r="X16" s="158">
        <f t="shared" si="4"/>
        <v>43.237967683107435</v>
      </c>
      <c r="Y16" s="158">
        <f t="shared" si="5"/>
        <v>34.432331516253676</v>
      </c>
      <c r="Z16" s="158">
        <f t="shared" si="6"/>
        <v>19.403045855494355</v>
      </c>
      <c r="AA16" s="158">
        <f t="shared" si="7"/>
        <v>9.6871885377366596</v>
      </c>
    </row>
    <row r="17" spans="1:27" ht="19.5" thickBot="1" x14ac:dyDescent="0.35">
      <c r="A17" s="142">
        <v>50</v>
      </c>
      <c r="B17" s="143" t="s">
        <v>4</v>
      </c>
      <c r="C17" s="142">
        <v>14</v>
      </c>
      <c r="D17" s="143" t="s">
        <v>65</v>
      </c>
      <c r="E17" s="142">
        <v>410551</v>
      </c>
      <c r="F17" s="143" t="s">
        <v>473</v>
      </c>
      <c r="G17" s="144">
        <v>2.4135234435568145</v>
      </c>
      <c r="H17" s="145">
        <v>7.8723080360883761</v>
      </c>
      <c r="I17" s="146">
        <v>4.5762969609787429</v>
      </c>
      <c r="J17" s="147">
        <v>0.87339414364929824</v>
      </c>
      <c r="K17" s="148">
        <v>148</v>
      </c>
      <c r="M17" s="149">
        <f t="shared" si="0"/>
        <v>0.58131578947368423</v>
      </c>
      <c r="N17" s="138">
        <f t="shared" si="1"/>
        <v>4.5762969609787429</v>
      </c>
      <c r="O17" s="149"/>
      <c r="V17" s="158">
        <f t="shared" si="2"/>
        <v>148.94550773250921</v>
      </c>
      <c r="W17" s="158">
        <f t="shared" si="3"/>
        <v>46.731321290508511</v>
      </c>
      <c r="X17" s="158">
        <f t="shared" si="4"/>
        <v>24.383109556772659</v>
      </c>
      <c r="Y17" s="158">
        <f t="shared" si="5"/>
        <v>17.911635775745069</v>
      </c>
      <c r="Z17" s="158">
        <f t="shared" si="6"/>
        <v>6.8662523124479105</v>
      </c>
      <c r="AA17" s="158">
        <f t="shared" si="7"/>
        <v>-0.27416488179774268</v>
      </c>
    </row>
    <row r="18" spans="1:27" ht="19.5" thickBot="1" x14ac:dyDescent="0.35">
      <c r="A18" s="142">
        <v>50</v>
      </c>
      <c r="B18" s="143" t="s">
        <v>4</v>
      </c>
      <c r="C18" s="142">
        <v>14</v>
      </c>
      <c r="D18" s="143" t="s">
        <v>65</v>
      </c>
      <c r="E18" s="142">
        <v>510523</v>
      </c>
      <c r="F18" s="143" t="s">
        <v>70</v>
      </c>
      <c r="G18" s="144">
        <v>5.7520380455864339</v>
      </c>
      <c r="H18" s="145">
        <v>7.9971654629955058</v>
      </c>
      <c r="I18" s="146">
        <v>4.5766387133338409</v>
      </c>
      <c r="J18" s="147">
        <v>0.8733846888761605</v>
      </c>
      <c r="K18" s="148">
        <v>147</v>
      </c>
      <c r="M18" s="149">
        <f t="shared" si="0"/>
        <v>0.57228260869565217</v>
      </c>
      <c r="N18" s="138">
        <f t="shared" si="1"/>
        <v>4.5766387133338409</v>
      </c>
      <c r="O18" s="149"/>
      <c r="V18" s="158">
        <f t="shared" si="2"/>
        <v>360.57408255424963</v>
      </c>
      <c r="W18" s="158">
        <f t="shared" si="3"/>
        <v>113.12663656191054</v>
      </c>
      <c r="X18" s="158">
        <f t="shared" si="4"/>
        <v>59.024480016871209</v>
      </c>
      <c r="Y18" s="158">
        <f t="shared" si="5"/>
        <v>43.357871352619739</v>
      </c>
      <c r="Z18" s="158">
        <f t="shared" si="6"/>
        <v>16.618413522568254</v>
      </c>
      <c r="AA18" s="158">
        <f t="shared" si="7"/>
        <v>-0.66762141582504009</v>
      </c>
    </row>
    <row r="19" spans="1:27" ht="19.5" thickBot="1" x14ac:dyDescent="0.35">
      <c r="A19" s="142">
        <v>50</v>
      </c>
      <c r="B19" s="143" t="s">
        <v>4</v>
      </c>
      <c r="C19" s="142">
        <v>14</v>
      </c>
      <c r="D19" s="143" t="s">
        <v>65</v>
      </c>
      <c r="E19" s="142">
        <v>510570</v>
      </c>
      <c r="F19" s="143" t="s">
        <v>71</v>
      </c>
      <c r="G19" s="144">
        <v>3.7144129870129854</v>
      </c>
      <c r="H19" s="145">
        <v>5.6536524272944515</v>
      </c>
      <c r="I19" s="146">
        <v>4.3775423079908471</v>
      </c>
      <c r="J19" s="147">
        <v>0.87889280408584414</v>
      </c>
      <c r="K19" s="148">
        <v>161</v>
      </c>
      <c r="M19" s="149">
        <f t="shared" si="0"/>
        <v>0.77428571428571435</v>
      </c>
      <c r="N19" s="138">
        <f t="shared" si="1"/>
        <v>4.3775423079908471</v>
      </c>
      <c r="O19" s="149"/>
      <c r="V19" s="158">
        <f t="shared" si="2"/>
        <v>173.18193292319262</v>
      </c>
      <c r="W19" s="158">
        <f t="shared" si="3"/>
        <v>55.078990854760846</v>
      </c>
      <c r="X19" s="158">
        <f t="shared" si="4"/>
        <v>29.256845733837558</v>
      </c>
      <c r="Y19" s="158">
        <f t="shared" si="5"/>
        <v>21.779409189432219</v>
      </c>
      <c r="Z19" s="158">
        <f t="shared" si="6"/>
        <v>9.0170683765001005</v>
      </c>
      <c r="AA19" s="158">
        <f t="shared" si="7"/>
        <v>0.76670404263198433</v>
      </c>
    </row>
    <row r="20" spans="1:27" ht="19.5" thickBot="1" x14ac:dyDescent="0.35">
      <c r="A20" s="142">
        <v>50</v>
      </c>
      <c r="B20" s="143" t="s">
        <v>4</v>
      </c>
      <c r="C20" s="142">
        <v>14</v>
      </c>
      <c r="D20" s="143" t="s">
        <v>65</v>
      </c>
      <c r="E20" s="142">
        <v>410571</v>
      </c>
      <c r="F20" s="143" t="s">
        <v>474</v>
      </c>
      <c r="G20" s="144">
        <v>6.6311696410441163</v>
      </c>
      <c r="H20" s="145">
        <v>11.762630760825845</v>
      </c>
      <c r="I20" s="146">
        <v>7.2264777699842888</v>
      </c>
      <c r="J20" s="147">
        <v>0.80007538534551403</v>
      </c>
      <c r="K20" s="148">
        <v>72</v>
      </c>
      <c r="M20" s="149">
        <f t="shared" si="0"/>
        <v>0.61435897435897446</v>
      </c>
      <c r="N20" s="138">
        <f t="shared" si="1"/>
        <v>7.2264777699842888</v>
      </c>
      <c r="O20" s="149"/>
      <c r="V20" s="158">
        <f t="shared" si="2"/>
        <v>354.71256460614876</v>
      </c>
      <c r="W20" s="158">
        <f t="shared" si="3"/>
        <v>88.983104269449456</v>
      </c>
      <c r="X20" s="158">
        <f t="shared" si="4"/>
        <v>30.883749862655453</v>
      </c>
      <c r="Y20" s="158">
        <f t="shared" si="5"/>
        <v>14.059654350323155</v>
      </c>
      <c r="Z20" s="158">
        <f t="shared" si="6"/>
        <v>-14.655379140446813</v>
      </c>
      <c r="AA20" s="158">
        <f t="shared" si="7"/>
        <v>-33.218548047362063</v>
      </c>
    </row>
    <row r="21" spans="1:27" ht="19.5" thickBot="1" x14ac:dyDescent="0.35">
      <c r="A21" s="142">
        <v>50</v>
      </c>
      <c r="B21" s="143" t="s">
        <v>4</v>
      </c>
      <c r="C21" s="142">
        <v>14</v>
      </c>
      <c r="D21" s="143" t="s">
        <v>65</v>
      </c>
      <c r="E21" s="142">
        <v>510520</v>
      </c>
      <c r="F21" s="143" t="s">
        <v>73</v>
      </c>
      <c r="G21" s="144">
        <v>4.317006661822929</v>
      </c>
      <c r="H21" s="145">
        <v>8.3391115233531732</v>
      </c>
      <c r="I21" s="146">
        <v>5.4818076166709115</v>
      </c>
      <c r="J21" s="147">
        <v>0.84834267671519581</v>
      </c>
      <c r="K21" s="148">
        <v>116</v>
      </c>
      <c r="M21" s="149">
        <f t="shared" si="0"/>
        <v>0.65736111111111106</v>
      </c>
      <c r="N21" s="138">
        <f t="shared" si="1"/>
        <v>5.4818076166709115</v>
      </c>
      <c r="O21" s="149"/>
      <c r="V21" s="158">
        <f t="shared" si="2"/>
        <v>228.8377965014555</v>
      </c>
      <c r="W21" s="158">
        <f t="shared" si="3"/>
        <v>67.159961611325784</v>
      </c>
      <c r="X21" s="158">
        <f t="shared" si="4"/>
        <v>31.810558435996068</v>
      </c>
      <c r="Y21" s="158">
        <f t="shared" si="5"/>
        <v>21.57427024660193</v>
      </c>
      <c r="Z21" s="158">
        <f t="shared" si="6"/>
        <v>4.1031760077367787</v>
      </c>
      <c r="AA21" s="158">
        <f t="shared" si="7"/>
        <v>-7.1912169954591008</v>
      </c>
    </row>
    <row r="22" spans="1:27" ht="19.5" thickBot="1" x14ac:dyDescent="0.35">
      <c r="A22" s="142">
        <v>50</v>
      </c>
      <c r="B22" s="143" t="s">
        <v>4</v>
      </c>
      <c r="C22" s="142">
        <v>14</v>
      </c>
      <c r="D22" s="143" t="s">
        <v>65</v>
      </c>
      <c r="E22" s="142">
        <v>410524</v>
      </c>
      <c r="F22" s="143" t="s">
        <v>75</v>
      </c>
      <c r="G22" s="144">
        <v>5.2411436324383089</v>
      </c>
      <c r="H22" s="145">
        <v>5.3423454809945197</v>
      </c>
      <c r="I22" s="146">
        <v>3.3570917406463772</v>
      </c>
      <c r="J22" s="147">
        <v>0.90712414900157601</v>
      </c>
      <c r="K22" s="148">
        <v>205</v>
      </c>
      <c r="M22" s="149">
        <f t="shared" si="0"/>
        <v>0.62839285714285709</v>
      </c>
      <c r="N22" s="138">
        <f t="shared" si="1"/>
        <v>3.3570917406463772</v>
      </c>
      <c r="O22" s="149"/>
      <c r="V22" s="158">
        <f t="shared" si="2"/>
        <v>310.77013878543477</v>
      </c>
      <c r="W22" s="158">
        <f t="shared" si="3"/>
        <v>105.43343048993516</v>
      </c>
      <c r="X22" s="158">
        <f t="shared" si="4"/>
        <v>60.538407661572101</v>
      </c>
      <c r="Y22" s="158">
        <f t="shared" si="5"/>
        <v>47.53795077518037</v>
      </c>
      <c r="Z22" s="158">
        <f t="shared" si="6"/>
        <v>25.349028071168771</v>
      </c>
      <c r="AA22" s="158">
        <f t="shared" si="7"/>
        <v>11.004739733512743</v>
      </c>
    </row>
    <row r="23" spans="1:27" ht="19.5" thickBot="1" x14ac:dyDescent="0.35">
      <c r="A23" s="142">
        <v>50</v>
      </c>
      <c r="B23" s="143" t="s">
        <v>4</v>
      </c>
      <c r="C23" s="142">
        <v>14</v>
      </c>
      <c r="D23" s="143" t="s">
        <v>65</v>
      </c>
      <c r="E23" s="142">
        <v>410521</v>
      </c>
      <c r="F23" s="143" t="s">
        <v>74</v>
      </c>
      <c r="G23" s="144">
        <v>4.4760896212509138</v>
      </c>
      <c r="H23" s="145">
        <v>0.67022786714480542</v>
      </c>
      <c r="I23" s="146">
        <v>0.70820744628301102</v>
      </c>
      <c r="J23" s="147">
        <v>0.98040703849091382</v>
      </c>
      <c r="K23" s="148">
        <v>270</v>
      </c>
      <c r="M23" s="149">
        <f t="shared" si="0"/>
        <v>1.0566666666666666</v>
      </c>
      <c r="N23" s="138">
        <f t="shared" si="1"/>
        <v>0.70820744628301102</v>
      </c>
      <c r="O23" s="149"/>
      <c r="V23" s="158">
        <f t="shared" si="2"/>
        <v>170.58660175380572</v>
      </c>
      <c r="W23" s="158">
        <f t="shared" si="3"/>
        <v>66.299033730339843</v>
      </c>
      <c r="X23" s="158">
        <f t="shared" si="4"/>
        <v>43.49749577839156</v>
      </c>
      <c r="Y23" s="158">
        <f t="shared" si="5"/>
        <v>36.894750253102401</v>
      </c>
      <c r="Z23" s="158">
        <f t="shared" si="6"/>
        <v>25.62531477285733</v>
      </c>
      <c r="AA23" s="158">
        <f t="shared" si="7"/>
        <v>18.340056534429152</v>
      </c>
    </row>
    <row r="24" spans="1:27" ht="19.5" thickBot="1" x14ac:dyDescent="0.35">
      <c r="A24" s="142">
        <v>50</v>
      </c>
      <c r="B24" s="143" t="s">
        <v>4</v>
      </c>
      <c r="C24" s="142">
        <v>14</v>
      </c>
      <c r="D24" s="143" t="s">
        <v>65</v>
      </c>
      <c r="E24" s="142">
        <v>510513</v>
      </c>
      <c r="F24" s="143" t="s">
        <v>475</v>
      </c>
      <c r="G24" s="144">
        <v>4.2224398656301876</v>
      </c>
      <c r="H24" s="145">
        <v>1.1841494868166142</v>
      </c>
      <c r="I24" s="146">
        <v>0.44050360909578051</v>
      </c>
      <c r="J24" s="147">
        <v>0.98781321729540517</v>
      </c>
      <c r="K24" s="148">
        <v>276</v>
      </c>
      <c r="M24" s="149">
        <f t="shared" si="0"/>
        <v>0.372</v>
      </c>
      <c r="N24" s="138">
        <f t="shared" si="1"/>
        <v>0.44050360909578051</v>
      </c>
      <c r="O24" s="149"/>
      <c r="V24" s="158">
        <f t="shared" si="2"/>
        <v>460.54608786559993</v>
      </c>
      <c r="W24" s="158">
        <f t="shared" si="3"/>
        <v>181.10368488290567</v>
      </c>
      <c r="X24" s="158">
        <f t="shared" si="4"/>
        <v>120.00611901043447</v>
      </c>
      <c r="Y24" s="158">
        <f t="shared" si="5"/>
        <v>102.31381770511621</v>
      </c>
      <c r="Z24" s="158">
        <f t="shared" si="6"/>
        <v>72.116947737360121</v>
      </c>
      <c r="AA24" s="158">
        <f t="shared" si="7"/>
        <v>52.595828326101447</v>
      </c>
    </row>
    <row r="25" spans="1:27" ht="19.5" thickBot="1" x14ac:dyDescent="0.35">
      <c r="A25" s="142">
        <v>50</v>
      </c>
      <c r="B25" s="143" t="s">
        <v>4</v>
      </c>
      <c r="C25" s="142">
        <v>14</v>
      </c>
      <c r="D25" s="143" t="s">
        <v>65</v>
      </c>
      <c r="E25" s="142">
        <v>510511</v>
      </c>
      <c r="F25" s="143" t="s">
        <v>77</v>
      </c>
      <c r="G25" s="144">
        <v>3.24608091615878</v>
      </c>
      <c r="H25" s="145">
        <v>14.478998279444314</v>
      </c>
      <c r="I25" s="146">
        <v>8.715124709052759</v>
      </c>
      <c r="J25" s="147">
        <v>0.75889112170797557</v>
      </c>
      <c r="K25" s="148">
        <v>44</v>
      </c>
      <c r="M25" s="149">
        <f t="shared" si="0"/>
        <v>0.60191489361702133</v>
      </c>
      <c r="N25" s="138">
        <f t="shared" si="1"/>
        <v>8.715124709052759</v>
      </c>
      <c r="O25" s="149"/>
      <c r="V25" s="158">
        <f t="shared" si="2"/>
        <v>168.1053190430938</v>
      </c>
      <c r="W25" s="158">
        <f t="shared" si="3"/>
        <v>35.336520330224616</v>
      </c>
      <c r="X25" s="158">
        <f t="shared" si="4"/>
        <v>6.307817675993733</v>
      </c>
      <c r="Y25" s="158">
        <f t="shared" si="5"/>
        <v>-2.0981563841373778</v>
      </c>
      <c r="Z25" s="158">
        <f t="shared" si="6"/>
        <v>-16.445306665249078</v>
      </c>
      <c r="AA25" s="158">
        <f t="shared" si="7"/>
        <v>-25.720189596755343</v>
      </c>
    </row>
    <row r="26" spans="1:27" ht="19.5" thickBot="1" x14ac:dyDescent="0.35">
      <c r="A26" s="142">
        <v>50</v>
      </c>
      <c r="B26" s="143" t="s">
        <v>4</v>
      </c>
      <c r="C26" s="142">
        <v>14</v>
      </c>
      <c r="D26" s="143" t="s">
        <v>65</v>
      </c>
      <c r="E26" s="142">
        <v>510522</v>
      </c>
      <c r="F26" s="143" t="s">
        <v>78</v>
      </c>
      <c r="G26" s="144">
        <v>2.5803141951809545</v>
      </c>
      <c r="H26" s="145">
        <v>6.9758946540762956</v>
      </c>
      <c r="I26" s="146">
        <v>4.2301050082912646</v>
      </c>
      <c r="J26" s="147">
        <v>0.88297174077759866</v>
      </c>
      <c r="K26" s="148">
        <v>171</v>
      </c>
      <c r="M26" s="149">
        <f t="shared" si="0"/>
        <v>0.60638888888888887</v>
      </c>
      <c r="N26" s="138">
        <f t="shared" si="1"/>
        <v>4.2301050082912646</v>
      </c>
      <c r="O26" s="149"/>
      <c r="V26" s="158">
        <f t="shared" si="2"/>
        <v>154.32841372519837</v>
      </c>
      <c r="W26" s="158">
        <f t="shared" si="3"/>
        <v>49.568982811497804</v>
      </c>
      <c r="X26" s="158">
        <f t="shared" si="4"/>
        <v>26.664276286308073</v>
      </c>
      <c r="Y26" s="158">
        <f t="shared" si="5"/>
        <v>20.03165576588675</v>
      </c>
      <c r="Z26" s="158">
        <f t="shared" si="6"/>
        <v>8.7112302347870543</v>
      </c>
      <c r="AA26" s="158">
        <f t="shared" si="7"/>
        <v>1.3930088822155209</v>
      </c>
    </row>
    <row r="27" spans="1:27" ht="19.5" thickBot="1" x14ac:dyDescent="0.35">
      <c r="A27" s="142">
        <v>50</v>
      </c>
      <c r="B27" s="143" t="s">
        <v>4</v>
      </c>
      <c r="C27" s="142">
        <v>14</v>
      </c>
      <c r="D27" s="143" t="s">
        <v>65</v>
      </c>
      <c r="E27" s="142">
        <v>410510</v>
      </c>
      <c r="F27" s="143" t="s">
        <v>79</v>
      </c>
      <c r="G27" s="144">
        <v>9.6894159427710651</v>
      </c>
      <c r="H27" s="145">
        <v>6.1923237019011355</v>
      </c>
      <c r="I27" s="146">
        <v>3.4609929223875757</v>
      </c>
      <c r="J27" s="147">
        <v>0.90424966375676774</v>
      </c>
      <c r="K27" s="148">
        <v>202</v>
      </c>
      <c r="M27" s="149">
        <f t="shared" si="0"/>
        <v>0.55891666666666662</v>
      </c>
      <c r="N27" s="138">
        <f t="shared" si="1"/>
        <v>3.4609929223875757</v>
      </c>
      <c r="O27" s="149"/>
      <c r="V27" s="158">
        <f t="shared" si="2"/>
        <v>643.89733325444968</v>
      </c>
      <c r="W27" s="158">
        <f t="shared" si="3"/>
        <v>217.09939471365669</v>
      </c>
      <c r="X27" s="158">
        <f t="shared" si="4"/>
        <v>123.78386748550766</v>
      </c>
      <c r="Y27" s="158">
        <f t="shared" si="5"/>
        <v>96.762063906112999</v>
      </c>
      <c r="Z27" s="158">
        <f t="shared" si="6"/>
        <v>50.641783966275732</v>
      </c>
      <c r="AA27" s="158">
        <f t="shared" si="7"/>
        <v>20.826790129245822</v>
      </c>
    </row>
    <row r="28" spans="1:27" ht="19.5" thickBot="1" x14ac:dyDescent="0.35">
      <c r="A28" s="142">
        <v>50</v>
      </c>
      <c r="B28" s="143" t="s">
        <v>4</v>
      </c>
      <c r="C28" s="142">
        <v>14</v>
      </c>
      <c r="D28" s="143" t="s">
        <v>65</v>
      </c>
      <c r="E28" s="142">
        <v>410512</v>
      </c>
      <c r="F28" s="143" t="s">
        <v>80</v>
      </c>
      <c r="G28" s="144">
        <v>4.4281860372366975</v>
      </c>
      <c r="H28" s="145">
        <v>5.1940003890063737</v>
      </c>
      <c r="I28" s="146">
        <v>2.8058893405827914</v>
      </c>
      <c r="J28" s="147">
        <v>0.92237347667363478</v>
      </c>
      <c r="K28" s="148">
        <v>220</v>
      </c>
      <c r="M28" s="149">
        <f t="shared" si="0"/>
        <v>0.54021739130434787</v>
      </c>
      <c r="N28" s="138">
        <f t="shared" si="1"/>
        <v>2.8058893405827914</v>
      </c>
      <c r="O28" s="149"/>
      <c r="V28" s="158">
        <f t="shared" si="2"/>
        <v>310.55736572825771</v>
      </c>
      <c r="W28" s="158">
        <f t="shared" si="3"/>
        <v>108.75369078202749</v>
      </c>
      <c r="X28" s="158">
        <f t="shared" si="4"/>
        <v>64.631133891126311</v>
      </c>
      <c r="Y28" s="158">
        <f t="shared" si="5"/>
        <v>51.854363495652997</v>
      </c>
      <c r="Z28" s="158">
        <f t="shared" si="6"/>
        <v>30.047224470499334</v>
      </c>
      <c r="AA28" s="158">
        <f t="shared" si="7"/>
        <v>15.949744652806251</v>
      </c>
    </row>
    <row r="29" spans="1:27" ht="19.5" thickBot="1" x14ac:dyDescent="0.35">
      <c r="A29" s="142">
        <v>262</v>
      </c>
      <c r="B29" s="143" t="s">
        <v>476</v>
      </c>
      <c r="C29" s="142">
        <v>5060</v>
      </c>
      <c r="D29" s="143" t="s">
        <v>82</v>
      </c>
      <c r="E29" s="142">
        <v>4057</v>
      </c>
      <c r="F29" s="143" t="s">
        <v>83</v>
      </c>
      <c r="G29" s="144">
        <v>6.243624835140964</v>
      </c>
      <c r="H29" s="145">
        <v>10.090292364367794</v>
      </c>
      <c r="I29" s="146">
        <v>7.5372882328118802</v>
      </c>
      <c r="J29" s="147">
        <v>0.79147663724315542</v>
      </c>
      <c r="K29" s="148">
        <v>64</v>
      </c>
      <c r="M29" s="149">
        <f t="shared" si="0"/>
        <v>0.74698412698412708</v>
      </c>
      <c r="N29" s="138">
        <f t="shared" si="1"/>
        <v>7.5372882328118802</v>
      </c>
      <c r="O29" s="149"/>
      <c r="V29" s="158">
        <f t="shared" si="2"/>
        <v>271.73229529453914</v>
      </c>
      <c r="W29" s="158">
        <f t="shared" si="3"/>
        <v>65.955120679361187</v>
      </c>
      <c r="X29" s="158">
        <f t="shared" si="4"/>
        <v>20.963793855276986</v>
      </c>
      <c r="Y29" s="158">
        <f t="shared" si="5"/>
        <v>7.9354497808299893</v>
      </c>
      <c r="Z29" s="158">
        <f t="shared" si="6"/>
        <v>-14.301070224230175</v>
      </c>
      <c r="AA29" s="158">
        <f t="shared" si="7"/>
        <v>-28.676128393276507</v>
      </c>
    </row>
    <row r="30" spans="1:27" ht="19.5" thickBot="1" x14ac:dyDescent="0.35">
      <c r="A30" s="142">
        <v>262</v>
      </c>
      <c r="B30" s="143" t="s">
        <v>476</v>
      </c>
      <c r="C30" s="142">
        <v>5060</v>
      </c>
      <c r="D30" s="143" t="s">
        <v>82</v>
      </c>
      <c r="E30" s="142">
        <v>4082</v>
      </c>
      <c r="F30" s="143" t="s">
        <v>477</v>
      </c>
      <c r="G30" s="144">
        <v>2.8402116402116402</v>
      </c>
      <c r="H30" s="145">
        <v>12.323025335320418</v>
      </c>
      <c r="I30" s="146">
        <v>7.2441784649776455</v>
      </c>
      <c r="J30" s="147">
        <v>0.79958568555838372</v>
      </c>
      <c r="K30" s="148">
        <v>71</v>
      </c>
      <c r="M30" s="149">
        <f t="shared" si="0"/>
        <v>0.58785714285714286</v>
      </c>
      <c r="N30" s="138">
        <f t="shared" si="1"/>
        <v>7.2441784649776455</v>
      </c>
      <c r="O30" s="149"/>
      <c r="V30" s="158">
        <f t="shared" si="2"/>
        <v>158.67980035006224</v>
      </c>
      <c r="W30" s="158">
        <f t="shared" si="3"/>
        <v>39.733571525952314</v>
      </c>
      <c r="X30" s="158">
        <f t="shared" si="4"/>
        <v>13.727049347164906</v>
      </c>
      <c r="Y30" s="158">
        <f t="shared" si="5"/>
        <v>6.1962218956925179</v>
      </c>
      <c r="Z30" s="158">
        <f t="shared" si="6"/>
        <v>-6.657245461511125</v>
      </c>
      <c r="AA30" s="158">
        <f t="shared" si="7"/>
        <v>-14.96651961464724</v>
      </c>
    </row>
    <row r="31" spans="1:27" ht="19.5" thickBot="1" x14ac:dyDescent="0.35">
      <c r="A31" s="142">
        <v>262</v>
      </c>
      <c r="B31" s="143" t="s">
        <v>476</v>
      </c>
      <c r="C31" s="142">
        <v>5060</v>
      </c>
      <c r="D31" s="143" t="s">
        <v>82</v>
      </c>
      <c r="E31" s="142">
        <v>4030</v>
      </c>
      <c r="F31" s="143" t="s">
        <v>478</v>
      </c>
      <c r="G31" s="144">
        <v>7.4919696310260804</v>
      </c>
      <c r="H31" s="145">
        <v>4.2712399510377308</v>
      </c>
      <c r="I31" s="146">
        <v>2.9051105479480066</v>
      </c>
      <c r="J31" s="147">
        <v>0.91962846557978817</v>
      </c>
      <c r="K31" s="148">
        <v>217</v>
      </c>
      <c r="M31" s="149">
        <f t="shared" si="0"/>
        <v>0.68015625000000002</v>
      </c>
      <c r="N31" s="138">
        <f t="shared" si="1"/>
        <v>2.9051105479480066</v>
      </c>
      <c r="O31" s="149"/>
      <c r="V31" s="158">
        <f t="shared" si="2"/>
        <v>416.08058566046935</v>
      </c>
      <c r="W31" s="158">
        <f t="shared" si="3"/>
        <v>144.89969112775796</v>
      </c>
      <c r="X31" s="158">
        <f t="shared" si="4"/>
        <v>85.608429707800639</v>
      </c>
      <c r="Y31" s="158">
        <f t="shared" si="5"/>
        <v>68.439188235826947</v>
      </c>
      <c r="Z31" s="158">
        <f t="shared" si="6"/>
        <v>39.135066447083275</v>
      </c>
      <c r="AA31" s="158">
        <f t="shared" si="7"/>
        <v>20.191074527027954</v>
      </c>
    </row>
    <row r="32" spans="1:27" ht="19.5" thickBot="1" x14ac:dyDescent="0.35">
      <c r="A32" s="142">
        <v>262</v>
      </c>
      <c r="B32" s="143" t="s">
        <v>476</v>
      </c>
      <c r="C32" s="142">
        <v>5060</v>
      </c>
      <c r="D32" s="143" t="s">
        <v>82</v>
      </c>
      <c r="E32" s="142">
        <v>4060</v>
      </c>
      <c r="F32" s="143" t="s">
        <v>479</v>
      </c>
      <c r="G32" s="144">
        <v>8.0712319790393234</v>
      </c>
      <c r="H32" s="145">
        <v>7.0621189117134522</v>
      </c>
      <c r="I32" s="146">
        <v>4.1158524604758044</v>
      </c>
      <c r="J32" s="147">
        <v>0.8861326024480205</v>
      </c>
      <c r="K32" s="148">
        <v>177</v>
      </c>
      <c r="M32" s="149">
        <f t="shared" si="0"/>
        <v>0.58280701754385955</v>
      </c>
      <c r="N32" s="138">
        <f t="shared" si="1"/>
        <v>4.1158524604758044</v>
      </c>
      <c r="O32" s="149"/>
      <c r="V32" s="158">
        <f t="shared" si="2"/>
        <v>504.0707579150245</v>
      </c>
      <c r="W32" s="158">
        <f t="shared" si="3"/>
        <v>163.12379107741748</v>
      </c>
      <c r="X32" s="158">
        <f t="shared" si="4"/>
        <v>88.578805981973701</v>
      </c>
      <c r="Y32" s="158">
        <f t="shared" si="5"/>
        <v>66.992474050814124</v>
      </c>
      <c r="Z32" s="158">
        <f t="shared" si="6"/>
        <v>30.149349623009734</v>
      </c>
      <c r="AA32" s="158">
        <f t="shared" si="7"/>
        <v>6.3316813611333913</v>
      </c>
    </row>
    <row r="33" spans="1:27" ht="19.5" thickBot="1" x14ac:dyDescent="0.35">
      <c r="A33" s="142">
        <v>262</v>
      </c>
      <c r="B33" s="143" t="s">
        <v>476</v>
      </c>
      <c r="C33" s="142">
        <v>5060</v>
      </c>
      <c r="D33" s="143" t="s">
        <v>82</v>
      </c>
      <c r="E33" s="142">
        <v>4064</v>
      </c>
      <c r="F33" s="143" t="s">
        <v>87</v>
      </c>
      <c r="G33" s="144">
        <v>1.4323658323796258</v>
      </c>
      <c r="H33" s="145">
        <v>-2.0944370021840188</v>
      </c>
      <c r="I33" s="146">
        <v>-1.3613840514196121</v>
      </c>
      <c r="J33" s="147">
        <v>1.0376634635212363</v>
      </c>
      <c r="K33" s="148">
        <v>291</v>
      </c>
      <c r="M33" s="149">
        <f t="shared" si="0"/>
        <v>0.64999999999999991</v>
      </c>
      <c r="N33" s="138">
        <f t="shared" si="1"/>
        <v>-1.3613840514196121</v>
      </c>
      <c r="O33" s="149"/>
      <c r="V33" s="158">
        <f t="shared" si="2"/>
        <v>93.923626492593712</v>
      </c>
      <c r="W33" s="158">
        <f t="shared" si="3"/>
        <v>39.672049098287971</v>
      </c>
      <c r="X33" s="158">
        <f t="shared" si="4"/>
        <v>27.810430073564159</v>
      </c>
      <c r="Y33" s="158">
        <f t="shared" si="5"/>
        <v>24.375606856672867</v>
      </c>
      <c r="Z33" s="158">
        <f t="shared" si="6"/>
        <v>18.513118520488039</v>
      </c>
      <c r="AA33" s="158">
        <f t="shared" si="7"/>
        <v>14.723244438175017</v>
      </c>
    </row>
    <row r="34" spans="1:27" ht="19.5" thickBot="1" x14ac:dyDescent="0.35">
      <c r="A34" s="142">
        <v>262</v>
      </c>
      <c r="B34" s="143" t="s">
        <v>476</v>
      </c>
      <c r="C34" s="142">
        <v>5060</v>
      </c>
      <c r="D34" s="143" t="s">
        <v>82</v>
      </c>
      <c r="E34" s="142">
        <v>4092</v>
      </c>
      <c r="F34" s="143" t="s">
        <v>480</v>
      </c>
      <c r="G34" s="144">
        <v>2.4192814679252703</v>
      </c>
      <c r="H34" s="145">
        <v>0.41334586870438889</v>
      </c>
      <c r="I34" s="146">
        <v>0.6282857204306711</v>
      </c>
      <c r="J34" s="147">
        <v>0.9826181184599021</v>
      </c>
      <c r="K34" s="148">
        <v>273</v>
      </c>
      <c r="M34" s="149">
        <f t="shared" si="0"/>
        <v>1.52</v>
      </c>
      <c r="N34" s="138">
        <f t="shared" si="1"/>
        <v>0.6282857204306711</v>
      </c>
      <c r="O34" s="149"/>
      <c r="V34" s="158">
        <f t="shared" si="2"/>
        <v>64.23996709872857</v>
      </c>
      <c r="W34" s="158">
        <f t="shared" si="3"/>
        <v>25.055442273336663</v>
      </c>
      <c r="X34" s="158">
        <f t="shared" si="4"/>
        <v>16.488098659242677</v>
      </c>
      <c r="Y34" s="158">
        <f t="shared" si="5"/>
        <v>14.007213824597557</v>
      </c>
      <c r="Z34" s="158">
        <f t="shared" si="6"/>
        <v>9.7728886532170822</v>
      </c>
      <c r="AA34" s="158">
        <f t="shared" si="7"/>
        <v>7.0355596722704181</v>
      </c>
    </row>
    <row r="35" spans="1:27" ht="19.5" thickBot="1" x14ac:dyDescent="0.35">
      <c r="A35" s="142">
        <v>262</v>
      </c>
      <c r="B35" s="143" t="s">
        <v>476</v>
      </c>
      <c r="C35" s="142">
        <v>5060</v>
      </c>
      <c r="D35" s="143" t="s">
        <v>82</v>
      </c>
      <c r="E35" s="142">
        <v>4041</v>
      </c>
      <c r="F35" s="143" t="s">
        <v>481</v>
      </c>
      <c r="G35" s="144">
        <v>2.4492784858856167</v>
      </c>
      <c r="H35" s="145">
        <v>6.9408195507229529</v>
      </c>
      <c r="I35" s="146">
        <v>4.368633481925623</v>
      </c>
      <c r="J35" s="147">
        <v>0.87913927182224427</v>
      </c>
      <c r="K35" s="148">
        <v>162</v>
      </c>
      <c r="M35" s="149">
        <f t="shared" si="0"/>
        <v>0.62941176470588234</v>
      </c>
      <c r="N35" s="138">
        <f t="shared" si="1"/>
        <v>4.368633481925623</v>
      </c>
      <c r="O35" s="149"/>
      <c r="V35" s="158">
        <f t="shared" si="2"/>
        <v>140.52018842371874</v>
      </c>
      <c r="W35" s="158">
        <f t="shared" si="3"/>
        <v>44.718076002135135</v>
      </c>
      <c r="X35" s="158">
        <f t="shared" si="4"/>
        <v>23.771806531491897</v>
      </c>
      <c r="Y35" s="158">
        <f t="shared" si="5"/>
        <v>17.706299577081698</v>
      </c>
      <c r="Z35" s="158">
        <f t="shared" si="6"/>
        <v>7.3538122646602329</v>
      </c>
      <c r="AA35" s="158">
        <f t="shared" si="7"/>
        <v>0.66132588295538031</v>
      </c>
    </row>
    <row r="36" spans="1:27" ht="19.5" thickBot="1" x14ac:dyDescent="0.35">
      <c r="A36" s="142">
        <v>262</v>
      </c>
      <c r="B36" s="143" t="s">
        <v>476</v>
      </c>
      <c r="C36" s="142">
        <v>5060</v>
      </c>
      <c r="D36" s="143" t="s">
        <v>82</v>
      </c>
      <c r="E36" s="142">
        <v>4085</v>
      </c>
      <c r="F36" s="143" t="s">
        <v>482</v>
      </c>
      <c r="G36" s="144">
        <v>3.7485407748762594</v>
      </c>
      <c r="H36" s="145">
        <v>2.6677047418085249</v>
      </c>
      <c r="I36" s="146">
        <v>2.1981887072502246</v>
      </c>
      <c r="J36" s="147">
        <v>0.93918586007968874</v>
      </c>
      <c r="K36" s="148">
        <v>237</v>
      </c>
      <c r="M36" s="149">
        <f t="shared" si="0"/>
        <v>0.82400000000000007</v>
      </c>
      <c r="N36" s="138">
        <f t="shared" si="1"/>
        <v>2.1981887072502246</v>
      </c>
      <c r="O36" s="149"/>
      <c r="V36" s="158">
        <f t="shared" si="2"/>
        <v>175.49482087224445</v>
      </c>
      <c r="W36" s="158">
        <f t="shared" si="3"/>
        <v>63.497714670877642</v>
      </c>
      <c r="X36" s="158">
        <f t="shared" si="4"/>
        <v>39.010555597571475</v>
      </c>
      <c r="Y36" s="158">
        <f t="shared" si="5"/>
        <v>31.919697062544415</v>
      </c>
      <c r="Z36" s="158">
        <f t="shared" si="6"/>
        <v>19.817159950676377</v>
      </c>
      <c r="AA36" s="158">
        <f t="shared" si="7"/>
        <v>11.993333428515752</v>
      </c>
    </row>
    <row r="37" spans="1:27" ht="19.5" thickBot="1" x14ac:dyDescent="0.35">
      <c r="A37" s="142">
        <v>262</v>
      </c>
      <c r="B37" s="143" t="s">
        <v>476</v>
      </c>
      <c r="C37" s="142">
        <v>5060</v>
      </c>
      <c r="D37" s="143" t="s">
        <v>82</v>
      </c>
      <c r="E37" s="142">
        <v>4066</v>
      </c>
      <c r="F37" s="143" t="s">
        <v>483</v>
      </c>
      <c r="G37" s="144">
        <v>5.8039269676717034</v>
      </c>
      <c r="H37" s="145">
        <v>2.0675656442337877</v>
      </c>
      <c r="I37" s="146">
        <v>0.92351265442442532</v>
      </c>
      <c r="J37" s="147">
        <v>0.97445049753958535</v>
      </c>
      <c r="K37" s="148">
        <v>267</v>
      </c>
      <c r="M37" s="149">
        <f t="shared" si="0"/>
        <v>0.44666666666666671</v>
      </c>
      <c r="N37" s="138">
        <f t="shared" si="1"/>
        <v>0.92351265442442532</v>
      </c>
      <c r="O37" s="149"/>
      <c r="V37" s="158">
        <f t="shared" si="2"/>
        <v>520.08689212923525</v>
      </c>
      <c r="W37" s="158">
        <f t="shared" si="3"/>
        <v>200.18989071783287</v>
      </c>
      <c r="X37" s="158">
        <f t="shared" si="4"/>
        <v>130.24729107110147</v>
      </c>
      <c r="Y37" s="158">
        <f t="shared" si="5"/>
        <v>109.99369292268854</v>
      </c>
      <c r="Z37" s="158">
        <f t="shared" si="6"/>
        <v>75.425252157836439</v>
      </c>
      <c r="AA37" s="158">
        <f t="shared" si="7"/>
        <v>53.078079727307681</v>
      </c>
    </row>
    <row r="38" spans="1:27" ht="19.5" thickBot="1" x14ac:dyDescent="0.35">
      <c r="A38" s="142">
        <v>262</v>
      </c>
      <c r="B38" s="143" t="s">
        <v>476</v>
      </c>
      <c r="C38" s="142">
        <v>5060</v>
      </c>
      <c r="D38" s="143" t="s">
        <v>82</v>
      </c>
      <c r="E38" s="142">
        <v>4067</v>
      </c>
      <c r="F38" s="143" t="s">
        <v>484</v>
      </c>
      <c r="G38" s="144">
        <v>2.9206349206349214</v>
      </c>
      <c r="H38" s="145">
        <v>4.1086956521739122</v>
      </c>
      <c r="I38" s="146">
        <v>2.5217119565217385</v>
      </c>
      <c r="J38" s="147">
        <v>0.93023540551508332</v>
      </c>
      <c r="K38" s="148">
        <v>230</v>
      </c>
      <c r="M38" s="149">
        <f t="shared" si="0"/>
        <v>0.61375000000000002</v>
      </c>
      <c r="N38" s="138">
        <f t="shared" si="1"/>
        <v>2.5217119565217385</v>
      </c>
      <c r="O38" s="149"/>
      <c r="V38" s="158">
        <f t="shared" si="2"/>
        <v>181.82615910949525</v>
      </c>
      <c r="W38" s="158">
        <f t="shared" si="3"/>
        <v>64.672045551120831</v>
      </c>
      <c r="X38" s="158">
        <f t="shared" si="4"/>
        <v>39.057353242570102</v>
      </c>
      <c r="Y38" s="158">
        <f t="shared" si="5"/>
        <v>31.639989756898263</v>
      </c>
      <c r="Z38" s="158">
        <f t="shared" si="6"/>
        <v>18.980180452549238</v>
      </c>
      <c r="AA38" s="158">
        <f t="shared" si="7"/>
        <v>10.796098810384082</v>
      </c>
    </row>
    <row r="39" spans="1:27" ht="19.5" thickBot="1" x14ac:dyDescent="0.35">
      <c r="A39" s="142">
        <v>262</v>
      </c>
      <c r="B39" s="143" t="s">
        <v>476</v>
      </c>
      <c r="C39" s="142">
        <v>5060</v>
      </c>
      <c r="D39" s="143" t="s">
        <v>82</v>
      </c>
      <c r="E39" s="142">
        <v>4095</v>
      </c>
      <c r="F39" s="143" t="s">
        <v>93</v>
      </c>
      <c r="G39" s="144">
        <v>4.1371847501813255</v>
      </c>
      <c r="H39" s="145">
        <v>3.6256538940743646</v>
      </c>
      <c r="I39" s="146">
        <v>2.2515310682201801</v>
      </c>
      <c r="J39" s="147">
        <v>0.93771011334647725</v>
      </c>
      <c r="K39" s="148">
        <v>236</v>
      </c>
      <c r="M39" s="149">
        <f t="shared" si="0"/>
        <v>0.62099999999999989</v>
      </c>
      <c r="N39" s="138">
        <f t="shared" si="1"/>
        <v>2.2515310682201801</v>
      </c>
      <c r="O39" s="149"/>
      <c r="V39" s="158">
        <f t="shared" si="2"/>
        <v>256.60176912453068</v>
      </c>
      <c r="W39" s="158">
        <f t="shared" si="3"/>
        <v>92.586194852779172</v>
      </c>
      <c r="X39" s="158">
        <f t="shared" si="4"/>
        <v>56.725666005980933</v>
      </c>
      <c r="Y39" s="158">
        <f t="shared" si="5"/>
        <v>46.34136882055936</v>
      </c>
      <c r="Z39" s="158">
        <f t="shared" si="6"/>
        <v>28.617655754444474</v>
      </c>
      <c r="AA39" s="158">
        <f t="shared" si="7"/>
        <v>17.159954358771497</v>
      </c>
    </row>
    <row r="40" spans="1:27" ht="19.5" thickBot="1" x14ac:dyDescent="0.35">
      <c r="A40" s="142">
        <v>262</v>
      </c>
      <c r="B40" s="143" t="s">
        <v>476</v>
      </c>
      <c r="C40" s="142">
        <v>5060</v>
      </c>
      <c r="D40" s="143" t="s">
        <v>82</v>
      </c>
      <c r="E40" s="142">
        <v>4087</v>
      </c>
      <c r="F40" s="143" t="s">
        <v>94</v>
      </c>
      <c r="G40" s="144">
        <v>7.6785695594795067</v>
      </c>
      <c r="H40" s="145">
        <v>6.1209317224946656</v>
      </c>
      <c r="I40" s="146">
        <v>4.8296755942279717</v>
      </c>
      <c r="J40" s="147">
        <v>0.86638427975344035</v>
      </c>
      <c r="K40" s="148">
        <v>139</v>
      </c>
      <c r="M40" s="149">
        <f t="shared" si="0"/>
        <v>0.7890425531914893</v>
      </c>
      <c r="N40" s="138">
        <f t="shared" si="1"/>
        <v>4.8296755942279717</v>
      </c>
      <c r="O40" s="149"/>
      <c r="V40" s="158">
        <f t="shared" si="2"/>
        <v>346.31251977066825</v>
      </c>
      <c r="W40" s="158">
        <f t="shared" si="3"/>
        <v>106.73190701964936</v>
      </c>
      <c r="X40" s="158">
        <f t="shared" si="4"/>
        <v>54.349762745614839</v>
      </c>
      <c r="Y40" s="158">
        <f t="shared" si="5"/>
        <v>39.181225893438182</v>
      </c>
      <c r="Z40" s="158">
        <f t="shared" si="6"/>
        <v>13.291867181883315</v>
      </c>
      <c r="AA40" s="158">
        <f t="shared" si="7"/>
        <v>-3.4446112487892067</v>
      </c>
    </row>
    <row r="41" spans="1:27" ht="19.5" thickBot="1" x14ac:dyDescent="0.35">
      <c r="A41" s="142">
        <v>262</v>
      </c>
      <c r="B41" s="143" t="s">
        <v>476</v>
      </c>
      <c r="C41" s="142">
        <v>5060</v>
      </c>
      <c r="D41" s="143" t="s">
        <v>82</v>
      </c>
      <c r="E41" s="142">
        <v>4073</v>
      </c>
      <c r="F41" s="143" t="s">
        <v>485</v>
      </c>
      <c r="G41" s="144">
        <v>2.4205745913741672</v>
      </c>
      <c r="H41" s="145">
        <v>2.4787503022552109</v>
      </c>
      <c r="I41" s="146">
        <v>2.8340378455784578</v>
      </c>
      <c r="J41" s="147">
        <v>0.92159473228480793</v>
      </c>
      <c r="K41" s="148">
        <v>219</v>
      </c>
      <c r="M41" s="149">
        <f t="shared" si="0"/>
        <v>1.1433333333333333</v>
      </c>
      <c r="N41" s="138">
        <f t="shared" si="1"/>
        <v>2.8340378455784578</v>
      </c>
      <c r="O41" s="149"/>
      <c r="V41" s="158">
        <f t="shared" si="2"/>
        <v>80.142580090685442</v>
      </c>
      <c r="W41" s="158">
        <f t="shared" si="3"/>
        <v>28.021023320232686</v>
      </c>
      <c r="X41" s="158">
        <f t="shared" si="4"/>
        <v>16.625114130474905</v>
      </c>
      <c r="Y41" s="158">
        <f t="shared" si="5"/>
        <v>13.325148638329427</v>
      </c>
      <c r="Z41" s="158">
        <f t="shared" si="6"/>
        <v>7.692832799663206</v>
      </c>
      <c r="AA41" s="158">
        <f t="shared" si="7"/>
        <v>4.0517564177093988</v>
      </c>
    </row>
    <row r="42" spans="1:27" ht="19.5" thickBot="1" x14ac:dyDescent="0.35">
      <c r="A42" s="142">
        <v>262</v>
      </c>
      <c r="B42" s="143" t="s">
        <v>476</v>
      </c>
      <c r="C42" s="142">
        <v>5060</v>
      </c>
      <c r="D42" s="143" t="s">
        <v>82</v>
      </c>
      <c r="E42" s="142">
        <v>4074</v>
      </c>
      <c r="F42" s="143" t="s">
        <v>486</v>
      </c>
      <c r="G42" s="144">
        <v>1.6157698529477824</v>
      </c>
      <c r="H42" s="145">
        <v>6.8079002587724924</v>
      </c>
      <c r="I42" s="146">
        <v>5.2327996989019478</v>
      </c>
      <c r="J42" s="147">
        <v>0.85523162228320859</v>
      </c>
      <c r="K42" s="148">
        <v>126</v>
      </c>
      <c r="M42" s="149">
        <f t="shared" si="0"/>
        <v>0.76863636363636367</v>
      </c>
      <c r="N42" s="138">
        <f t="shared" si="1"/>
        <v>5.2327996989019478</v>
      </c>
      <c r="O42" s="149"/>
      <c r="V42" s="158">
        <f t="shared" si="2"/>
        <v>73.844823345700519</v>
      </c>
      <c r="W42" s="158">
        <f t="shared" si="3"/>
        <v>22.092440856642053</v>
      </c>
      <c r="X42" s="158">
        <f t="shared" si="4"/>
        <v>10.777248300205333</v>
      </c>
      <c r="Y42" s="158">
        <f t="shared" si="5"/>
        <v>7.500656292366056</v>
      </c>
      <c r="Z42" s="158">
        <f t="shared" si="6"/>
        <v>1.9082338544568904</v>
      </c>
      <c r="AA42" s="158">
        <f t="shared" si="7"/>
        <v>-1.707052972462529</v>
      </c>
    </row>
    <row r="43" spans="1:27" ht="19.5" thickBot="1" x14ac:dyDescent="0.35">
      <c r="A43" s="142">
        <v>262</v>
      </c>
      <c r="B43" s="143" t="s">
        <v>476</v>
      </c>
      <c r="C43" s="142">
        <v>5060</v>
      </c>
      <c r="D43" s="143" t="s">
        <v>82</v>
      </c>
      <c r="E43" s="142">
        <v>4079</v>
      </c>
      <c r="F43" s="143" t="s">
        <v>487</v>
      </c>
      <c r="G43" s="144">
        <v>2.3852260407453945</v>
      </c>
      <c r="H43" s="145">
        <v>9.2234444971617435</v>
      </c>
      <c r="I43" s="146">
        <v>6.0308749587123485</v>
      </c>
      <c r="J43" s="147">
        <v>0.83315241663677375</v>
      </c>
      <c r="K43" s="148">
        <v>101</v>
      </c>
      <c r="M43" s="149">
        <f t="shared" si="0"/>
        <v>0.65386363636363631</v>
      </c>
      <c r="N43" s="138">
        <f t="shared" si="1"/>
        <v>6.0308749587123485</v>
      </c>
      <c r="O43" s="149"/>
      <c r="V43" s="158">
        <f t="shared" si="2"/>
        <v>124.83735152804185</v>
      </c>
      <c r="W43" s="158">
        <f t="shared" si="3"/>
        <v>35.029536456371353</v>
      </c>
      <c r="X43" s="158">
        <f t="shared" si="4"/>
        <v>15.393866140639384</v>
      </c>
      <c r="Y43" s="158">
        <f t="shared" si="5"/>
        <v>9.7078753716625794</v>
      </c>
      <c r="Z43" s="158">
        <f t="shared" si="6"/>
        <v>3.1387788575644063E-3</v>
      </c>
      <c r="AA43" s="158">
        <f t="shared" si="7"/>
        <v>-6.2706015818238026</v>
      </c>
    </row>
    <row r="44" spans="1:27" ht="19.5" thickBot="1" x14ac:dyDescent="0.35">
      <c r="A44" s="142">
        <v>262</v>
      </c>
      <c r="B44" s="143" t="s">
        <v>476</v>
      </c>
      <c r="C44" s="142">
        <v>5060</v>
      </c>
      <c r="D44" s="143" t="s">
        <v>82</v>
      </c>
      <c r="E44" s="142">
        <v>4031</v>
      </c>
      <c r="F44" s="143" t="s">
        <v>488</v>
      </c>
      <c r="G44" s="144">
        <v>2.9406015037593991</v>
      </c>
      <c r="H44" s="145">
        <v>12.922526208130909</v>
      </c>
      <c r="I44" s="146">
        <v>8.017067246228585</v>
      </c>
      <c r="J44" s="147">
        <v>0.77820327815595902</v>
      </c>
      <c r="K44" s="148">
        <v>54</v>
      </c>
      <c r="M44" s="149">
        <f t="shared" si="0"/>
        <v>0.62039473684210533</v>
      </c>
      <c r="N44" s="138">
        <f t="shared" si="1"/>
        <v>8.017067246228585</v>
      </c>
      <c r="O44" s="149"/>
      <c r="V44" s="158">
        <f t="shared" si="2"/>
        <v>151.50914849613838</v>
      </c>
      <c r="W44" s="158">
        <f t="shared" si="3"/>
        <v>34.817481477007739</v>
      </c>
      <c r="X44" s="158">
        <f t="shared" si="4"/>
        <v>9.30389894132027</v>
      </c>
      <c r="Y44" s="158">
        <f t="shared" si="5"/>
        <v>1.9158142745484035</v>
      </c>
      <c r="Z44" s="158">
        <f t="shared" si="6"/>
        <v>-10.694022520748554</v>
      </c>
      <c r="AA44" s="158">
        <f t="shared" si="7"/>
        <v>-18.845798850557593</v>
      </c>
    </row>
    <row r="45" spans="1:27" ht="19.5" thickBot="1" x14ac:dyDescent="0.35">
      <c r="A45" s="142">
        <v>262</v>
      </c>
      <c r="B45" s="143" t="s">
        <v>476</v>
      </c>
      <c r="C45" s="142">
        <v>5060</v>
      </c>
      <c r="D45" s="143" t="s">
        <v>82</v>
      </c>
      <c r="E45" s="142">
        <v>4071</v>
      </c>
      <c r="F45" s="143" t="s">
        <v>99</v>
      </c>
      <c r="G45" s="144">
        <v>8.6630214135911014</v>
      </c>
      <c r="H45" s="145">
        <v>5.7716583640849377</v>
      </c>
      <c r="I45" s="146">
        <v>3.9022182199578261</v>
      </c>
      <c r="J45" s="147">
        <v>0.89204291513035705</v>
      </c>
      <c r="K45" s="148">
        <v>186</v>
      </c>
      <c r="M45" s="149">
        <f t="shared" si="0"/>
        <v>0.67609999999999992</v>
      </c>
      <c r="N45" s="138">
        <f t="shared" si="1"/>
        <v>3.9022182199578261</v>
      </c>
      <c r="O45" s="149"/>
      <c r="V45" s="158">
        <f t="shared" si="2"/>
        <v>469.48522741882334</v>
      </c>
      <c r="W45" s="158">
        <f t="shared" si="3"/>
        <v>154.0354496009013</v>
      </c>
      <c r="X45" s="158">
        <f t="shared" si="4"/>
        <v>85.065195358990621</v>
      </c>
      <c r="Y45" s="158">
        <f t="shared" si="5"/>
        <v>65.093163712111306</v>
      </c>
      <c r="Z45" s="158">
        <f t="shared" si="6"/>
        <v>31.005295083543668</v>
      </c>
      <c r="AA45" s="158">
        <f t="shared" si="7"/>
        <v>8.96879412552682</v>
      </c>
    </row>
    <row r="46" spans="1:27" ht="19.5" thickBot="1" x14ac:dyDescent="0.35">
      <c r="A46" s="142">
        <v>262</v>
      </c>
      <c r="B46" s="143" t="s">
        <v>476</v>
      </c>
      <c r="C46" s="142">
        <v>5060</v>
      </c>
      <c r="D46" s="143" t="s">
        <v>82</v>
      </c>
      <c r="E46" s="142">
        <v>4080</v>
      </c>
      <c r="F46" s="143" t="s">
        <v>489</v>
      </c>
      <c r="G46" s="144">
        <v>2.3098195906539942</v>
      </c>
      <c r="H46" s="145">
        <v>0.43293424475496095</v>
      </c>
      <c r="I46" s="146">
        <v>0.12988027342648828</v>
      </c>
      <c r="J46" s="147">
        <v>0.99640678841857611</v>
      </c>
      <c r="K46" s="148">
        <v>283</v>
      </c>
      <c r="M46" s="149">
        <f t="shared" si="0"/>
        <v>0.3</v>
      </c>
      <c r="N46" s="138">
        <f t="shared" si="1"/>
        <v>0.12988027342648828</v>
      </c>
      <c r="O46" s="149"/>
      <c r="V46" s="158">
        <f t="shared" si="2"/>
        <v>315.1165512318787</v>
      </c>
      <c r="W46" s="158">
        <f t="shared" si="3"/>
        <v>125.56446021638531</v>
      </c>
      <c r="X46" s="158">
        <f t="shared" si="4"/>
        <v>84.120601863217018</v>
      </c>
      <c r="Y46" s="158">
        <f t="shared" si="5"/>
        <v>72.119514442325837</v>
      </c>
      <c r="Z46" s="158">
        <f t="shared" si="6"/>
        <v>51.63629577752787</v>
      </c>
      <c r="AA46" s="158">
        <f t="shared" si="7"/>
        <v>38.394679745488617</v>
      </c>
    </row>
    <row r="47" spans="1:27" ht="19.5" thickBot="1" x14ac:dyDescent="0.35">
      <c r="A47" s="142">
        <v>262</v>
      </c>
      <c r="B47" s="143" t="s">
        <v>476</v>
      </c>
      <c r="C47" s="142">
        <v>5101</v>
      </c>
      <c r="D47" s="143" t="s">
        <v>101</v>
      </c>
      <c r="E47" s="142">
        <v>4113</v>
      </c>
      <c r="F47" s="143" t="s">
        <v>490</v>
      </c>
      <c r="G47" s="144">
        <v>2.9631336405529956</v>
      </c>
      <c r="H47" s="145">
        <v>13.161741835147744</v>
      </c>
      <c r="I47" s="146">
        <v>8.526446345256609</v>
      </c>
      <c r="J47" s="147">
        <v>0.76411101587720187</v>
      </c>
      <c r="K47" s="148">
        <v>48</v>
      </c>
      <c r="M47" s="149">
        <f t="shared" si="0"/>
        <v>0.64782051282051278</v>
      </c>
      <c r="N47" s="138">
        <f t="shared" si="1"/>
        <v>8.526446345256609</v>
      </c>
      <c r="O47" s="149"/>
      <c r="V47" s="158">
        <f t="shared" si="2"/>
        <v>143.55910284175312</v>
      </c>
      <c r="W47" s="158">
        <f t="shared" si="3"/>
        <v>30.951343395675991</v>
      </c>
      <c r="X47" s="158">
        <f t="shared" si="4"/>
        <v>6.3306704875126423</v>
      </c>
      <c r="Y47" s="158">
        <f t="shared" si="5"/>
        <v>-0.79885025870058124</v>
      </c>
      <c r="Z47" s="158">
        <f t="shared" si="6"/>
        <v>-12.96737526799966</v>
      </c>
      <c r="AA47" s="158">
        <f t="shared" si="7"/>
        <v>-20.833860437457997</v>
      </c>
    </row>
    <row r="48" spans="1:27" ht="19.5" thickBot="1" x14ac:dyDescent="0.35">
      <c r="A48" s="142">
        <v>262</v>
      </c>
      <c r="B48" s="143" t="s">
        <v>476</v>
      </c>
      <c r="C48" s="142">
        <v>5101</v>
      </c>
      <c r="D48" s="143" t="s">
        <v>101</v>
      </c>
      <c r="E48" s="142">
        <v>4111</v>
      </c>
      <c r="F48" s="143" t="s">
        <v>491</v>
      </c>
      <c r="G48" s="144">
        <v>3.6627518924840063</v>
      </c>
      <c r="H48" s="145">
        <v>0.54603753098974972</v>
      </c>
      <c r="I48" s="146">
        <v>0.66207050632507147</v>
      </c>
      <c r="J48" s="147">
        <v>0.98168344315664746</v>
      </c>
      <c r="K48" s="148">
        <v>272</v>
      </c>
      <c r="M48" s="149">
        <f t="shared" si="0"/>
        <v>1.2124999999999999</v>
      </c>
      <c r="N48" s="138">
        <f t="shared" si="1"/>
        <v>0.66207050632507147</v>
      </c>
      <c r="O48" s="149"/>
      <c r="V48" s="158">
        <f t="shared" si="2"/>
        <v>121.80775860484091</v>
      </c>
      <c r="W48" s="158">
        <f t="shared" si="3"/>
        <v>47.437802008202894</v>
      </c>
      <c r="X48" s="158">
        <f t="shared" si="4"/>
        <v>31.177480476479907</v>
      </c>
      <c r="Y48" s="158">
        <f t="shared" si="5"/>
        <v>26.468904876904038</v>
      </c>
      <c r="Z48" s="158">
        <f t="shared" si="6"/>
        <v>18.432401164919355</v>
      </c>
      <c r="AA48" s="158">
        <f t="shared" si="7"/>
        <v>13.237109441697939</v>
      </c>
    </row>
    <row r="49" spans="1:27" ht="19.5" thickBot="1" x14ac:dyDescent="0.35">
      <c r="A49" s="142">
        <v>262</v>
      </c>
      <c r="B49" s="143" t="s">
        <v>476</v>
      </c>
      <c r="C49" s="142">
        <v>5101</v>
      </c>
      <c r="D49" s="143" t="s">
        <v>101</v>
      </c>
      <c r="E49" s="142">
        <v>4104</v>
      </c>
      <c r="F49" s="143" t="s">
        <v>492</v>
      </c>
      <c r="G49" s="144">
        <v>4.5139963627053952</v>
      </c>
      <c r="H49" s="145">
        <v>0</v>
      </c>
      <c r="I49" s="146">
        <v>0.28910080893770768</v>
      </c>
      <c r="J49" s="147">
        <v>0.99200186181112437</v>
      </c>
      <c r="K49" s="148">
        <v>279</v>
      </c>
      <c r="M49" s="149">
        <f t="shared" si="0"/>
        <v>0.66380236710710772</v>
      </c>
      <c r="N49" s="138">
        <f t="shared" si="1"/>
        <v>0.28910080893770768</v>
      </c>
      <c r="O49" s="149"/>
      <c r="V49" s="158">
        <f t="shared" si="2"/>
        <v>277.08475161441771</v>
      </c>
      <c r="W49" s="158">
        <f t="shared" si="3"/>
        <v>109.6698230346087</v>
      </c>
      <c r="X49" s="158">
        <f t="shared" si="4"/>
        <v>73.066055969331217</v>
      </c>
      <c r="Y49" s="158">
        <f t="shared" si="5"/>
        <v>62.466535897118874</v>
      </c>
      <c r="Z49" s="158">
        <f t="shared" si="6"/>
        <v>44.375484664286674</v>
      </c>
      <c r="AA49" s="158">
        <f t="shared" si="7"/>
        <v>32.6803132187556</v>
      </c>
    </row>
    <row r="50" spans="1:27" ht="19.5" thickBot="1" x14ac:dyDescent="0.35">
      <c r="A50" s="142">
        <v>262</v>
      </c>
      <c r="B50" s="143" t="s">
        <v>476</v>
      </c>
      <c r="C50" s="142">
        <v>5101</v>
      </c>
      <c r="D50" s="143" t="s">
        <v>101</v>
      </c>
      <c r="E50" s="142">
        <v>4008</v>
      </c>
      <c r="F50" s="143" t="s">
        <v>493</v>
      </c>
      <c r="G50" s="144">
        <v>2.2098362646270302</v>
      </c>
      <c r="H50" s="145">
        <v>3.1676555010203167</v>
      </c>
      <c r="I50" s="146">
        <v>1.90059330061219</v>
      </c>
      <c r="J50" s="147">
        <v>0.94741900614182384</v>
      </c>
      <c r="K50" s="148">
        <v>242</v>
      </c>
      <c r="M50" s="149">
        <f t="shared" si="0"/>
        <v>0.6</v>
      </c>
      <c r="N50" s="138">
        <f t="shared" si="1"/>
        <v>1.90059330061219</v>
      </c>
      <c r="O50" s="149"/>
      <c r="V50" s="158">
        <f t="shared" si="2"/>
        <v>143.32721760989625</v>
      </c>
      <c r="W50" s="158">
        <f t="shared" si="3"/>
        <v>52.653667507370599</v>
      </c>
      <c r="X50" s="158">
        <f t="shared" si="4"/>
        <v>32.828712020486364</v>
      </c>
      <c r="Y50" s="158">
        <f t="shared" si="5"/>
        <v>27.087909079652423</v>
      </c>
      <c r="Z50" s="158">
        <f t="shared" si="6"/>
        <v>17.289620155940476</v>
      </c>
      <c r="AA50" s="158">
        <f t="shared" si="7"/>
        <v>10.955401797877728</v>
      </c>
    </row>
    <row r="51" spans="1:27" ht="19.5" thickBot="1" x14ac:dyDescent="0.35">
      <c r="A51" s="142">
        <v>262</v>
      </c>
      <c r="B51" s="143" t="s">
        <v>476</v>
      </c>
      <c r="C51" s="142">
        <v>5101</v>
      </c>
      <c r="D51" s="143" t="s">
        <v>101</v>
      </c>
      <c r="E51" s="142">
        <v>4007</v>
      </c>
      <c r="F51" s="143" t="s">
        <v>494</v>
      </c>
      <c r="G51" s="144">
        <v>7.7514398573821319</v>
      </c>
      <c r="H51" s="145">
        <v>12.771820696733748</v>
      </c>
      <c r="I51" s="146">
        <v>8.8409381045168054</v>
      </c>
      <c r="J51" s="147">
        <v>0.75541042261678104</v>
      </c>
      <c r="K51" s="148">
        <v>40</v>
      </c>
      <c r="M51" s="149">
        <f t="shared" si="0"/>
        <v>0.69222222222222218</v>
      </c>
      <c r="N51" s="138">
        <f t="shared" si="1"/>
        <v>8.8409381045168054</v>
      </c>
      <c r="O51" s="149"/>
      <c r="V51" s="158">
        <f t="shared" si="2"/>
        <v>347.45418612517915</v>
      </c>
      <c r="W51" s="158">
        <f t="shared" si="3"/>
        <v>71.772054348843227</v>
      </c>
      <c r="X51" s="158">
        <f t="shared" si="4"/>
        <v>11.496637925691889</v>
      </c>
      <c r="Y51" s="158">
        <f t="shared" si="5"/>
        <v>-5.9575898071745721</v>
      </c>
      <c r="Z51" s="158">
        <f t="shared" si="6"/>
        <v>-35.748120509844483</v>
      </c>
      <c r="AA51" s="158">
        <f t="shared" si="7"/>
        <v>-55.006557155515196</v>
      </c>
    </row>
    <row r="52" spans="1:27" ht="19.5" thickBot="1" x14ac:dyDescent="0.35">
      <c r="A52" s="142">
        <v>262</v>
      </c>
      <c r="B52" s="143" t="s">
        <v>476</v>
      </c>
      <c r="C52" s="142">
        <v>5101</v>
      </c>
      <c r="D52" s="143" t="s">
        <v>101</v>
      </c>
      <c r="E52" s="142">
        <v>4015</v>
      </c>
      <c r="F52" s="143" t="s">
        <v>107</v>
      </c>
      <c r="G52" s="144">
        <v>4.7798890689306095</v>
      </c>
      <c r="H52" s="145">
        <v>2.9289382657435143</v>
      </c>
      <c r="I52" s="146">
        <v>2.4477555506570794</v>
      </c>
      <c r="J52" s="147">
        <v>0.93228145151623998</v>
      </c>
      <c r="K52" s="148">
        <v>233</v>
      </c>
      <c r="M52" s="149">
        <f t="shared" si="0"/>
        <v>0.83571428571428552</v>
      </c>
      <c r="N52" s="138">
        <f t="shared" si="1"/>
        <v>2.4477555506570794</v>
      </c>
      <c r="O52" s="149"/>
      <c r="V52" s="158">
        <f t="shared" si="2"/>
        <v>219.02050024873114</v>
      </c>
      <c r="W52" s="158">
        <f t="shared" si="3"/>
        <v>78.211062131985699</v>
      </c>
      <c r="X52" s="158">
        <f t="shared" si="4"/>
        <v>47.424346053909701</v>
      </c>
      <c r="Y52" s="158">
        <f t="shared" si="5"/>
        <v>38.509296014248015</v>
      </c>
      <c r="Z52" s="158">
        <f t="shared" si="6"/>
        <v>23.293264919255318</v>
      </c>
      <c r="AA52" s="158">
        <f t="shared" si="7"/>
        <v>13.456683833601485</v>
      </c>
    </row>
    <row r="53" spans="1:27" ht="19.5" thickBot="1" x14ac:dyDescent="0.35">
      <c r="A53" s="142">
        <v>262</v>
      </c>
      <c r="B53" s="143" t="s">
        <v>476</v>
      </c>
      <c r="C53" s="142">
        <v>5101</v>
      </c>
      <c r="D53" s="143" t="s">
        <v>101</v>
      </c>
      <c r="E53" s="142">
        <v>4109</v>
      </c>
      <c r="F53" s="143" t="s">
        <v>495</v>
      </c>
      <c r="G53" s="144">
        <v>2.5187938061803754</v>
      </c>
      <c r="H53" s="145">
        <v>3.1761234208097404</v>
      </c>
      <c r="I53" s="146">
        <v>2.5825853565459203</v>
      </c>
      <c r="J53" s="147">
        <v>0.92855130830619248</v>
      </c>
      <c r="K53" s="148">
        <v>227</v>
      </c>
      <c r="M53" s="149">
        <f t="shared" si="0"/>
        <v>0.81312499999999999</v>
      </c>
      <c r="N53" s="138">
        <f t="shared" si="1"/>
        <v>2.5825853565459203</v>
      </c>
      <c r="O53" s="149"/>
      <c r="V53" s="158">
        <f t="shared" si="2"/>
        <v>118.14597762309916</v>
      </c>
      <c r="W53" s="158">
        <f t="shared" si="3"/>
        <v>41.884173234703916</v>
      </c>
      <c r="X53" s="158">
        <f t="shared" si="4"/>
        <v>25.210216213721512</v>
      </c>
      <c r="Y53" s="158">
        <f t="shared" si="5"/>
        <v>20.3818622956145</v>
      </c>
      <c r="Z53" s="158">
        <f t="shared" si="6"/>
        <v>12.140923318413403</v>
      </c>
      <c r="AA53" s="158">
        <f t="shared" si="7"/>
        <v>6.8134720293686648</v>
      </c>
    </row>
    <row r="54" spans="1:27" ht="19.5" thickBot="1" x14ac:dyDescent="0.35">
      <c r="A54" s="142">
        <v>262</v>
      </c>
      <c r="B54" s="143" t="s">
        <v>476</v>
      </c>
      <c r="C54" s="142">
        <v>5101</v>
      </c>
      <c r="D54" s="143" t="s">
        <v>101</v>
      </c>
      <c r="E54" s="142">
        <v>4129</v>
      </c>
      <c r="F54" s="143" t="s">
        <v>496</v>
      </c>
      <c r="G54" s="144">
        <v>2.5697043736581602</v>
      </c>
      <c r="H54" s="145">
        <v>11.674494664650014</v>
      </c>
      <c r="I54" s="146">
        <v>7.8939041424141854</v>
      </c>
      <c r="J54" s="147">
        <v>0.78161065542238051</v>
      </c>
      <c r="K54" s="148">
        <v>58</v>
      </c>
      <c r="M54" s="149">
        <f t="shared" si="0"/>
        <v>0.67616666666666669</v>
      </c>
      <c r="N54" s="138">
        <f t="shared" si="1"/>
        <v>7.8939041424141854</v>
      </c>
      <c r="O54" s="149"/>
      <c r="V54" s="158">
        <f t="shared" si="2"/>
        <v>122.01061297209873</v>
      </c>
      <c r="W54" s="158">
        <f t="shared" si="3"/>
        <v>28.448250297680811</v>
      </c>
      <c r="X54" s="158">
        <f t="shared" si="4"/>
        <v>7.9916819470346772</v>
      </c>
      <c r="Y54" s="158">
        <f t="shared" si="5"/>
        <v>2.0679799833932533</v>
      </c>
      <c r="Z54" s="158">
        <f t="shared" si="6"/>
        <v>-8.0424773752575049</v>
      </c>
      <c r="AA54" s="158">
        <f t="shared" si="7"/>
        <v>-14.57850066546631</v>
      </c>
    </row>
    <row r="55" spans="1:27" ht="19.5" thickBot="1" x14ac:dyDescent="0.35">
      <c r="A55" s="142">
        <v>262</v>
      </c>
      <c r="B55" s="143" t="s">
        <v>476</v>
      </c>
      <c r="C55" s="142">
        <v>5101</v>
      </c>
      <c r="D55" s="143" t="s">
        <v>101</v>
      </c>
      <c r="E55" s="142">
        <v>4116</v>
      </c>
      <c r="F55" s="143" t="s">
        <v>110</v>
      </c>
      <c r="G55" s="144">
        <v>5.2395012254440703</v>
      </c>
      <c r="H55" s="145">
        <v>4.1988729562965998</v>
      </c>
      <c r="I55" s="146">
        <v>2.6624671700153439</v>
      </c>
      <c r="J55" s="147">
        <v>0.92634133253596163</v>
      </c>
      <c r="K55" s="148">
        <v>226</v>
      </c>
      <c r="M55" s="149">
        <f t="shared" si="0"/>
        <v>0.63409090909090904</v>
      </c>
      <c r="N55" s="138">
        <f t="shared" si="1"/>
        <v>2.6624671700153439</v>
      </c>
      <c r="O55" s="149"/>
      <c r="V55" s="158">
        <f t="shared" si="2"/>
        <v>314.40337044795905</v>
      </c>
      <c r="W55" s="158">
        <f t="shared" si="3"/>
        <v>110.97562151189027</v>
      </c>
      <c r="X55" s="158">
        <f t="shared" si="4"/>
        <v>66.497975463020182</v>
      </c>
      <c r="Y55" s="158">
        <f t="shared" si="5"/>
        <v>53.618380277666525</v>
      </c>
      <c r="Z55" s="158">
        <f t="shared" si="6"/>
        <v>31.63574193470815</v>
      </c>
      <c r="AA55" s="158">
        <f t="shared" si="7"/>
        <v>17.424808532484008</v>
      </c>
    </row>
    <row r="56" spans="1:27" ht="19.5" thickBot="1" x14ac:dyDescent="0.35">
      <c r="A56" s="142">
        <v>262</v>
      </c>
      <c r="B56" s="143" t="s">
        <v>476</v>
      </c>
      <c r="C56" s="142">
        <v>5101</v>
      </c>
      <c r="D56" s="143" t="s">
        <v>101</v>
      </c>
      <c r="E56" s="142">
        <v>4126</v>
      </c>
      <c r="F56" s="143" t="s">
        <v>497</v>
      </c>
      <c r="G56" s="144">
        <v>2.6352440240385908</v>
      </c>
      <c r="H56" s="145">
        <v>11.76361646861514</v>
      </c>
      <c r="I56" s="146">
        <v>6.953815218947498</v>
      </c>
      <c r="J56" s="147">
        <v>0.80761874978692416</v>
      </c>
      <c r="K56" s="148">
        <v>80</v>
      </c>
      <c r="M56" s="149">
        <f t="shared" si="0"/>
        <v>0.59112903225806446</v>
      </c>
      <c r="N56" s="138">
        <f t="shared" si="1"/>
        <v>6.953815218947498</v>
      </c>
      <c r="O56" s="149"/>
      <c r="V56" s="158">
        <f t="shared" si="2"/>
        <v>147.88450499667914</v>
      </c>
      <c r="W56" s="158">
        <f t="shared" si="3"/>
        <v>38.133041135547899</v>
      </c>
      <c r="X56" s="158">
        <f t="shared" si="4"/>
        <v>14.136871544668463</v>
      </c>
      <c r="Y56" s="158">
        <f t="shared" si="5"/>
        <v>7.1881910774054694</v>
      </c>
      <c r="Z56" s="158">
        <f t="shared" si="6"/>
        <v>-4.6716793202546327</v>
      </c>
      <c r="AA56" s="158">
        <f t="shared" si="7"/>
        <v>-12.338631109694642</v>
      </c>
    </row>
    <row r="57" spans="1:27" ht="19.5" thickBot="1" x14ac:dyDescent="0.35">
      <c r="A57" s="142">
        <v>262</v>
      </c>
      <c r="B57" s="143" t="s">
        <v>476</v>
      </c>
      <c r="C57" s="142">
        <v>5101</v>
      </c>
      <c r="D57" s="143" t="s">
        <v>101</v>
      </c>
      <c r="E57" s="142">
        <v>4119</v>
      </c>
      <c r="F57" s="143" t="s">
        <v>498</v>
      </c>
      <c r="G57" s="144">
        <v>5.3559300765240208</v>
      </c>
      <c r="H57" s="145">
        <v>9.7088646149293663</v>
      </c>
      <c r="I57" s="146">
        <v>6.0316321420248693</v>
      </c>
      <c r="J57" s="147">
        <v>0.83313146873008992</v>
      </c>
      <c r="K57" s="148">
        <v>100</v>
      </c>
      <c r="M57" s="149">
        <f t="shared" si="0"/>
        <v>0.62125000000000008</v>
      </c>
      <c r="N57" s="138">
        <f t="shared" si="1"/>
        <v>6.0316321420248693</v>
      </c>
      <c r="O57" s="149"/>
      <c r="V57" s="158">
        <f t="shared" si="2"/>
        <v>295.02564386975337</v>
      </c>
      <c r="W57" s="158">
        <f t="shared" si="3"/>
        <v>82.779274204331159</v>
      </c>
      <c r="X57" s="158">
        <f t="shared" si="4"/>
        <v>36.373516118185982</v>
      </c>
      <c r="Y57" s="158">
        <f t="shared" si="5"/>
        <v>22.935588720627912</v>
      </c>
      <c r="Z57" s="158">
        <f t="shared" si="6"/>
        <v>0</v>
      </c>
      <c r="AA57" s="158">
        <f t="shared" si="7"/>
        <v>-14.826979308152634</v>
      </c>
    </row>
    <row r="58" spans="1:27" ht="19.5" thickBot="1" x14ac:dyDescent="0.35">
      <c r="A58" s="142">
        <v>262</v>
      </c>
      <c r="B58" s="143" t="s">
        <v>476</v>
      </c>
      <c r="C58" s="142">
        <v>5101</v>
      </c>
      <c r="D58" s="143" t="s">
        <v>101</v>
      </c>
      <c r="E58" s="142">
        <v>4127</v>
      </c>
      <c r="F58" s="143" t="s">
        <v>499</v>
      </c>
      <c r="G58" s="144">
        <v>1.3827908004778966</v>
      </c>
      <c r="H58" s="145">
        <v>7.2317519009701039</v>
      </c>
      <c r="I58" s="146">
        <v>5.3912710421732122</v>
      </c>
      <c r="J58" s="147">
        <v>0.85084742250487655</v>
      </c>
      <c r="K58" s="148">
        <v>120</v>
      </c>
      <c r="M58" s="149">
        <f t="shared" si="0"/>
        <v>0.74549999999999994</v>
      </c>
      <c r="N58" s="138">
        <f t="shared" si="1"/>
        <v>5.3912710421732122</v>
      </c>
      <c r="O58" s="149"/>
      <c r="V58" s="158">
        <f t="shared" si="2"/>
        <v>64.824362224640822</v>
      </c>
      <c r="W58" s="158">
        <f t="shared" si="3"/>
        <v>19.159662347613374</v>
      </c>
      <c r="X58" s="158">
        <f t="shared" si="4"/>
        <v>9.1754867929961517</v>
      </c>
      <c r="Y58" s="158">
        <f t="shared" si="5"/>
        <v>6.2843234598089079</v>
      </c>
      <c r="Z58" s="158">
        <f t="shared" si="6"/>
        <v>1.3497430611834327</v>
      </c>
      <c r="AA58" s="158">
        <f t="shared" si="7"/>
        <v>-1.8402740932065091</v>
      </c>
    </row>
    <row r="59" spans="1:27" ht="19.5" thickBot="1" x14ac:dyDescent="0.35">
      <c r="A59" s="142">
        <v>262</v>
      </c>
      <c r="B59" s="143" t="s">
        <v>476</v>
      </c>
      <c r="C59" s="142">
        <v>5101</v>
      </c>
      <c r="D59" s="143" t="s">
        <v>101</v>
      </c>
      <c r="E59" s="142">
        <v>4121</v>
      </c>
      <c r="F59" s="143" t="s">
        <v>500</v>
      </c>
      <c r="G59" s="144">
        <v>3.0026688585262442</v>
      </c>
      <c r="H59" s="145">
        <v>7.9928893696854626</v>
      </c>
      <c r="I59" s="146">
        <v>5.3402492101211001</v>
      </c>
      <c r="J59" s="147">
        <v>0.85225897048670984</v>
      </c>
      <c r="K59" s="148">
        <v>122</v>
      </c>
      <c r="M59" s="149">
        <f t="shared" si="0"/>
        <v>0.66812500000000008</v>
      </c>
      <c r="N59" s="138">
        <f t="shared" si="1"/>
        <v>5.3402492101211001</v>
      </c>
      <c r="O59" s="149"/>
      <c r="V59" s="158">
        <f t="shared" si="2"/>
        <v>157.32546703100158</v>
      </c>
      <c r="W59" s="158">
        <f t="shared" si="3"/>
        <v>46.683091631761016</v>
      </c>
      <c r="X59" s="158">
        <f t="shared" si="4"/>
        <v>22.492132253057026</v>
      </c>
      <c r="Y59" s="158">
        <f t="shared" si="5"/>
        <v>15.487045616936435</v>
      </c>
      <c r="Z59" s="158">
        <f t="shared" si="6"/>
        <v>3.5309022858134509</v>
      </c>
      <c r="AA59" s="158">
        <f t="shared" si="7"/>
        <v>-4.1982862663177851</v>
      </c>
    </row>
    <row r="60" spans="1:27" ht="19.5" thickBot="1" x14ac:dyDescent="0.35">
      <c r="A60" s="142">
        <v>262</v>
      </c>
      <c r="B60" s="143" t="s">
        <v>476</v>
      </c>
      <c r="C60" s="142">
        <v>5101</v>
      </c>
      <c r="D60" s="143" t="s">
        <v>101</v>
      </c>
      <c r="E60" s="142">
        <v>4101</v>
      </c>
      <c r="F60" s="143" t="s">
        <v>501</v>
      </c>
      <c r="G60" s="144">
        <v>8.0969419466873145</v>
      </c>
      <c r="H60" s="145">
        <v>2.4700683457638668</v>
      </c>
      <c r="I60" s="146">
        <v>4.5140499018834666</v>
      </c>
      <c r="J60" s="147">
        <v>0.87511624391710618</v>
      </c>
      <c r="K60" s="148">
        <v>151</v>
      </c>
      <c r="M60" s="149">
        <f t="shared" si="0"/>
        <v>1.8274999999999999</v>
      </c>
      <c r="N60" s="138">
        <f t="shared" si="1"/>
        <v>4.5140499018834666</v>
      </c>
      <c r="O60" s="149"/>
      <c r="V60" s="158">
        <f t="shared" si="2"/>
        <v>159.26014853660325</v>
      </c>
      <c r="W60" s="158">
        <f t="shared" si="3"/>
        <v>50.182588718832235</v>
      </c>
      <c r="X60" s="158">
        <f t="shared" si="4"/>
        <v>26.333762180551275</v>
      </c>
      <c r="Y60" s="158">
        <f t="shared" si="5"/>
        <v>19.427748514241674</v>
      </c>
      <c r="Z60" s="158">
        <f t="shared" si="6"/>
        <v>7.6407009686286695</v>
      </c>
      <c r="AA60" s="158">
        <f t="shared" si="7"/>
        <v>2.0826362757610573E-2</v>
      </c>
    </row>
    <row r="61" spans="1:27" ht="19.5" thickBot="1" x14ac:dyDescent="0.35">
      <c r="A61" s="142">
        <v>262</v>
      </c>
      <c r="B61" s="143" t="s">
        <v>476</v>
      </c>
      <c r="C61" s="142">
        <v>5101</v>
      </c>
      <c r="D61" s="143" t="s">
        <v>101</v>
      </c>
      <c r="E61" s="142">
        <v>4110</v>
      </c>
      <c r="F61" s="143" t="s">
        <v>116</v>
      </c>
      <c r="G61" s="144">
        <v>1.8954203691045792</v>
      </c>
      <c r="H61" s="145">
        <v>5.8034619545618478</v>
      </c>
      <c r="I61" s="146">
        <v>4.4159069599711511</v>
      </c>
      <c r="J61" s="147">
        <v>0.87783142418436932</v>
      </c>
      <c r="K61" s="148">
        <v>156</v>
      </c>
      <c r="M61" s="149">
        <f t="shared" si="0"/>
        <v>0.76090909090909087</v>
      </c>
      <c r="N61" s="138">
        <f t="shared" si="1"/>
        <v>4.4159069599711511</v>
      </c>
      <c r="O61" s="149"/>
      <c r="V61" s="158">
        <f t="shared" si="2"/>
        <v>89.817637056391959</v>
      </c>
      <c r="W61" s="158">
        <f t="shared" si="3"/>
        <v>28.491650353997166</v>
      </c>
      <c r="X61" s="158">
        <f t="shared" si="4"/>
        <v>15.083275417871594</v>
      </c>
      <c r="Y61" s="158">
        <f t="shared" si="5"/>
        <v>11.200551024566463</v>
      </c>
      <c r="Z61" s="158">
        <f t="shared" si="6"/>
        <v>4.5735938186078586</v>
      </c>
      <c r="AA61" s="158">
        <f t="shared" si="7"/>
        <v>0.28951990336583422</v>
      </c>
    </row>
    <row r="62" spans="1:27" ht="19.5" thickBot="1" x14ac:dyDescent="0.35">
      <c r="A62" s="142">
        <v>262</v>
      </c>
      <c r="B62" s="143" t="s">
        <v>476</v>
      </c>
      <c r="C62" s="142">
        <v>5101</v>
      </c>
      <c r="D62" s="143" t="s">
        <v>101</v>
      </c>
      <c r="E62" s="142">
        <v>4107</v>
      </c>
      <c r="F62" s="143" t="s">
        <v>117</v>
      </c>
      <c r="G62" s="144">
        <v>2.1204174576225512</v>
      </c>
      <c r="H62" s="145">
        <v>9.9037101984368512</v>
      </c>
      <c r="I62" s="146">
        <v>6.5223005735419832</v>
      </c>
      <c r="J62" s="147">
        <v>0.81955684770217618</v>
      </c>
      <c r="K62" s="148">
        <v>85</v>
      </c>
      <c r="M62" s="149">
        <f t="shared" si="0"/>
        <v>0.65857142857142859</v>
      </c>
      <c r="N62" s="138">
        <f t="shared" si="1"/>
        <v>6.5223005735419832</v>
      </c>
      <c r="O62" s="149"/>
      <c r="V62" s="158">
        <f t="shared" si="2"/>
        <v>108.3865269689633</v>
      </c>
      <c r="W62" s="158">
        <f t="shared" si="3"/>
        <v>29.11992160888693</v>
      </c>
      <c r="X62" s="158">
        <f t="shared" si="4"/>
        <v>11.788991904656008</v>
      </c>
      <c r="Y62" s="158">
        <f t="shared" si="5"/>
        <v>6.7703954049434127</v>
      </c>
      <c r="Z62" s="158">
        <f t="shared" si="6"/>
        <v>-1.795245848119736</v>
      </c>
      <c r="AA62" s="158">
        <f t="shared" si="7"/>
        <v>-7.3326047172209128</v>
      </c>
    </row>
    <row r="63" spans="1:27" ht="19.5" thickBot="1" x14ac:dyDescent="0.35">
      <c r="A63" s="142">
        <v>262</v>
      </c>
      <c r="B63" s="143" t="s">
        <v>476</v>
      </c>
      <c r="C63" s="142">
        <v>5101</v>
      </c>
      <c r="D63" s="143" t="s">
        <v>101</v>
      </c>
      <c r="E63" s="142">
        <v>4120</v>
      </c>
      <c r="F63" s="143" t="s">
        <v>502</v>
      </c>
      <c r="G63" s="144">
        <v>2.5505437581225676</v>
      </c>
      <c r="H63" s="145">
        <v>2.3524395458388629</v>
      </c>
      <c r="I63" s="146">
        <v>1.8035369851431282</v>
      </c>
      <c r="J63" s="147">
        <v>0.95010412427095359</v>
      </c>
      <c r="K63" s="148">
        <v>244</v>
      </c>
      <c r="M63" s="149">
        <f t="shared" si="0"/>
        <v>0.76666666666666661</v>
      </c>
      <c r="N63" s="138">
        <f t="shared" si="1"/>
        <v>1.8035369851431282</v>
      </c>
      <c r="O63" s="149"/>
      <c r="V63" s="158">
        <f t="shared" si="2"/>
        <v>129.83002243836088</v>
      </c>
      <c r="W63" s="158">
        <f t="shared" si="3"/>
        <v>47.927369110624085</v>
      </c>
      <c r="X63" s="158">
        <f t="shared" si="4"/>
        <v>30.020091247960313</v>
      </c>
      <c r="Y63" s="158">
        <f t="shared" si="5"/>
        <v>24.834598978667579</v>
      </c>
      <c r="Z63" s="158">
        <f t="shared" si="6"/>
        <v>15.984103326778138</v>
      </c>
      <c r="AA63" s="158">
        <f t="shared" si="7"/>
        <v>10.262597003313381</v>
      </c>
    </row>
    <row r="64" spans="1:27" ht="19.5" thickBot="1" x14ac:dyDescent="0.35">
      <c r="A64" s="142">
        <v>262</v>
      </c>
      <c r="B64" s="143" t="s">
        <v>476</v>
      </c>
      <c r="C64" s="142">
        <v>5006</v>
      </c>
      <c r="D64" s="143" t="s">
        <v>119</v>
      </c>
      <c r="E64" s="142">
        <v>4028</v>
      </c>
      <c r="F64" s="143" t="s">
        <v>503</v>
      </c>
      <c r="G64" s="144">
        <v>2.7952903573694758</v>
      </c>
      <c r="H64" s="145">
        <v>11.805571436612704</v>
      </c>
      <c r="I64" s="146">
        <v>7.9848592262180471</v>
      </c>
      <c r="J64" s="147">
        <v>0.77909433133488615</v>
      </c>
      <c r="K64" s="148">
        <v>55</v>
      </c>
      <c r="M64" s="149">
        <f t="shared" si="0"/>
        <v>0.67636363636363639</v>
      </c>
      <c r="N64" s="138">
        <f t="shared" si="1"/>
        <v>7.9848592262180471</v>
      </c>
      <c r="O64" s="149"/>
      <c r="V64" s="158">
        <f t="shared" si="2"/>
        <v>132.25571621409517</v>
      </c>
      <c r="W64" s="158">
        <f t="shared" si="3"/>
        <v>30.509457263026601</v>
      </c>
      <c r="X64" s="158">
        <f t="shared" si="4"/>
        <v>8.2635536629011579</v>
      </c>
      <c r="Y64" s="158">
        <f t="shared" si="5"/>
        <v>1.8217057155704139</v>
      </c>
      <c r="Z64" s="158">
        <f t="shared" si="6"/>
        <v>-9.1731129606822694</v>
      </c>
      <c r="AA64" s="158">
        <f t="shared" si="7"/>
        <v>-16.280841957543426</v>
      </c>
    </row>
    <row r="65" spans="1:27" ht="19.5" thickBot="1" x14ac:dyDescent="0.35">
      <c r="A65" s="142">
        <v>262</v>
      </c>
      <c r="B65" s="143" t="s">
        <v>476</v>
      </c>
      <c r="C65" s="142">
        <v>5006</v>
      </c>
      <c r="D65" s="143" t="s">
        <v>119</v>
      </c>
      <c r="E65" s="142">
        <v>4033</v>
      </c>
      <c r="F65" s="143" t="s">
        <v>504</v>
      </c>
      <c r="G65" s="144">
        <v>1.4210880737196536</v>
      </c>
      <c r="H65" s="145">
        <v>8.4442338387869054</v>
      </c>
      <c r="I65" s="146">
        <v>6.0411456254987996</v>
      </c>
      <c r="J65" s="147">
        <v>0.83286827280282261</v>
      </c>
      <c r="K65" s="148">
        <v>99</v>
      </c>
      <c r="M65" s="149">
        <f t="shared" si="0"/>
        <v>0.71541666666666681</v>
      </c>
      <c r="N65" s="138">
        <f t="shared" si="1"/>
        <v>6.0411456254987996</v>
      </c>
      <c r="O65" s="149"/>
      <c r="V65" s="158">
        <f t="shared" si="2"/>
        <v>67.954151013651497</v>
      </c>
      <c r="W65" s="158">
        <f t="shared" si="3"/>
        <v>19.051352235072869</v>
      </c>
      <c r="X65" s="158">
        <f t="shared" si="4"/>
        <v>8.3591955049883282</v>
      </c>
      <c r="Y65" s="158">
        <f t="shared" si="5"/>
        <v>5.2630188280451931</v>
      </c>
      <c r="Z65" s="158">
        <f t="shared" si="6"/>
        <v>-2.1474291159524653E-2</v>
      </c>
      <c r="AA65" s="158">
        <f t="shared" si="7"/>
        <v>-3.4376966121524783</v>
      </c>
    </row>
    <row r="66" spans="1:27" ht="19.5" thickBot="1" x14ac:dyDescent="0.35">
      <c r="A66" s="142">
        <v>262</v>
      </c>
      <c r="B66" s="143" t="s">
        <v>476</v>
      </c>
      <c r="C66" s="142">
        <v>5006</v>
      </c>
      <c r="D66" s="143" t="s">
        <v>119</v>
      </c>
      <c r="E66" s="142">
        <v>4037</v>
      </c>
      <c r="F66" s="143" t="s">
        <v>122</v>
      </c>
      <c r="G66" s="144">
        <v>4.3565891624630178</v>
      </c>
      <c r="H66" s="145">
        <v>16.756227699636732</v>
      </c>
      <c r="I66" s="146">
        <v>11.709848713657093</v>
      </c>
      <c r="J66" s="147">
        <v>0.67604038007781586</v>
      </c>
      <c r="K66" s="148">
        <v>16</v>
      </c>
      <c r="M66" s="149">
        <f t="shared" si="0"/>
        <v>0.69883561643835612</v>
      </c>
      <c r="N66" s="138">
        <f t="shared" si="1"/>
        <v>11.709848713657093</v>
      </c>
      <c r="O66" s="149"/>
      <c r="V66" s="158">
        <f t="shared" si="2"/>
        <v>173.10991552510183</v>
      </c>
      <c r="W66" s="158">
        <f t="shared" si="3"/>
        <v>19.632898455807386</v>
      </c>
      <c r="X66" s="158">
        <f t="shared" si="4"/>
        <v>-13.923469726734755</v>
      </c>
      <c r="Y66" s="158">
        <f t="shared" si="5"/>
        <v>-23.640540580865618</v>
      </c>
      <c r="Z66" s="158">
        <f t="shared" si="6"/>
        <v>-40.225444940450508</v>
      </c>
      <c r="AA66" s="158">
        <f t="shared" si="7"/>
        <v>-50.946950141932142</v>
      </c>
    </row>
    <row r="67" spans="1:27" ht="19.5" thickBot="1" x14ac:dyDescent="0.35">
      <c r="A67" s="142">
        <v>262</v>
      </c>
      <c r="B67" s="143" t="s">
        <v>476</v>
      </c>
      <c r="C67" s="142">
        <v>5006</v>
      </c>
      <c r="D67" s="143" t="s">
        <v>119</v>
      </c>
      <c r="E67" s="142">
        <v>4038</v>
      </c>
      <c r="F67" s="143" t="s">
        <v>123</v>
      </c>
      <c r="G67" s="144">
        <v>4.5469934366708564</v>
      </c>
      <c r="H67" s="145">
        <v>12.315830400890389</v>
      </c>
      <c r="I67" s="146">
        <v>7.9283158205731867</v>
      </c>
      <c r="J67" s="147">
        <v>0.78065863678833336</v>
      </c>
      <c r="K67" s="148">
        <v>56</v>
      </c>
      <c r="M67" s="149">
        <f t="shared" si="0"/>
        <v>0.64374999999999993</v>
      </c>
      <c r="N67" s="138">
        <f t="shared" si="1"/>
        <v>7.9283158205731867</v>
      </c>
      <c r="O67" s="149"/>
      <c r="V67" s="158">
        <f t="shared" si="2"/>
        <v>226.48841130156677</v>
      </c>
      <c r="W67" s="158">
        <f t="shared" si="3"/>
        <v>52.596708934821223</v>
      </c>
      <c r="X67" s="158">
        <f t="shared" si="4"/>
        <v>14.576853584928784</v>
      </c>
      <c r="Y67" s="158">
        <f t="shared" si="5"/>
        <v>3.5672703580134533</v>
      </c>
      <c r="Z67" s="158">
        <f t="shared" si="6"/>
        <v>-15.223668557457964</v>
      </c>
      <c r="AA67" s="158">
        <f t="shared" si="7"/>
        <v>-27.371290572927521</v>
      </c>
    </row>
    <row r="68" spans="1:27" ht="19.5" thickBot="1" x14ac:dyDescent="0.35">
      <c r="A68" s="142">
        <v>262</v>
      </c>
      <c r="B68" s="143" t="s">
        <v>476</v>
      </c>
      <c r="C68" s="142">
        <v>5006</v>
      </c>
      <c r="D68" s="143" t="s">
        <v>119</v>
      </c>
      <c r="E68" s="142">
        <v>4039</v>
      </c>
      <c r="F68" s="143" t="s">
        <v>505</v>
      </c>
      <c r="G68" s="144">
        <v>1.5103209234800916</v>
      </c>
      <c r="H68" s="145">
        <v>16.552773394938363</v>
      </c>
      <c r="I68" s="146">
        <v>11.279059791311001</v>
      </c>
      <c r="J68" s="147">
        <v>0.6879584004521665</v>
      </c>
      <c r="K68" s="148">
        <v>20</v>
      </c>
      <c r="M68" s="149">
        <f t="shared" si="0"/>
        <v>0.68140000000000001</v>
      </c>
      <c r="N68" s="138">
        <f t="shared" si="1"/>
        <v>11.279059791311001</v>
      </c>
      <c r="O68" s="149"/>
      <c r="V68" s="158">
        <f t="shared" si="2"/>
        <v>62.63354875900891</v>
      </c>
      <c r="W68" s="158">
        <f t="shared" si="3"/>
        <v>8.065442318477956</v>
      </c>
      <c r="X68" s="158">
        <f t="shared" si="4"/>
        <v>-3.8653829328094482</v>
      </c>
      <c r="Y68" s="158">
        <f t="shared" si="5"/>
        <v>-7.320246512930968</v>
      </c>
      <c r="Z68" s="158">
        <f t="shared" si="6"/>
        <v>-13.216939344739433</v>
      </c>
      <c r="AA68" s="158">
        <f t="shared" si="7"/>
        <v>-17.028925322894107</v>
      </c>
    </row>
    <row r="69" spans="1:27" ht="19.5" thickBot="1" x14ac:dyDescent="0.35">
      <c r="A69" s="142">
        <v>262</v>
      </c>
      <c r="B69" s="143" t="s">
        <v>476</v>
      </c>
      <c r="C69" s="142">
        <v>5006</v>
      </c>
      <c r="D69" s="143" t="s">
        <v>119</v>
      </c>
      <c r="E69" s="142">
        <v>4027</v>
      </c>
      <c r="F69" s="143" t="s">
        <v>506</v>
      </c>
      <c r="G69" s="144">
        <v>3.0536943670474646</v>
      </c>
      <c r="H69" s="145">
        <v>18.338442970684358</v>
      </c>
      <c r="I69" s="146">
        <v>11.69075739381128</v>
      </c>
      <c r="J69" s="147">
        <v>0.67656855229184709</v>
      </c>
      <c r="K69" s="148">
        <v>17</v>
      </c>
      <c r="M69" s="149">
        <f t="shared" si="0"/>
        <v>0.63750000000000007</v>
      </c>
      <c r="N69" s="138">
        <f t="shared" si="1"/>
        <v>11.69075739381128</v>
      </c>
      <c r="O69" s="149"/>
      <c r="V69" s="158">
        <f t="shared" si="2"/>
        <v>133.11742789285606</v>
      </c>
      <c r="W69" s="158">
        <f t="shared" si="3"/>
        <v>15.189368272827007</v>
      </c>
      <c r="X69" s="158">
        <f t="shared" si="4"/>
        <v>-10.594540375044321</v>
      </c>
      <c r="Y69" s="158">
        <f t="shared" si="5"/>
        <v>-18.060904609245028</v>
      </c>
      <c r="Z69" s="158">
        <f t="shared" si="6"/>
        <v>-30.804347422096662</v>
      </c>
      <c r="AA69" s="158">
        <f t="shared" si="7"/>
        <v>-39.042494923008277</v>
      </c>
    </row>
    <row r="70" spans="1:27" ht="19.5" thickBot="1" x14ac:dyDescent="0.35">
      <c r="A70" s="142">
        <v>262</v>
      </c>
      <c r="B70" s="143" t="s">
        <v>476</v>
      </c>
      <c r="C70" s="142">
        <v>5006</v>
      </c>
      <c r="D70" s="143" t="s">
        <v>119</v>
      </c>
      <c r="E70" s="142">
        <v>4029</v>
      </c>
      <c r="F70" s="143" t="s">
        <v>507</v>
      </c>
      <c r="G70" s="144">
        <v>2.1938047859956189</v>
      </c>
      <c r="H70" s="145">
        <v>15.498188451881653</v>
      </c>
      <c r="I70" s="146">
        <v>10.349599082352144</v>
      </c>
      <c r="J70" s="147">
        <v>0.71367245922183586</v>
      </c>
      <c r="K70" s="148">
        <v>25</v>
      </c>
      <c r="M70" s="149">
        <f t="shared" ref="M70:M133" si="8">IF(ISERROR(I70/H70),$O$3,(I70/H70))</f>
        <v>0.66779411764705876</v>
      </c>
      <c r="N70" s="138">
        <f t="shared" ref="N70:N133" si="9">I70</f>
        <v>10.349599082352144</v>
      </c>
      <c r="O70" s="149"/>
      <c r="V70" s="158">
        <f t="shared" ref="V70:V133" si="10">(((($O$5-N70))/M70)*G70)+((((($O$5-N70)/$T$2))*$T$3/M70)*G70)</f>
        <v>96.30127991465487</v>
      </c>
      <c r="W70" s="158">
        <f t="shared" ref="W70:W133" si="11">(((($P$5-N70))/M70)*G70)+((((($P$5-N70)/$T$2))*$T$3/M70)*G70)</f>
        <v>15.423883093015837</v>
      </c>
      <c r="X70" s="158">
        <f t="shared" ref="X70:X133" si="12">(((($Q$5-N70))/M70)*G70)+((((($Q$5-N70)/$T$2))*$T$3/M70)*G70)</f>
        <v>-2.2592316639457275</v>
      </c>
      <c r="Y70" s="158">
        <f t="shared" ref="Y70:Y133" si="13">(((($R$5-N70))/M70)*G70)+((((($R$5-N70)/$T$2))*$T$3/M70)*G70)</f>
        <v>-7.3798119985159323</v>
      </c>
      <c r="Z70" s="158">
        <f t="shared" ref="Z70:Z133" si="14">(((($S$5-N70))/M70)*G70)+((((($S$5-N70)/$T$2))*$T$3/M70)*G70)</f>
        <v>-16.119517243982525</v>
      </c>
      <c r="AA70" s="158">
        <f t="shared" ref="AA70:AA133" si="15">(((($T$5-N70))/M70)*G70)+((((($T$5-N70)/$T$2))*$T$3/M70)*G70)</f>
        <v>-21.76940181473875</v>
      </c>
    </row>
    <row r="71" spans="1:27" ht="19.5" thickBot="1" x14ac:dyDescent="0.35">
      <c r="A71" s="142">
        <v>262</v>
      </c>
      <c r="B71" s="143" t="s">
        <v>476</v>
      </c>
      <c r="C71" s="142">
        <v>5006</v>
      </c>
      <c r="D71" s="143" t="s">
        <v>119</v>
      </c>
      <c r="E71" s="142">
        <v>4019</v>
      </c>
      <c r="F71" s="143" t="s">
        <v>127</v>
      </c>
      <c r="G71" s="144">
        <v>4.5919046557416676</v>
      </c>
      <c r="H71" s="145">
        <v>11.977600608764513</v>
      </c>
      <c r="I71" s="146">
        <v>7.27258131508529</v>
      </c>
      <c r="J71" s="147">
        <v>0.79879990456747751</v>
      </c>
      <c r="K71" s="148">
        <v>69</v>
      </c>
      <c r="M71" s="149">
        <f t="shared" si="8"/>
        <v>0.60718181818181827</v>
      </c>
      <c r="N71" s="138">
        <f t="shared" si="9"/>
        <v>7.27258131508529</v>
      </c>
      <c r="O71" s="149"/>
      <c r="V71" s="158">
        <f t="shared" si="10"/>
        <v>248.13603556272139</v>
      </c>
      <c r="W71" s="158">
        <f t="shared" si="11"/>
        <v>61.95052606249002</v>
      </c>
      <c r="X71" s="158">
        <f t="shared" si="12"/>
        <v>21.242740451676788</v>
      </c>
      <c r="Y71" s="158">
        <f t="shared" si="13"/>
        <v>9.454800977915939</v>
      </c>
      <c r="Z71" s="158">
        <f t="shared" si="14"/>
        <v>-10.664620986141109</v>
      </c>
      <c r="AA71" s="158">
        <f t="shared" si="15"/>
        <v>-23.671056390381242</v>
      </c>
    </row>
    <row r="72" spans="1:27" ht="19.5" thickBot="1" x14ac:dyDescent="0.35">
      <c r="A72" s="142">
        <v>262</v>
      </c>
      <c r="B72" s="143" t="s">
        <v>476</v>
      </c>
      <c r="C72" s="142">
        <v>5006</v>
      </c>
      <c r="D72" s="143" t="s">
        <v>119</v>
      </c>
      <c r="E72" s="142">
        <v>4024</v>
      </c>
      <c r="F72" s="143" t="s">
        <v>508</v>
      </c>
      <c r="G72" s="144">
        <v>2.7606706159337735</v>
      </c>
      <c r="H72" s="145">
        <v>12.678078941395746</v>
      </c>
      <c r="I72" s="146">
        <v>9.312954559522419</v>
      </c>
      <c r="J72" s="147">
        <v>0.74235181911985526</v>
      </c>
      <c r="K72" s="148">
        <v>33</v>
      </c>
      <c r="M72" s="149">
        <f t="shared" si="8"/>
        <v>0.73457142857142865</v>
      </c>
      <c r="N72" s="138">
        <f t="shared" si="9"/>
        <v>9.312954559522419</v>
      </c>
      <c r="O72" s="149"/>
      <c r="V72" s="158">
        <f t="shared" si="10"/>
        <v>114.59563324455161</v>
      </c>
      <c r="W72" s="158">
        <f t="shared" si="11"/>
        <v>22.072073311912167</v>
      </c>
      <c r="X72" s="158">
        <f t="shared" si="12"/>
        <v>1.8426298294566501</v>
      </c>
      <c r="Y72" s="158">
        <f t="shared" si="13"/>
        <v>-4.0153025483661393</v>
      </c>
      <c r="Z72" s="158">
        <f t="shared" si="14"/>
        <v>-14.013505678664961</v>
      </c>
      <c r="AA72" s="158">
        <f t="shared" si="15"/>
        <v>-20.476960911375858</v>
      </c>
    </row>
    <row r="73" spans="1:27" ht="19.5" thickBot="1" x14ac:dyDescent="0.35">
      <c r="A73" s="142">
        <v>262</v>
      </c>
      <c r="B73" s="143" t="s">
        <v>476</v>
      </c>
      <c r="C73" s="142">
        <v>5006</v>
      </c>
      <c r="D73" s="143" t="s">
        <v>119</v>
      </c>
      <c r="E73" s="142">
        <v>4047</v>
      </c>
      <c r="F73" s="143" t="s">
        <v>129</v>
      </c>
      <c r="G73" s="144">
        <v>5.5965996495066284</v>
      </c>
      <c r="H73" s="145">
        <v>22.334990499279229</v>
      </c>
      <c r="I73" s="146">
        <v>14.908159458458899</v>
      </c>
      <c r="J73" s="147">
        <v>0.58755729557215464</v>
      </c>
      <c r="K73" s="148">
        <v>9</v>
      </c>
      <c r="M73" s="149">
        <f t="shared" si="8"/>
        <v>0.66747999999999996</v>
      </c>
      <c r="N73" s="138">
        <f t="shared" si="9"/>
        <v>14.908159458458899</v>
      </c>
      <c r="O73" s="149"/>
      <c r="V73" s="158">
        <f t="shared" si="10"/>
        <v>202.35499919151937</v>
      </c>
      <c r="W73" s="158">
        <f t="shared" si="11"/>
        <v>-4.0678449417145908</v>
      </c>
      <c r="X73" s="158">
        <f t="shared" si="12"/>
        <v>-49.200341593606609</v>
      </c>
      <c r="Y73" s="158">
        <f t="shared" si="13"/>
        <v>-62.269564860098832</v>
      </c>
      <c r="Z73" s="158">
        <f t="shared" si="14"/>
        <v>-84.575856661675076</v>
      </c>
      <c r="AA73" s="158">
        <f t="shared" si="15"/>
        <v>-98.996019623793785</v>
      </c>
    </row>
    <row r="74" spans="1:27" ht="19.5" thickBot="1" x14ac:dyDescent="0.35">
      <c r="A74" s="142">
        <v>262</v>
      </c>
      <c r="B74" s="143" t="s">
        <v>476</v>
      </c>
      <c r="C74" s="142">
        <v>5006</v>
      </c>
      <c r="D74" s="143" t="s">
        <v>119</v>
      </c>
      <c r="E74" s="142">
        <v>4026</v>
      </c>
      <c r="F74" s="143" t="s">
        <v>130</v>
      </c>
      <c r="G74" s="144">
        <v>4.2868855299321398</v>
      </c>
      <c r="H74" s="145">
        <v>7.2313570734627763</v>
      </c>
      <c r="I74" s="146">
        <v>4.4951048646976677</v>
      </c>
      <c r="J74" s="147">
        <v>0.87564036913820886</v>
      </c>
      <c r="K74" s="148">
        <v>152</v>
      </c>
      <c r="M74" s="149">
        <f t="shared" si="8"/>
        <v>0.62161290322580642</v>
      </c>
      <c r="N74" s="138">
        <f t="shared" si="9"/>
        <v>4.4951048646976677</v>
      </c>
      <c r="O74" s="149"/>
      <c r="V74" s="158">
        <f t="shared" si="10"/>
        <v>248.04208472541256</v>
      </c>
      <c r="W74" s="158">
        <f t="shared" si="11"/>
        <v>78.259304863472295</v>
      </c>
      <c r="X74" s="158">
        <f t="shared" si="12"/>
        <v>41.137828430747142</v>
      </c>
      <c r="Y74" s="158">
        <f t="shared" si="13"/>
        <v>30.388392891581688</v>
      </c>
      <c r="Z74" s="158">
        <f t="shared" si="14"/>
        <v>12.041468904628029</v>
      </c>
      <c r="AA74" s="158">
        <f t="shared" si="15"/>
        <v>0.18088552757470527</v>
      </c>
    </row>
    <row r="75" spans="1:27" ht="19.5" thickBot="1" x14ac:dyDescent="0.35">
      <c r="A75" s="142">
        <v>262</v>
      </c>
      <c r="B75" s="143" t="s">
        <v>476</v>
      </c>
      <c r="C75" s="142">
        <v>5006</v>
      </c>
      <c r="D75" s="143" t="s">
        <v>119</v>
      </c>
      <c r="E75" s="142">
        <v>4045</v>
      </c>
      <c r="F75" s="143" t="s">
        <v>509</v>
      </c>
      <c r="G75" s="144">
        <v>5.9599043153562459</v>
      </c>
      <c r="H75" s="145">
        <v>19.631187651543105</v>
      </c>
      <c r="I75" s="146">
        <v>11.475016440077205</v>
      </c>
      <c r="J75" s="147">
        <v>0.68253714839265134</v>
      </c>
      <c r="K75" s="148">
        <v>19</v>
      </c>
      <c r="M75" s="149">
        <f t="shared" si="8"/>
        <v>0.58452991452991454</v>
      </c>
      <c r="N75" s="138">
        <f t="shared" si="9"/>
        <v>11.475016440077205</v>
      </c>
      <c r="O75" s="149"/>
      <c r="V75" s="158">
        <f t="shared" si="10"/>
        <v>285.84892960208634</v>
      </c>
      <c r="W75" s="158">
        <f t="shared" si="11"/>
        <v>34.831245054852751</v>
      </c>
      <c r="X75" s="158">
        <f t="shared" si="12"/>
        <v>-20.051512010937227</v>
      </c>
      <c r="Y75" s="158">
        <f t="shared" si="13"/>
        <v>-35.944162734557082</v>
      </c>
      <c r="Z75" s="158">
        <f t="shared" si="14"/>
        <v>-63.069424681110867</v>
      </c>
      <c r="AA75" s="158">
        <f t="shared" si="15"/>
        <v>-80.604867198357155</v>
      </c>
    </row>
    <row r="76" spans="1:27" ht="19.5" thickBot="1" x14ac:dyDescent="0.35">
      <c r="A76" s="142">
        <v>262</v>
      </c>
      <c r="B76" s="143" t="s">
        <v>476</v>
      </c>
      <c r="C76" s="142">
        <v>5006</v>
      </c>
      <c r="D76" s="143" t="s">
        <v>119</v>
      </c>
      <c r="E76" s="142">
        <v>4043</v>
      </c>
      <c r="F76" s="143" t="s">
        <v>132</v>
      </c>
      <c r="G76" s="144">
        <v>8.4737407849749893</v>
      </c>
      <c r="H76" s="145">
        <v>15.577535748326483</v>
      </c>
      <c r="I76" s="146">
        <v>9.9135673525618646</v>
      </c>
      <c r="J76" s="147">
        <v>0.72573552484386428</v>
      </c>
      <c r="K76" s="148">
        <v>27</v>
      </c>
      <c r="M76" s="149">
        <f t="shared" si="8"/>
        <v>0.63640151515151511</v>
      </c>
      <c r="N76" s="138">
        <f t="shared" si="9"/>
        <v>9.9135673525618646</v>
      </c>
      <c r="O76" s="149"/>
      <c r="V76" s="158">
        <f t="shared" si="10"/>
        <v>396.91735017671056</v>
      </c>
      <c r="W76" s="158">
        <f t="shared" si="11"/>
        <v>69.112221860852529</v>
      </c>
      <c r="X76" s="158">
        <f t="shared" si="12"/>
        <v>-2.5594185446027882</v>
      </c>
      <c r="Y76" s="158">
        <f t="shared" si="13"/>
        <v>-23.313702925530617</v>
      </c>
      <c r="Z76" s="158">
        <f t="shared" si="14"/>
        <v>-58.736705049981211</v>
      </c>
      <c r="AA76" s="158">
        <f t="shared" si="15"/>
        <v>-81.636318656127912</v>
      </c>
    </row>
    <row r="77" spans="1:27" ht="19.5" thickBot="1" x14ac:dyDescent="0.35">
      <c r="A77" s="142">
        <v>262</v>
      </c>
      <c r="B77" s="143" t="s">
        <v>476</v>
      </c>
      <c r="C77" s="142">
        <v>5006</v>
      </c>
      <c r="D77" s="143" t="s">
        <v>119</v>
      </c>
      <c r="E77" s="142">
        <v>4048</v>
      </c>
      <c r="F77" s="143" t="s">
        <v>510</v>
      </c>
      <c r="G77" s="144">
        <v>2.7902579681527038</v>
      </c>
      <c r="H77" s="145">
        <v>9.3181348451495882</v>
      </c>
      <c r="I77" s="146">
        <v>6.5244863406133939</v>
      </c>
      <c r="J77" s="147">
        <v>0.81949637721387114</v>
      </c>
      <c r="K77" s="148">
        <v>84</v>
      </c>
      <c r="M77" s="149">
        <f t="shared" si="8"/>
        <v>0.70019230769230767</v>
      </c>
      <c r="N77" s="138">
        <f t="shared" si="9"/>
        <v>6.5244863406133939</v>
      </c>
      <c r="O77" s="149"/>
      <c r="V77" s="158">
        <f t="shared" si="10"/>
        <v>134.13798897446696</v>
      </c>
      <c r="W77" s="158">
        <f t="shared" si="11"/>
        <v>36.031260071291975</v>
      </c>
      <c r="X77" s="158">
        <f t="shared" si="12"/>
        <v>14.581106953099619</v>
      </c>
      <c r="Y77" s="158">
        <f t="shared" si="13"/>
        <v>8.3696881086172343</v>
      </c>
      <c r="Z77" s="158">
        <f t="shared" si="14"/>
        <v>-2.231838732083955</v>
      </c>
      <c r="AA77" s="158">
        <f t="shared" si="15"/>
        <v>-9.0853196266261698</v>
      </c>
    </row>
    <row r="78" spans="1:27" ht="19.5" thickBot="1" x14ac:dyDescent="0.35">
      <c r="A78" s="142">
        <v>262</v>
      </c>
      <c r="B78" s="143" t="s">
        <v>476</v>
      </c>
      <c r="C78" s="142">
        <v>5006</v>
      </c>
      <c r="D78" s="143" t="s">
        <v>119</v>
      </c>
      <c r="E78" s="142">
        <v>4010</v>
      </c>
      <c r="F78" s="143" t="s">
        <v>134</v>
      </c>
      <c r="G78" s="144">
        <v>2.4499054331821712</v>
      </c>
      <c r="H78" s="145">
        <v>31.837963597919838</v>
      </c>
      <c r="I78" s="146">
        <v>21.370212617552475</v>
      </c>
      <c r="J78" s="147">
        <v>0.40878092223649076</v>
      </c>
      <c r="K78" s="148">
        <v>2</v>
      </c>
      <c r="M78" s="149">
        <f t="shared" si="8"/>
        <v>0.67121794871794871</v>
      </c>
      <c r="N78" s="138">
        <f t="shared" si="9"/>
        <v>21.370212617552475</v>
      </c>
      <c r="O78" s="149"/>
      <c r="V78" s="158">
        <f t="shared" si="10"/>
        <v>61.284988650949821</v>
      </c>
      <c r="W78" s="158">
        <f t="shared" si="11"/>
        <v>-28.57317384462808</v>
      </c>
      <c r="X78" s="158">
        <f t="shared" si="12"/>
        <v>-48.219852171370029</v>
      </c>
      <c r="Y78" s="158">
        <f t="shared" si="13"/>
        <v>-53.909030580390755</v>
      </c>
      <c r="Z78" s="158">
        <f t="shared" si="14"/>
        <v>-63.619207774180865</v>
      </c>
      <c r="AA78" s="158">
        <f t="shared" si="15"/>
        <v>-69.896465274937086</v>
      </c>
    </row>
    <row r="79" spans="1:27" ht="19.5" thickBot="1" x14ac:dyDescent="0.35">
      <c r="A79" s="142">
        <v>262</v>
      </c>
      <c r="B79" s="143" t="s">
        <v>476</v>
      </c>
      <c r="C79" s="142">
        <v>5006</v>
      </c>
      <c r="D79" s="143" t="s">
        <v>119</v>
      </c>
      <c r="E79" s="142">
        <v>4054</v>
      </c>
      <c r="F79" s="143" t="s">
        <v>511</v>
      </c>
      <c r="G79" s="144">
        <v>2.6774806508153159</v>
      </c>
      <c r="H79" s="145">
        <v>7.0962230835223163</v>
      </c>
      <c r="I79" s="146">
        <v>4.450078844219389</v>
      </c>
      <c r="J79" s="147">
        <v>0.87688603958514966</v>
      </c>
      <c r="K79" s="148">
        <v>154</v>
      </c>
      <c r="M79" s="149">
        <f t="shared" si="8"/>
        <v>0.62710526315789472</v>
      </c>
      <c r="N79" s="138">
        <f t="shared" si="9"/>
        <v>4.450078844219389</v>
      </c>
      <c r="O79" s="149"/>
      <c r="V79" s="158">
        <f t="shared" si="10"/>
        <v>153.78245245278094</v>
      </c>
      <c r="W79" s="158">
        <f t="shared" si="11"/>
        <v>48.669152855615053</v>
      </c>
      <c r="X79" s="158">
        <f t="shared" si="12"/>
        <v>25.68707612831049</v>
      </c>
      <c r="Y79" s="158">
        <f t="shared" si="13"/>
        <v>19.032051164957245</v>
      </c>
      <c r="Z79" s="158">
        <f t="shared" si="14"/>
        <v>7.6733861737534061</v>
      </c>
      <c r="AA79" s="158">
        <f t="shared" si="15"/>
        <v>0.3304444754072221</v>
      </c>
    </row>
    <row r="80" spans="1:27" ht="19.5" thickBot="1" x14ac:dyDescent="0.35">
      <c r="A80" s="142">
        <v>262</v>
      </c>
      <c r="B80" s="143" t="s">
        <v>476</v>
      </c>
      <c r="C80" s="142">
        <v>5006</v>
      </c>
      <c r="D80" s="143" t="s">
        <v>119</v>
      </c>
      <c r="E80" s="142">
        <v>4006</v>
      </c>
      <c r="F80" s="143" t="s">
        <v>136</v>
      </c>
      <c r="G80" s="144">
        <v>5.5613445738930185</v>
      </c>
      <c r="H80" s="145">
        <v>11.148383125018118</v>
      </c>
      <c r="I80" s="146">
        <v>6.7618539905855846</v>
      </c>
      <c r="J80" s="147">
        <v>0.81292946627016882</v>
      </c>
      <c r="K80" s="148">
        <v>81</v>
      </c>
      <c r="M80" s="149">
        <f t="shared" si="8"/>
        <v>0.60653225806451605</v>
      </c>
      <c r="N80" s="138">
        <f t="shared" si="9"/>
        <v>6.7618539905855846</v>
      </c>
      <c r="O80" s="149"/>
      <c r="V80" s="158">
        <f t="shared" si="10"/>
        <v>306.16567393444984</v>
      </c>
      <c r="W80" s="158">
        <f t="shared" si="11"/>
        <v>80.431311506074607</v>
      </c>
      <c r="X80" s="158">
        <f t="shared" si="12"/>
        <v>31.076525221181178</v>
      </c>
      <c r="Y80" s="158">
        <f t="shared" si="13"/>
        <v>16.7846342539608</v>
      </c>
      <c r="Z80" s="158">
        <f t="shared" si="14"/>
        <v>-7.608482598552488</v>
      </c>
      <c r="AA80" s="158">
        <f t="shared" si="15"/>
        <v>-23.377697997339169</v>
      </c>
    </row>
    <row r="81" spans="1:27" ht="19.5" thickBot="1" x14ac:dyDescent="0.35">
      <c r="A81" s="142">
        <v>262</v>
      </c>
      <c r="B81" s="143" t="s">
        <v>476</v>
      </c>
      <c r="C81" s="142">
        <v>5006</v>
      </c>
      <c r="D81" s="143" t="s">
        <v>119</v>
      </c>
      <c r="E81" s="142">
        <v>4020</v>
      </c>
      <c r="F81" s="143" t="s">
        <v>137</v>
      </c>
      <c r="G81" s="144">
        <v>4.68169107143878</v>
      </c>
      <c r="H81" s="145">
        <v>8.1167252217523647</v>
      </c>
      <c r="I81" s="146">
        <v>5.5909284915623205</v>
      </c>
      <c r="J81" s="147">
        <v>0.84532378569278943</v>
      </c>
      <c r="K81" s="148">
        <v>108</v>
      </c>
      <c r="M81" s="149">
        <f t="shared" si="8"/>
        <v>0.68881578947368427</v>
      </c>
      <c r="N81" s="138">
        <f t="shared" si="9"/>
        <v>5.5909284915623205</v>
      </c>
      <c r="O81" s="149"/>
      <c r="V81" s="158">
        <f t="shared" si="10"/>
        <v>235.99373815842486</v>
      </c>
      <c r="W81" s="158">
        <f t="shared" si="11"/>
        <v>68.664654450995201</v>
      </c>
      <c r="X81" s="158">
        <f t="shared" si="12"/>
        <v>32.079656594288195</v>
      </c>
      <c r="Y81" s="158">
        <f t="shared" si="13"/>
        <v>21.485571607558381</v>
      </c>
      <c r="Z81" s="158">
        <f t="shared" si="14"/>
        <v>3.4037968711382165</v>
      </c>
      <c r="AA81" s="158">
        <f t="shared" si="15"/>
        <v>-8.2853776749006034</v>
      </c>
    </row>
    <row r="82" spans="1:27" ht="19.5" thickBot="1" x14ac:dyDescent="0.35">
      <c r="A82" s="142">
        <v>262</v>
      </c>
      <c r="B82" s="143" t="s">
        <v>476</v>
      </c>
      <c r="C82" s="142">
        <v>5006</v>
      </c>
      <c r="D82" s="143" t="s">
        <v>119</v>
      </c>
      <c r="E82" s="142">
        <v>4012</v>
      </c>
      <c r="F82" s="143" t="s">
        <v>512</v>
      </c>
      <c r="G82" s="144">
        <v>2.8572871572871579</v>
      </c>
      <c r="H82" s="145">
        <v>28.348568254128573</v>
      </c>
      <c r="I82" s="146">
        <v>18.790550982273619</v>
      </c>
      <c r="J82" s="147">
        <v>0.4801487275197564</v>
      </c>
      <c r="K82" s="148">
        <v>5</v>
      </c>
      <c r="M82" s="149">
        <f t="shared" si="8"/>
        <v>0.66283950617283949</v>
      </c>
      <c r="N82" s="138">
        <f t="shared" si="9"/>
        <v>18.790550982273619</v>
      </c>
      <c r="O82" s="149"/>
      <c r="V82" s="158">
        <f t="shared" si="10"/>
        <v>85.015677009153009</v>
      </c>
      <c r="W82" s="158">
        <f t="shared" si="11"/>
        <v>-21.109219065648336</v>
      </c>
      <c r="X82" s="158">
        <f t="shared" si="12"/>
        <v>-44.31247225639936</v>
      </c>
      <c r="Y82" s="158">
        <f t="shared" si="13"/>
        <v>-51.031544298831122</v>
      </c>
      <c r="Z82" s="158">
        <f t="shared" si="14"/>
        <v>-62.499523577948857</v>
      </c>
      <c r="AA82" s="158">
        <f t="shared" si="15"/>
        <v>-69.913132774946448</v>
      </c>
    </row>
    <row r="83" spans="1:27" ht="19.5" thickBot="1" x14ac:dyDescent="0.35">
      <c r="A83" s="142">
        <v>262</v>
      </c>
      <c r="B83" s="143" t="s">
        <v>476</v>
      </c>
      <c r="C83" s="142">
        <v>5006</v>
      </c>
      <c r="D83" s="143" t="s">
        <v>119</v>
      </c>
      <c r="E83" s="142">
        <v>4023</v>
      </c>
      <c r="F83" s="143" t="s">
        <v>139</v>
      </c>
      <c r="G83" s="144">
        <v>3.2583336914296166</v>
      </c>
      <c r="H83" s="145">
        <v>2.4552426969166392</v>
      </c>
      <c r="I83" s="146">
        <v>1.6480816603052941</v>
      </c>
      <c r="J83" s="147">
        <v>0.95440488418517921</v>
      </c>
      <c r="K83" s="148">
        <v>250</v>
      </c>
      <c r="M83" s="149">
        <f t="shared" si="8"/>
        <v>0.67125000000000001</v>
      </c>
      <c r="N83" s="138">
        <f t="shared" si="9"/>
        <v>1.6480816603052941</v>
      </c>
      <c r="O83" s="149"/>
      <c r="V83" s="158">
        <f t="shared" si="10"/>
        <v>190.29248819731706</v>
      </c>
      <c r="W83" s="158">
        <f t="shared" si="11"/>
        <v>70.788325253864954</v>
      </c>
      <c r="X83" s="158">
        <f t="shared" si="12"/>
        <v>44.659815802404701</v>
      </c>
      <c r="Y83" s="158">
        <f t="shared" si="13"/>
        <v>37.093663939022896</v>
      </c>
      <c r="Z83" s="158">
        <f t="shared" si="14"/>
        <v>24.179905574182182</v>
      </c>
      <c r="AA83" s="158">
        <f t="shared" si="15"/>
        <v>15.831655594718207</v>
      </c>
    </row>
    <row r="84" spans="1:27" ht="19.5" thickBot="1" x14ac:dyDescent="0.35">
      <c r="A84" s="142">
        <v>264</v>
      </c>
      <c r="B84" s="143" t="s">
        <v>513</v>
      </c>
      <c r="C84" s="142">
        <v>5130</v>
      </c>
      <c r="D84" s="143" t="s">
        <v>141</v>
      </c>
      <c r="E84" s="142">
        <v>4132</v>
      </c>
      <c r="F84" s="143" t="s">
        <v>142</v>
      </c>
      <c r="G84" s="144">
        <v>3.7189131555400916</v>
      </c>
      <c r="H84" s="145">
        <v>8.0668729667184582</v>
      </c>
      <c r="I84" s="146">
        <v>5.4572395619850367</v>
      </c>
      <c r="J84" s="147">
        <v>0.84902236591126379</v>
      </c>
      <c r="K84" s="148">
        <v>118</v>
      </c>
      <c r="M84" s="149">
        <f t="shared" si="8"/>
        <v>0.67649999999999999</v>
      </c>
      <c r="N84" s="138">
        <f t="shared" si="9"/>
        <v>5.4572395619850367</v>
      </c>
      <c r="O84" s="149"/>
      <c r="V84" s="158">
        <f t="shared" si="10"/>
        <v>191.71014612282124</v>
      </c>
      <c r="W84" s="158">
        <f t="shared" si="11"/>
        <v>56.372066513027669</v>
      </c>
      <c r="X84" s="158">
        <f t="shared" si="12"/>
        <v>26.78161371934339</v>
      </c>
      <c r="Y84" s="158">
        <f t="shared" si="13"/>
        <v>18.21297110468657</v>
      </c>
      <c r="Z84" s="158">
        <f t="shared" si="14"/>
        <v>3.5881813518019698</v>
      </c>
      <c r="AA84" s="158">
        <f t="shared" si="15"/>
        <v>-5.8661848601749149</v>
      </c>
    </row>
    <row r="85" spans="1:27" ht="19.5" thickBot="1" x14ac:dyDescent="0.35">
      <c r="A85" s="142">
        <v>264</v>
      </c>
      <c r="B85" s="143" t="s">
        <v>513</v>
      </c>
      <c r="C85" s="142">
        <v>5130</v>
      </c>
      <c r="D85" s="143" t="s">
        <v>141</v>
      </c>
      <c r="E85" s="142">
        <v>4130</v>
      </c>
      <c r="F85" s="143" t="s">
        <v>143</v>
      </c>
      <c r="G85" s="144">
        <v>8.0608712013089097</v>
      </c>
      <c r="H85" s="145">
        <v>7.319308115284076</v>
      </c>
      <c r="I85" s="146">
        <v>5.8393192031596852</v>
      </c>
      <c r="J85" s="147">
        <v>0.8384519154843012</v>
      </c>
      <c r="K85" s="148">
        <v>105</v>
      </c>
      <c r="M85" s="149">
        <f t="shared" si="8"/>
        <v>0.79779661016949144</v>
      </c>
      <c r="N85" s="138">
        <f t="shared" si="9"/>
        <v>5.8393192031596852</v>
      </c>
      <c r="O85" s="149"/>
      <c r="V85" s="158">
        <f t="shared" si="10"/>
        <v>347.97311250502185</v>
      </c>
      <c r="W85" s="158">
        <f t="shared" si="11"/>
        <v>99.223983260011934</v>
      </c>
      <c r="X85" s="158">
        <f t="shared" si="12"/>
        <v>44.837225389524946</v>
      </c>
      <c r="Y85" s="158">
        <f t="shared" si="13"/>
        <v>29.088203419116198</v>
      </c>
      <c r="Z85" s="158">
        <f t="shared" si="14"/>
        <v>2.2080841880011675</v>
      </c>
      <c r="AA85" s="158">
        <f t="shared" si="15"/>
        <v>-15.168882956599209</v>
      </c>
    </row>
    <row r="86" spans="1:27" ht="19.5" thickBot="1" x14ac:dyDescent="0.35">
      <c r="A86" s="142">
        <v>264</v>
      </c>
      <c r="B86" s="143" t="s">
        <v>513</v>
      </c>
      <c r="C86" s="142">
        <v>5130</v>
      </c>
      <c r="D86" s="143" t="s">
        <v>141</v>
      </c>
      <c r="E86" s="142">
        <v>4134</v>
      </c>
      <c r="F86" s="143" t="s">
        <v>514</v>
      </c>
      <c r="G86" s="144">
        <v>1.0089105472865201</v>
      </c>
      <c r="H86" s="145">
        <v>0</v>
      </c>
      <c r="I86" s="146">
        <v>1.7246325798454143</v>
      </c>
      <c r="J86" s="147">
        <v>0.95228705948860681</v>
      </c>
      <c r="K86" s="148">
        <v>247</v>
      </c>
      <c r="M86" s="149">
        <f t="shared" si="8"/>
        <v>0.66380236710710772</v>
      </c>
      <c r="N86" s="138">
        <f t="shared" si="9"/>
        <v>1.7246325798454143</v>
      </c>
      <c r="O86" s="149"/>
      <c r="V86" s="158">
        <f t="shared" si="10"/>
        <v>59.451043182726465</v>
      </c>
      <c r="W86" s="158">
        <f t="shared" si="11"/>
        <v>22.032606470438733</v>
      </c>
      <c r="X86" s="158">
        <f t="shared" si="12"/>
        <v>13.851402123954943</v>
      </c>
      <c r="Y86" s="158">
        <f t="shared" si="13"/>
        <v>11.482333401307381</v>
      </c>
      <c r="Z86" s="158">
        <f t="shared" si="14"/>
        <v>7.4388537585001373</v>
      </c>
      <c r="AA86" s="158">
        <f t="shared" si="15"/>
        <v>4.8248990993411605</v>
      </c>
    </row>
    <row r="87" spans="1:27" ht="19.5" thickBot="1" x14ac:dyDescent="0.35">
      <c r="A87" s="142">
        <v>264</v>
      </c>
      <c r="B87" s="143" t="s">
        <v>513</v>
      </c>
      <c r="C87" s="142">
        <v>5130</v>
      </c>
      <c r="D87" s="143" t="s">
        <v>141</v>
      </c>
      <c r="E87" s="142">
        <v>4135</v>
      </c>
      <c r="F87" s="143" t="s">
        <v>515</v>
      </c>
      <c r="G87" s="144">
        <v>6.5973797197457635</v>
      </c>
      <c r="H87" s="145">
        <v>10.610273013465036</v>
      </c>
      <c r="I87" s="146">
        <v>7.1103986723092119</v>
      </c>
      <c r="J87" s="147">
        <v>0.80328677955591654</v>
      </c>
      <c r="K87" s="148">
        <v>76</v>
      </c>
      <c r="M87" s="149">
        <f t="shared" si="8"/>
        <v>0.67014285714285715</v>
      </c>
      <c r="N87" s="138">
        <f t="shared" si="9"/>
        <v>7.1103986723092119</v>
      </c>
      <c r="O87" s="149"/>
      <c r="V87" s="158">
        <f t="shared" si="10"/>
        <v>324.82723767055074</v>
      </c>
      <c r="W87" s="158">
        <f t="shared" si="11"/>
        <v>82.458912334981264</v>
      </c>
      <c r="X87" s="158">
        <f t="shared" si="12"/>
        <v>29.4672597993153</v>
      </c>
      <c r="Y87" s="158">
        <f t="shared" si="13"/>
        <v>14.122224854966312</v>
      </c>
      <c r="Z87" s="158">
        <f t="shared" si="14"/>
        <v>-12.068377309710321</v>
      </c>
      <c r="AA87" s="158">
        <f t="shared" si="15"/>
        <v>-28.99959809038565</v>
      </c>
    </row>
    <row r="88" spans="1:27" ht="19.5" thickBot="1" x14ac:dyDescent="0.35">
      <c r="A88" s="142">
        <v>264</v>
      </c>
      <c r="B88" s="143" t="s">
        <v>513</v>
      </c>
      <c r="C88" s="142">
        <v>5130</v>
      </c>
      <c r="D88" s="143" t="s">
        <v>141</v>
      </c>
      <c r="E88" s="142">
        <v>4133</v>
      </c>
      <c r="F88" s="143" t="s">
        <v>516</v>
      </c>
      <c r="G88" s="144">
        <v>1.6302270011947426</v>
      </c>
      <c r="H88" s="145">
        <v>-3.6804690362770258</v>
      </c>
      <c r="I88" s="146">
        <v>-4.2141370465371946</v>
      </c>
      <c r="J88" s="147">
        <v>1.11658649648513</v>
      </c>
      <c r="K88" s="148">
        <v>293</v>
      </c>
      <c r="M88" s="149">
        <f t="shared" si="8"/>
        <v>1.145</v>
      </c>
      <c r="N88" s="138">
        <f t="shared" si="9"/>
        <v>-4.2141370465371946</v>
      </c>
      <c r="O88" s="149"/>
      <c r="V88" s="158">
        <f t="shared" si="10"/>
        <v>65.29992733535201</v>
      </c>
      <c r="W88" s="158">
        <f t="shared" si="11"/>
        <v>30.2478009268604</v>
      </c>
      <c r="X88" s="158">
        <f t="shared" si="12"/>
        <v>22.583969026783191</v>
      </c>
      <c r="Y88" s="158">
        <f t="shared" si="13"/>
        <v>20.364718207323477</v>
      </c>
      <c r="Z88" s="158">
        <f t="shared" si="14"/>
        <v>16.576944798732658</v>
      </c>
      <c r="AA88" s="158">
        <f t="shared" si="15"/>
        <v>14.128294422357696</v>
      </c>
    </row>
    <row r="89" spans="1:27" ht="19.5" thickBot="1" x14ac:dyDescent="0.35">
      <c r="A89" s="142">
        <v>264</v>
      </c>
      <c r="B89" s="143" t="s">
        <v>513</v>
      </c>
      <c r="C89" s="142">
        <v>5130</v>
      </c>
      <c r="D89" s="143" t="s">
        <v>141</v>
      </c>
      <c r="E89" s="142">
        <v>4162</v>
      </c>
      <c r="F89" s="143" t="s">
        <v>517</v>
      </c>
      <c r="G89" s="144">
        <v>4.5991464216095785</v>
      </c>
      <c r="H89" s="145">
        <v>10.436719251743519</v>
      </c>
      <c r="I89" s="146">
        <v>6.7447298164392482</v>
      </c>
      <c r="J89" s="147">
        <v>0.81340321628040246</v>
      </c>
      <c r="K89" s="148">
        <v>82</v>
      </c>
      <c r="M89" s="149">
        <f t="shared" si="8"/>
        <v>0.64624999999999988</v>
      </c>
      <c r="N89" s="138">
        <f t="shared" si="9"/>
        <v>6.7447298164392482</v>
      </c>
      <c r="O89" s="149"/>
      <c r="V89" s="158">
        <f t="shared" si="10"/>
        <v>237.77177331963557</v>
      </c>
      <c r="W89" s="158">
        <f t="shared" si="11"/>
        <v>62.565983343707657</v>
      </c>
      <c r="X89" s="158">
        <f t="shared" si="12"/>
        <v>24.258814567480311</v>
      </c>
      <c r="Y89" s="158">
        <f t="shared" si="13"/>
        <v>13.166032678962148</v>
      </c>
      <c r="Z89" s="158">
        <f t="shared" si="14"/>
        <v>-5.7669080667153221</v>
      </c>
      <c r="AA89" s="158">
        <f t="shared" si="15"/>
        <v>-18.006328824472721</v>
      </c>
    </row>
    <row r="90" spans="1:27" ht="19.5" thickBot="1" x14ac:dyDescent="0.35">
      <c r="A90" s="142">
        <v>264</v>
      </c>
      <c r="B90" s="143" t="s">
        <v>513</v>
      </c>
      <c r="C90" s="142">
        <v>5130</v>
      </c>
      <c r="D90" s="143" t="s">
        <v>141</v>
      </c>
      <c r="E90" s="142">
        <v>4147</v>
      </c>
      <c r="F90" s="143" t="s">
        <v>518</v>
      </c>
      <c r="G90" s="144">
        <v>5.8587699797465023</v>
      </c>
      <c r="H90" s="145">
        <v>5.6325816022952733</v>
      </c>
      <c r="I90" s="146">
        <v>3.8839210412190588</v>
      </c>
      <c r="J90" s="147">
        <v>0.89254911697931383</v>
      </c>
      <c r="K90" s="148">
        <v>188</v>
      </c>
      <c r="M90" s="149">
        <f t="shared" si="8"/>
        <v>0.68954545454545457</v>
      </c>
      <c r="N90" s="138">
        <f t="shared" si="9"/>
        <v>3.8839210412190588</v>
      </c>
      <c r="O90" s="149"/>
      <c r="V90" s="158">
        <f t="shared" si="10"/>
        <v>311.49666662376916</v>
      </c>
      <c r="W90" s="158">
        <f t="shared" si="11"/>
        <v>102.31899645578591</v>
      </c>
      <c r="X90" s="158">
        <f t="shared" si="12"/>
        <v>56.584181890331855</v>
      </c>
      <c r="Y90" s="158">
        <f t="shared" si="13"/>
        <v>43.340542673610571</v>
      </c>
      <c r="Z90" s="158">
        <f t="shared" si="14"/>
        <v>20.736561177602827</v>
      </c>
      <c r="AA90" s="158">
        <f t="shared" si="15"/>
        <v>6.1239532343088241</v>
      </c>
    </row>
    <row r="91" spans="1:27" ht="19.5" thickBot="1" x14ac:dyDescent="0.35">
      <c r="A91" s="142">
        <v>264</v>
      </c>
      <c r="B91" s="143" t="s">
        <v>513</v>
      </c>
      <c r="C91" s="142">
        <v>5130</v>
      </c>
      <c r="D91" s="143" t="s">
        <v>141</v>
      </c>
      <c r="E91" s="142">
        <v>4141</v>
      </c>
      <c r="F91" s="143" t="s">
        <v>519</v>
      </c>
      <c r="G91" s="144">
        <v>3.2458373859052978</v>
      </c>
      <c r="H91" s="145">
        <v>14.171997709974654</v>
      </c>
      <c r="I91" s="146">
        <v>9.8557001465671554</v>
      </c>
      <c r="J91" s="147">
        <v>0.72733645398636815</v>
      </c>
      <c r="K91" s="148">
        <v>28</v>
      </c>
      <c r="M91" s="149">
        <f t="shared" si="8"/>
        <v>0.69543478260869562</v>
      </c>
      <c r="N91" s="138">
        <f t="shared" si="9"/>
        <v>9.8557001465671554</v>
      </c>
      <c r="O91" s="149"/>
      <c r="V91" s="158">
        <f t="shared" si="10"/>
        <v>139.43873557942047</v>
      </c>
      <c r="W91" s="158">
        <f t="shared" si="11"/>
        <v>24.532889824912854</v>
      </c>
      <c r="X91" s="158">
        <f t="shared" si="12"/>
        <v>-0.59023896722259073</v>
      </c>
      <c r="Y91" s="158">
        <f t="shared" si="13"/>
        <v>-7.8652581594855224</v>
      </c>
      <c r="Z91" s="158">
        <f t="shared" si="14"/>
        <v>-20.282117038983444</v>
      </c>
      <c r="AA91" s="158">
        <f t="shared" si="15"/>
        <v>-28.309140540367828</v>
      </c>
    </row>
    <row r="92" spans="1:27" ht="19.5" thickBot="1" x14ac:dyDescent="0.35">
      <c r="A92" s="142">
        <v>264</v>
      </c>
      <c r="B92" s="143" t="s">
        <v>513</v>
      </c>
      <c r="C92" s="142">
        <v>5130</v>
      </c>
      <c r="D92" s="143" t="s">
        <v>141</v>
      </c>
      <c r="E92" s="142">
        <v>4139</v>
      </c>
      <c r="F92" s="143" t="s">
        <v>520</v>
      </c>
      <c r="G92" s="144">
        <v>5.9735728475228482</v>
      </c>
      <c r="H92" s="145">
        <v>6.6961600738806437</v>
      </c>
      <c r="I92" s="146">
        <v>3.9884003440051581</v>
      </c>
      <c r="J92" s="147">
        <v>0.88965863768722508</v>
      </c>
      <c r="K92" s="148">
        <v>182</v>
      </c>
      <c r="M92" s="149">
        <f t="shared" si="8"/>
        <v>0.59562499999999996</v>
      </c>
      <c r="N92" s="138">
        <f t="shared" si="9"/>
        <v>3.9884003440051581</v>
      </c>
      <c r="O92" s="149"/>
      <c r="V92" s="158">
        <f t="shared" si="10"/>
        <v>366.49020945703029</v>
      </c>
      <c r="W92" s="158">
        <f t="shared" si="11"/>
        <v>119.58342692544169</v>
      </c>
      <c r="X92" s="158">
        <f t="shared" si="12"/>
        <v>65.59948157904455</v>
      </c>
      <c r="Y92" s="158">
        <f t="shared" si="13"/>
        <v>49.967103871692522</v>
      </c>
      <c r="Z92" s="158">
        <f t="shared" si="14"/>
        <v>23.286070761892276</v>
      </c>
      <c r="AA92" s="158">
        <f t="shared" si="15"/>
        <v>6.0378051665405525</v>
      </c>
    </row>
    <row r="93" spans="1:27" ht="19.5" thickBot="1" x14ac:dyDescent="0.35">
      <c r="A93" s="142">
        <v>264</v>
      </c>
      <c r="B93" s="143" t="s">
        <v>513</v>
      </c>
      <c r="C93" s="142">
        <v>5130</v>
      </c>
      <c r="D93" s="143" t="s">
        <v>141</v>
      </c>
      <c r="E93" s="142">
        <v>4143</v>
      </c>
      <c r="F93" s="143" t="s">
        <v>521</v>
      </c>
      <c r="G93" s="144">
        <v>5.3472902686824586</v>
      </c>
      <c r="H93" s="145">
        <v>2.9921697151372908</v>
      </c>
      <c r="I93" s="146">
        <v>3.789769954828575</v>
      </c>
      <c r="J93" s="147">
        <v>0.89515386029480593</v>
      </c>
      <c r="K93" s="148">
        <v>192</v>
      </c>
      <c r="M93" s="149">
        <f t="shared" si="8"/>
        <v>1.2665625</v>
      </c>
      <c r="N93" s="138">
        <f t="shared" si="9"/>
        <v>3.789769954828575</v>
      </c>
      <c r="O93" s="149"/>
      <c r="V93" s="158">
        <f t="shared" si="10"/>
        <v>155.23246519515453</v>
      </c>
      <c r="W93" s="158">
        <f t="shared" si="11"/>
        <v>51.29337568588231</v>
      </c>
      <c r="X93" s="158">
        <f t="shared" si="12"/>
        <v>28.568029424059915</v>
      </c>
      <c r="Y93" s="158">
        <f t="shared" si="13"/>
        <v>21.987347074601406</v>
      </c>
      <c r="Z93" s="158">
        <f t="shared" si="14"/>
        <v>10.755568586521244</v>
      </c>
      <c r="AA93" s="158">
        <f t="shared" si="15"/>
        <v>3.4946541506628392</v>
      </c>
    </row>
    <row r="94" spans="1:27" ht="19.5" thickBot="1" x14ac:dyDescent="0.35">
      <c r="A94" s="142">
        <v>264</v>
      </c>
      <c r="B94" s="143" t="s">
        <v>513</v>
      </c>
      <c r="C94" s="142">
        <v>5130</v>
      </c>
      <c r="D94" s="143" t="s">
        <v>141</v>
      </c>
      <c r="E94" s="142">
        <v>4159</v>
      </c>
      <c r="F94" s="143" t="s">
        <v>153</v>
      </c>
      <c r="G94" s="144">
        <v>1.8576732234626969</v>
      </c>
      <c r="H94" s="145">
        <v>4.3064624601134236</v>
      </c>
      <c r="I94" s="146">
        <v>3.0333644953423926</v>
      </c>
      <c r="J94" s="147">
        <v>0.91608024723236015</v>
      </c>
      <c r="K94" s="148">
        <v>214</v>
      </c>
      <c r="M94" s="149">
        <f t="shared" si="8"/>
        <v>0.70437499999999997</v>
      </c>
      <c r="N94" s="138">
        <f t="shared" si="9"/>
        <v>3.0333644953423926</v>
      </c>
      <c r="O94" s="149"/>
      <c r="V94" s="158">
        <f t="shared" si="10"/>
        <v>99.23768806404604</v>
      </c>
      <c r="W94" s="158">
        <f t="shared" si="11"/>
        <v>34.308920163039872</v>
      </c>
      <c r="X94" s="158">
        <f t="shared" si="12"/>
        <v>20.112829550063747</v>
      </c>
      <c r="Y94" s="158">
        <f t="shared" si="13"/>
        <v>16.002002729129135</v>
      </c>
      <c r="Z94" s="158">
        <f t="shared" si="14"/>
        <v>8.9857248108680334</v>
      </c>
      <c r="AA94" s="158">
        <f t="shared" si="15"/>
        <v>4.4499699723300372</v>
      </c>
    </row>
    <row r="95" spans="1:27" ht="19.5" thickBot="1" x14ac:dyDescent="0.35">
      <c r="A95" s="142">
        <v>264</v>
      </c>
      <c r="B95" s="143" t="s">
        <v>513</v>
      </c>
      <c r="C95" s="142">
        <v>5130</v>
      </c>
      <c r="D95" s="143" t="s">
        <v>141</v>
      </c>
      <c r="E95" s="142">
        <v>4157</v>
      </c>
      <c r="F95" s="143" t="s">
        <v>522</v>
      </c>
      <c r="G95" s="144">
        <v>3.3075077187919297</v>
      </c>
      <c r="H95" s="145">
        <v>10.884328340478985</v>
      </c>
      <c r="I95" s="146">
        <v>8.027192151103252</v>
      </c>
      <c r="J95" s="147">
        <v>0.7779231669081409</v>
      </c>
      <c r="K95" s="148">
        <v>53</v>
      </c>
      <c r="M95" s="149">
        <f t="shared" si="8"/>
        <v>0.73750000000000004</v>
      </c>
      <c r="N95" s="138">
        <f t="shared" si="9"/>
        <v>8.027192151103252</v>
      </c>
      <c r="O95" s="149"/>
      <c r="V95" s="158">
        <f t="shared" si="10"/>
        <v>143.30233870981669</v>
      </c>
      <c r="W95" s="158">
        <f t="shared" si="11"/>
        <v>32.891777947824153</v>
      </c>
      <c r="X95" s="158">
        <f t="shared" si="12"/>
        <v>8.7515027527597677</v>
      </c>
      <c r="Y95" s="158">
        <f t="shared" si="13"/>
        <v>1.7610929672724343</v>
      </c>
      <c r="Z95" s="158">
        <f t="shared" si="14"/>
        <v>-10.17000020545338</v>
      </c>
      <c r="AA95" s="158">
        <f t="shared" si="15"/>
        <v>-17.882994790002407</v>
      </c>
    </row>
    <row r="96" spans="1:27" ht="19.5" thickBot="1" x14ac:dyDescent="0.35">
      <c r="A96" s="142">
        <v>264</v>
      </c>
      <c r="B96" s="143" t="s">
        <v>513</v>
      </c>
      <c r="C96" s="142">
        <v>5130</v>
      </c>
      <c r="D96" s="143" t="s">
        <v>141</v>
      </c>
      <c r="E96" s="142">
        <v>4148</v>
      </c>
      <c r="F96" s="143" t="s">
        <v>155</v>
      </c>
      <c r="G96" s="144">
        <v>3.0547893160973465</v>
      </c>
      <c r="H96" s="145">
        <v>17.677160161404462</v>
      </c>
      <c r="I96" s="146">
        <v>8.8091181470998912</v>
      </c>
      <c r="J96" s="147">
        <v>0.75629073982350137</v>
      </c>
      <c r="K96" s="148">
        <v>41</v>
      </c>
      <c r="M96" s="149">
        <f t="shared" si="8"/>
        <v>0.49833333333333341</v>
      </c>
      <c r="N96" s="138">
        <f t="shared" si="9"/>
        <v>8.8091181470998912</v>
      </c>
      <c r="O96" s="149"/>
      <c r="V96" s="158">
        <f t="shared" si="10"/>
        <v>190.42669905158627</v>
      </c>
      <c r="W96" s="158">
        <f t="shared" si="11"/>
        <v>39.511458964922966</v>
      </c>
      <c r="X96" s="158">
        <f t="shared" si="12"/>
        <v>6.5152002585242208</v>
      </c>
      <c r="Y96" s="158">
        <f t="shared" si="13"/>
        <v>-3.0396771354518282</v>
      </c>
      <c r="Z96" s="158">
        <f t="shared" si="14"/>
        <v>-19.347752904940126</v>
      </c>
      <c r="AA96" s="158">
        <f t="shared" si="15"/>
        <v>-29.890299029885131</v>
      </c>
    </row>
    <row r="97" spans="1:27" ht="19.5" thickBot="1" x14ac:dyDescent="0.35">
      <c r="A97" s="142">
        <v>264</v>
      </c>
      <c r="B97" s="143" t="s">
        <v>513</v>
      </c>
      <c r="C97" s="142">
        <v>5130</v>
      </c>
      <c r="D97" s="143" t="s">
        <v>141</v>
      </c>
      <c r="E97" s="142">
        <v>4144</v>
      </c>
      <c r="F97" s="143" t="s">
        <v>156</v>
      </c>
      <c r="G97" s="144">
        <v>2.7451908808211134</v>
      </c>
      <c r="H97" s="145">
        <v>10.563928433029698</v>
      </c>
      <c r="I97" s="146">
        <v>9.0540152138949352</v>
      </c>
      <c r="J97" s="147">
        <v>0.74951552328407234</v>
      </c>
      <c r="K97" s="148">
        <v>35</v>
      </c>
      <c r="M97" s="149">
        <f t="shared" si="8"/>
        <v>0.85706896551724132</v>
      </c>
      <c r="N97" s="138">
        <f t="shared" si="9"/>
        <v>9.0540152138949352</v>
      </c>
      <c r="O97" s="149"/>
      <c r="V97" s="158">
        <f t="shared" si="10"/>
        <v>98.608679087783912</v>
      </c>
      <c r="W97" s="158">
        <f t="shared" si="11"/>
        <v>19.753803321250217</v>
      </c>
      <c r="X97" s="158">
        <f t="shared" si="12"/>
        <v>2.5128945862588057</v>
      </c>
      <c r="Y97" s="158">
        <f t="shared" si="13"/>
        <v>-2.4796341300840479</v>
      </c>
      <c r="Z97" s="158">
        <f t="shared" si="14"/>
        <v>-11.000783406033561</v>
      </c>
      <c r="AA97" s="158">
        <f t="shared" si="15"/>
        <v>-16.509379916684818</v>
      </c>
    </row>
    <row r="98" spans="1:27" ht="19.5" thickBot="1" x14ac:dyDescent="0.35">
      <c r="A98" s="142">
        <v>264</v>
      </c>
      <c r="B98" s="143" t="s">
        <v>513</v>
      </c>
      <c r="C98" s="142">
        <v>5130</v>
      </c>
      <c r="D98" s="143" t="s">
        <v>141</v>
      </c>
      <c r="E98" s="142">
        <v>4153</v>
      </c>
      <c r="F98" s="143" t="s">
        <v>157</v>
      </c>
      <c r="G98" s="144">
        <v>3.7565036017871338</v>
      </c>
      <c r="H98" s="145">
        <v>6.3889197360498056</v>
      </c>
      <c r="I98" s="146">
        <v>4.2685969986482766</v>
      </c>
      <c r="J98" s="147">
        <v>0.88190683798755976</v>
      </c>
      <c r="K98" s="148">
        <v>170</v>
      </c>
      <c r="M98" s="149">
        <f t="shared" si="8"/>
        <v>0.66812500000000008</v>
      </c>
      <c r="N98" s="138">
        <f t="shared" si="9"/>
        <v>4.2685969986482766</v>
      </c>
      <c r="O98" s="149"/>
      <c r="V98" s="158">
        <f t="shared" si="10"/>
        <v>203.66974905671765</v>
      </c>
      <c r="W98" s="158">
        <f t="shared" si="11"/>
        <v>65.250062677604859</v>
      </c>
      <c r="X98" s="158">
        <f t="shared" si="12"/>
        <v>34.985844304424063</v>
      </c>
      <c r="Y98" s="158">
        <f t="shared" si="13"/>
        <v>26.222096312468153</v>
      </c>
      <c r="Z98" s="158">
        <f t="shared" si="14"/>
        <v>11.26430456020319</v>
      </c>
      <c r="AA98" s="158">
        <f t="shared" si="15"/>
        <v>1.5946653149273866</v>
      </c>
    </row>
    <row r="99" spans="1:27" ht="19.5" thickBot="1" x14ac:dyDescent="0.35">
      <c r="A99" s="142">
        <v>264</v>
      </c>
      <c r="B99" s="143" t="s">
        <v>513</v>
      </c>
      <c r="C99" s="142">
        <v>5130</v>
      </c>
      <c r="D99" s="143" t="s">
        <v>141</v>
      </c>
      <c r="E99" s="142">
        <v>4164</v>
      </c>
      <c r="F99" s="143" t="s">
        <v>523</v>
      </c>
      <c r="G99" s="144">
        <v>2.8448773448773443</v>
      </c>
      <c r="H99" s="145">
        <v>1.4060360131879281</v>
      </c>
      <c r="I99" s="146">
        <v>0.79089525741820965</v>
      </c>
      <c r="J99" s="147">
        <v>0.97811943320047889</v>
      </c>
      <c r="K99" s="148">
        <v>269</v>
      </c>
      <c r="M99" s="149">
        <f t="shared" si="8"/>
        <v>0.5625</v>
      </c>
      <c r="N99" s="138">
        <f t="shared" si="9"/>
        <v>0.79089525741820965</v>
      </c>
      <c r="O99" s="149"/>
      <c r="V99" s="158">
        <f t="shared" si="10"/>
        <v>203.19388726876286</v>
      </c>
      <c r="W99" s="158">
        <f t="shared" si="11"/>
        <v>78.681432914080645</v>
      </c>
      <c r="X99" s="158">
        <f t="shared" si="12"/>
        <v>51.457905630179567</v>
      </c>
      <c r="Y99" s="158">
        <f t="shared" si="13"/>
        <v>43.574664449906194</v>
      </c>
      <c r="Z99" s="158">
        <f t="shared" si="14"/>
        <v>30.119704310061742</v>
      </c>
      <c r="AA99" s="158">
        <f t="shared" si="15"/>
        <v>21.421588119738345</v>
      </c>
    </row>
    <row r="100" spans="1:27" ht="19.5" thickBot="1" x14ac:dyDescent="0.35">
      <c r="A100" s="142">
        <v>264</v>
      </c>
      <c r="B100" s="143" t="s">
        <v>513</v>
      </c>
      <c r="C100" s="142">
        <v>5130</v>
      </c>
      <c r="D100" s="143" t="s">
        <v>141</v>
      </c>
      <c r="E100" s="142">
        <v>4140</v>
      </c>
      <c r="F100" s="143" t="s">
        <v>159</v>
      </c>
      <c r="G100" s="144">
        <v>2.4566604814326558</v>
      </c>
      <c r="H100" s="145">
        <v>4.0705665579674566</v>
      </c>
      <c r="I100" s="146">
        <v>4.0278256091087981</v>
      </c>
      <c r="J100" s="147">
        <v>0.88856791532089685</v>
      </c>
      <c r="K100" s="148">
        <v>180</v>
      </c>
      <c r="M100" s="149">
        <f t="shared" si="8"/>
        <v>0.98949999999999994</v>
      </c>
      <c r="N100" s="138">
        <f t="shared" si="9"/>
        <v>4.0278256091087981</v>
      </c>
      <c r="O100" s="149"/>
      <c r="V100" s="158">
        <f t="shared" si="10"/>
        <v>90.614500331560691</v>
      </c>
      <c r="W100" s="158">
        <f t="shared" si="11"/>
        <v>29.49199951131758</v>
      </c>
      <c r="X100" s="158">
        <f t="shared" si="12"/>
        <v>16.128114931545166</v>
      </c>
      <c r="Y100" s="158">
        <f t="shared" si="13"/>
        <v>12.258273814006273</v>
      </c>
      <c r="Z100" s="158">
        <f t="shared" si="14"/>
        <v>5.6533055283332905</v>
      </c>
      <c r="AA100" s="158">
        <f t="shared" si="15"/>
        <v>1.3834466075287251</v>
      </c>
    </row>
    <row r="101" spans="1:27" ht="19.5" thickBot="1" x14ac:dyDescent="0.35">
      <c r="A101" s="142">
        <v>264</v>
      </c>
      <c r="B101" s="143" t="s">
        <v>513</v>
      </c>
      <c r="C101" s="142">
        <v>5169</v>
      </c>
      <c r="D101" s="143" t="s">
        <v>160</v>
      </c>
      <c r="E101" s="142">
        <v>4189</v>
      </c>
      <c r="F101" s="143" t="s">
        <v>161</v>
      </c>
      <c r="G101" s="144">
        <v>3.9968760643589416</v>
      </c>
      <c r="H101" s="145">
        <v>2.2517585872264241</v>
      </c>
      <c r="I101" s="146">
        <v>2.2705232421199772</v>
      </c>
      <c r="J101" s="147">
        <v>0.93718468406139199</v>
      </c>
      <c r="K101" s="148">
        <v>235</v>
      </c>
      <c r="M101" s="149">
        <f t="shared" si="8"/>
        <v>1.0083333333333331</v>
      </c>
      <c r="N101" s="138">
        <f t="shared" si="9"/>
        <v>2.2705232421199772</v>
      </c>
      <c r="O101" s="149"/>
      <c r="V101" s="158">
        <f t="shared" si="10"/>
        <v>152.5876805122885</v>
      </c>
      <c r="W101" s="158">
        <f t="shared" si="11"/>
        <v>55.001497478983239</v>
      </c>
      <c r="X101" s="158">
        <f t="shared" si="12"/>
        <v>33.665157029285488</v>
      </c>
      <c r="Y101" s="158">
        <f t="shared" si="13"/>
        <v>27.486695439230751</v>
      </c>
      <c r="Z101" s="158">
        <f t="shared" si="14"/>
        <v>16.94141938859195</v>
      </c>
      <c r="AA101" s="158">
        <f t="shared" si="15"/>
        <v>10.124302474520492</v>
      </c>
    </row>
    <row r="102" spans="1:27" ht="19.5" thickBot="1" x14ac:dyDescent="0.35">
      <c r="A102" s="142">
        <v>264</v>
      </c>
      <c r="B102" s="143" t="s">
        <v>513</v>
      </c>
      <c r="C102" s="142">
        <v>5169</v>
      </c>
      <c r="D102" s="143" t="s">
        <v>160</v>
      </c>
      <c r="E102" s="142">
        <v>4195</v>
      </c>
      <c r="F102" s="143" t="s">
        <v>524</v>
      </c>
      <c r="G102" s="144">
        <v>3.1170158207509644</v>
      </c>
      <c r="H102" s="145">
        <v>-0.32081967417126417</v>
      </c>
      <c r="I102" s="146">
        <v>-0.20853278821132173</v>
      </c>
      <c r="J102" s="147">
        <v>1.005769178104877</v>
      </c>
      <c r="K102" s="148">
        <v>286</v>
      </c>
      <c r="M102" s="149">
        <f t="shared" si="8"/>
        <v>0.65000000000000013</v>
      </c>
      <c r="N102" s="138">
        <f t="shared" si="9"/>
        <v>-0.20853278821132173</v>
      </c>
      <c r="O102" s="149"/>
      <c r="V102" s="158">
        <f t="shared" si="10"/>
        <v>198.10785865798519</v>
      </c>
      <c r="W102" s="158">
        <f t="shared" si="11"/>
        <v>80.049314383851552</v>
      </c>
      <c r="X102" s="158">
        <f t="shared" si="12"/>
        <v>54.236876440982726</v>
      </c>
      <c r="Y102" s="158">
        <f t="shared" si="13"/>
        <v>46.762250848478857</v>
      </c>
      <c r="Z102" s="158">
        <f t="shared" si="14"/>
        <v>34.004707712660036</v>
      </c>
      <c r="AA102" s="158">
        <f t="shared" si="15"/>
        <v>25.757444893217937</v>
      </c>
    </row>
    <row r="103" spans="1:27" ht="19.5" thickBot="1" x14ac:dyDescent="0.35">
      <c r="A103" s="142">
        <v>264</v>
      </c>
      <c r="B103" s="143" t="s">
        <v>513</v>
      </c>
      <c r="C103" s="142">
        <v>5169</v>
      </c>
      <c r="D103" s="143" t="s">
        <v>160</v>
      </c>
      <c r="E103" s="142">
        <v>4193</v>
      </c>
      <c r="F103" s="143" t="s">
        <v>525</v>
      </c>
      <c r="G103" s="144">
        <v>3.5189073531009014</v>
      </c>
      <c r="H103" s="145">
        <v>2.5576120928756754</v>
      </c>
      <c r="I103" s="146">
        <v>2.3046926748024141</v>
      </c>
      <c r="J103" s="147">
        <v>0.93623936728613344</v>
      </c>
      <c r="K103" s="148">
        <v>234</v>
      </c>
      <c r="M103" s="149">
        <f t="shared" si="8"/>
        <v>0.90111111111111108</v>
      </c>
      <c r="N103" s="138">
        <f t="shared" si="9"/>
        <v>2.3046926748024141</v>
      </c>
      <c r="O103" s="149"/>
      <c r="V103" s="158">
        <f t="shared" si="10"/>
        <v>150.1737818414428</v>
      </c>
      <c r="W103" s="158">
        <f t="shared" si="11"/>
        <v>54.034414059623685</v>
      </c>
      <c r="X103" s="158">
        <f t="shared" si="12"/>
        <v>33.014406740436712</v>
      </c>
      <c r="Y103" s="158">
        <f t="shared" si="13"/>
        <v>26.927547180314455</v>
      </c>
      <c r="Z103" s="158">
        <f t="shared" si="14"/>
        <v>16.538615662753543</v>
      </c>
      <c r="AA103" s="158">
        <f t="shared" si="15"/>
        <v>9.8225694988217498</v>
      </c>
    </row>
    <row r="104" spans="1:27" ht="19.5" thickBot="1" x14ac:dyDescent="0.35">
      <c r="A104" s="142">
        <v>264</v>
      </c>
      <c r="B104" s="143" t="s">
        <v>513</v>
      </c>
      <c r="C104" s="142">
        <v>5169</v>
      </c>
      <c r="D104" s="143" t="s">
        <v>160</v>
      </c>
      <c r="E104" s="142">
        <v>4184</v>
      </c>
      <c r="F104" s="143" t="s">
        <v>526</v>
      </c>
      <c r="G104" s="144">
        <v>3.2768242683852011</v>
      </c>
      <c r="H104" s="145">
        <v>-0.91552056329172071</v>
      </c>
      <c r="I104" s="146">
        <v>-0.80870983090768667</v>
      </c>
      <c r="J104" s="147">
        <v>1.0223734170999692</v>
      </c>
      <c r="K104" s="148">
        <v>289</v>
      </c>
      <c r="M104" s="149">
        <f t="shared" si="8"/>
        <v>0.88333333333333341</v>
      </c>
      <c r="N104" s="138">
        <f t="shared" si="9"/>
        <v>-0.80870983090768667</v>
      </c>
      <c r="O104" s="149"/>
      <c r="V104" s="158">
        <f t="shared" si="10"/>
        <v>155.78147523725877</v>
      </c>
      <c r="W104" s="158">
        <f t="shared" si="11"/>
        <v>64.454240911359605</v>
      </c>
      <c r="X104" s="158">
        <f t="shared" si="12"/>
        <v>44.486363253498226</v>
      </c>
      <c r="Y104" s="158">
        <f t="shared" si="13"/>
        <v>38.704173686601052</v>
      </c>
      <c r="Z104" s="158">
        <f t="shared" si="14"/>
        <v>28.83524688802655</v>
      </c>
      <c r="AA104" s="158">
        <f t="shared" si="15"/>
        <v>22.455363850425101</v>
      </c>
    </row>
    <row r="105" spans="1:27" ht="19.5" thickBot="1" x14ac:dyDescent="0.35">
      <c r="A105" s="142">
        <v>264</v>
      </c>
      <c r="B105" s="143" t="s">
        <v>513</v>
      </c>
      <c r="C105" s="142">
        <v>5169</v>
      </c>
      <c r="D105" s="143" t="s">
        <v>160</v>
      </c>
      <c r="E105" s="142">
        <v>4196</v>
      </c>
      <c r="F105" s="143" t="s">
        <v>165</v>
      </c>
      <c r="G105" s="144">
        <v>2.5224867724867721</v>
      </c>
      <c r="H105" s="145">
        <v>5.5500786575773473</v>
      </c>
      <c r="I105" s="146">
        <v>4.3350078657577358</v>
      </c>
      <c r="J105" s="147">
        <v>0.88006954360455125</v>
      </c>
      <c r="K105" s="148">
        <v>166</v>
      </c>
      <c r="M105" s="149">
        <f t="shared" si="8"/>
        <v>0.78107142857142864</v>
      </c>
      <c r="N105" s="138">
        <f t="shared" si="9"/>
        <v>4.3350078657577358</v>
      </c>
      <c r="O105" s="149"/>
      <c r="V105" s="158">
        <f t="shared" si="10"/>
        <v>116.74354285254162</v>
      </c>
      <c r="W105" s="158">
        <f t="shared" si="11"/>
        <v>37.235709324096057</v>
      </c>
      <c r="X105" s="158">
        <f t="shared" si="12"/>
        <v>19.852037252386484</v>
      </c>
      <c r="Y105" s="158">
        <f t="shared" si="13"/>
        <v>14.818167904342484</v>
      </c>
      <c r="Z105" s="158">
        <f t="shared" si="14"/>
        <v>6.2264592557980025</v>
      </c>
      <c r="AA105" s="158">
        <f t="shared" si="15"/>
        <v>0.67224881431614425</v>
      </c>
    </row>
    <row r="106" spans="1:27" ht="19.5" thickBot="1" x14ac:dyDescent="0.35">
      <c r="A106" s="142">
        <v>264</v>
      </c>
      <c r="B106" s="143" t="s">
        <v>513</v>
      </c>
      <c r="C106" s="142">
        <v>5169</v>
      </c>
      <c r="D106" s="143" t="s">
        <v>160</v>
      </c>
      <c r="E106" s="142">
        <v>4174</v>
      </c>
      <c r="F106" s="143" t="s">
        <v>527</v>
      </c>
      <c r="G106" s="144">
        <v>5.5385385716069759</v>
      </c>
      <c r="H106" s="145">
        <v>1.4444243542893382</v>
      </c>
      <c r="I106" s="146">
        <v>1.5365064068752836</v>
      </c>
      <c r="J106" s="147">
        <v>0.95749167698479509</v>
      </c>
      <c r="K106" s="148">
        <v>253</v>
      </c>
      <c r="M106" s="149">
        <f t="shared" si="8"/>
        <v>1.06375</v>
      </c>
      <c r="N106" s="138">
        <f t="shared" si="9"/>
        <v>1.5365064068752836</v>
      </c>
      <c r="O106" s="149"/>
      <c r="V106" s="158">
        <f t="shared" si="10"/>
        <v>204.77095244753218</v>
      </c>
      <c r="W106" s="158">
        <f t="shared" si="11"/>
        <v>76.588851549058475</v>
      </c>
      <c r="X106" s="158">
        <f t="shared" si="12"/>
        <v>48.562989082504842</v>
      </c>
      <c r="Y106" s="158">
        <f t="shared" si="13"/>
        <v>40.447412037510169</v>
      </c>
      <c r="Z106" s="158">
        <f t="shared" si="14"/>
        <v>26.595905638659488</v>
      </c>
      <c r="AA106" s="158">
        <f t="shared" si="15"/>
        <v>17.641437485950114</v>
      </c>
    </row>
    <row r="107" spans="1:27" ht="19.5" thickBot="1" x14ac:dyDescent="0.35">
      <c r="A107" s="142">
        <v>264</v>
      </c>
      <c r="B107" s="143" t="s">
        <v>513</v>
      </c>
      <c r="C107" s="142">
        <v>5169</v>
      </c>
      <c r="D107" s="143" t="s">
        <v>160</v>
      </c>
      <c r="E107" s="142">
        <v>4170</v>
      </c>
      <c r="F107" s="143" t="s">
        <v>528</v>
      </c>
      <c r="G107" s="144">
        <v>4.7470153232994274</v>
      </c>
      <c r="H107" s="145">
        <v>4.4238323598677338</v>
      </c>
      <c r="I107" s="146">
        <v>2.7838545064596238</v>
      </c>
      <c r="J107" s="147">
        <v>0.92298308288308695</v>
      </c>
      <c r="K107" s="148">
        <v>222</v>
      </c>
      <c r="M107" s="149">
        <f t="shared" si="8"/>
        <v>0.62928571428571423</v>
      </c>
      <c r="N107" s="138">
        <f t="shared" si="9"/>
        <v>2.7838545064596238</v>
      </c>
      <c r="O107" s="149"/>
      <c r="V107" s="158">
        <f t="shared" si="10"/>
        <v>285.98564424845239</v>
      </c>
      <c r="W107" s="158">
        <f t="shared" si="11"/>
        <v>100.27169102169073</v>
      </c>
      <c r="X107" s="158">
        <f t="shared" si="12"/>
        <v>59.667006945123461</v>
      </c>
      <c r="Y107" s="158">
        <f t="shared" si="13"/>
        <v>47.908923053706559</v>
      </c>
      <c r="Z107" s="158">
        <f t="shared" si="14"/>
        <v>27.84045800714112</v>
      </c>
      <c r="AA107" s="158">
        <f t="shared" si="15"/>
        <v>14.866964297594693</v>
      </c>
    </row>
    <row r="108" spans="1:27" ht="19.5" thickBot="1" x14ac:dyDescent="0.35">
      <c r="A108" s="142">
        <v>264</v>
      </c>
      <c r="B108" s="143" t="s">
        <v>513</v>
      </c>
      <c r="C108" s="142">
        <v>5169</v>
      </c>
      <c r="D108" s="143" t="s">
        <v>160</v>
      </c>
      <c r="E108" s="142">
        <v>4169</v>
      </c>
      <c r="F108" s="143" t="s">
        <v>168</v>
      </c>
      <c r="G108" s="144">
        <v>5.825472477958602</v>
      </c>
      <c r="H108" s="145">
        <v>6.8663958419415705</v>
      </c>
      <c r="I108" s="146">
        <v>3.9696350961224702</v>
      </c>
      <c r="J108" s="147">
        <v>0.89017778893507438</v>
      </c>
      <c r="K108" s="148">
        <v>183</v>
      </c>
      <c r="M108" s="149">
        <f t="shared" si="8"/>
        <v>0.578125</v>
      </c>
      <c r="N108" s="138">
        <f t="shared" si="9"/>
        <v>3.9696350961224702</v>
      </c>
      <c r="O108" s="149"/>
      <c r="V108" s="158">
        <f t="shared" si="10"/>
        <v>368.43755354602217</v>
      </c>
      <c r="W108" s="158">
        <f t="shared" si="11"/>
        <v>120.36359396517582</v>
      </c>
      <c r="X108" s="158">
        <f t="shared" si="12"/>
        <v>66.124455863882886</v>
      </c>
      <c r="Y108" s="158">
        <f t="shared" si="13"/>
        <v>50.418180824516419</v>
      </c>
      <c r="Z108" s="158">
        <f t="shared" si="14"/>
        <v>23.611021209899494</v>
      </c>
      <c r="AA108" s="158">
        <f t="shared" si="15"/>
        <v>6.2812196618453715</v>
      </c>
    </row>
    <row r="109" spans="1:27" ht="19.5" thickBot="1" x14ac:dyDescent="0.35">
      <c r="A109" s="142">
        <v>264</v>
      </c>
      <c r="B109" s="143" t="s">
        <v>513</v>
      </c>
      <c r="C109" s="142">
        <v>5169</v>
      </c>
      <c r="D109" s="143" t="s">
        <v>160</v>
      </c>
      <c r="E109" s="142">
        <v>4188</v>
      </c>
      <c r="F109" s="143" t="s">
        <v>169</v>
      </c>
      <c r="G109" s="144">
        <v>2.9978898043414177</v>
      </c>
      <c r="H109" s="145">
        <v>1.3342718582275335</v>
      </c>
      <c r="I109" s="146">
        <v>1.5043915201515439</v>
      </c>
      <c r="J109" s="147">
        <v>0.95838015357841089</v>
      </c>
      <c r="K109" s="148">
        <v>255</v>
      </c>
      <c r="M109" s="149">
        <f t="shared" si="8"/>
        <v>1.1274999999999999</v>
      </c>
      <c r="N109" s="138">
        <f t="shared" si="9"/>
        <v>1.5043915201515439</v>
      </c>
      <c r="O109" s="149"/>
      <c r="V109" s="158">
        <f t="shared" si="10"/>
        <v>104.66817636061056</v>
      </c>
      <c r="W109" s="158">
        <f t="shared" si="11"/>
        <v>39.208946951567142</v>
      </c>
      <c r="X109" s="158">
        <f t="shared" si="12"/>
        <v>24.896875705071629</v>
      </c>
      <c r="Y109" s="158">
        <f t="shared" si="13"/>
        <v>20.752463842171675</v>
      </c>
      <c r="Z109" s="158">
        <f t="shared" si="14"/>
        <v>13.678863638494597</v>
      </c>
      <c r="AA109" s="158">
        <f t="shared" si="15"/>
        <v>9.1060521387951514</v>
      </c>
    </row>
    <row r="110" spans="1:27" ht="19.5" thickBot="1" x14ac:dyDescent="0.35">
      <c r="A110" s="142">
        <v>264</v>
      </c>
      <c r="B110" s="143" t="s">
        <v>513</v>
      </c>
      <c r="C110" s="142">
        <v>5169</v>
      </c>
      <c r="D110" s="143" t="s">
        <v>160</v>
      </c>
      <c r="E110" s="142">
        <v>4180</v>
      </c>
      <c r="F110" s="143" t="s">
        <v>529</v>
      </c>
      <c r="G110" s="144">
        <v>3.5180638414217369</v>
      </c>
      <c r="H110" s="145">
        <v>7.1061814472067342</v>
      </c>
      <c r="I110" s="146">
        <v>4.7938300042856623</v>
      </c>
      <c r="J110" s="147">
        <v>0.86737596837193243</v>
      </c>
      <c r="K110" s="148">
        <v>141</v>
      </c>
      <c r="M110" s="149">
        <f t="shared" si="8"/>
        <v>0.67459999999999987</v>
      </c>
      <c r="N110" s="138">
        <f t="shared" si="9"/>
        <v>4.7938300042856623</v>
      </c>
      <c r="O110" s="149"/>
      <c r="V110" s="158">
        <f t="shared" si="10"/>
        <v>185.79862514618407</v>
      </c>
      <c r="W110" s="158">
        <f t="shared" si="11"/>
        <v>57.409229883703311</v>
      </c>
      <c r="X110" s="158">
        <f t="shared" si="12"/>
        <v>29.338044370522805</v>
      </c>
      <c r="Y110" s="158">
        <f t="shared" si="13"/>
        <v>21.209342923834765</v>
      </c>
      <c r="Z110" s="158">
        <f t="shared" si="14"/>
        <v>7.3354360557347675</v>
      </c>
      <c r="AA110" s="158">
        <f t="shared" si="15"/>
        <v>-1.633513142048181</v>
      </c>
    </row>
    <row r="111" spans="1:27" ht="19.5" thickBot="1" x14ac:dyDescent="0.35">
      <c r="A111" s="142">
        <v>264</v>
      </c>
      <c r="B111" s="143" t="s">
        <v>513</v>
      </c>
      <c r="C111" s="142">
        <v>5169</v>
      </c>
      <c r="D111" s="143" t="s">
        <v>160</v>
      </c>
      <c r="E111" s="142">
        <v>4185</v>
      </c>
      <c r="F111" s="143" t="s">
        <v>530</v>
      </c>
      <c r="G111" s="144">
        <v>3.3305764510330889</v>
      </c>
      <c r="H111" s="145">
        <v>0.60049664957537119</v>
      </c>
      <c r="I111" s="146">
        <v>0.28523590854830128</v>
      </c>
      <c r="J111" s="147">
        <v>0.9921087864770024</v>
      </c>
      <c r="K111" s="148">
        <v>280</v>
      </c>
      <c r="M111" s="149">
        <f t="shared" si="8"/>
        <v>0.47499999999999992</v>
      </c>
      <c r="N111" s="138">
        <f t="shared" si="9"/>
        <v>0.28523590854830128</v>
      </c>
      <c r="O111" s="149"/>
      <c r="V111" s="158">
        <f t="shared" si="10"/>
        <v>285.73459455474642</v>
      </c>
      <c r="W111" s="158">
        <f t="shared" si="11"/>
        <v>113.1120272563102</v>
      </c>
      <c r="X111" s="158">
        <f t="shared" si="12"/>
        <v>75.369656864353416</v>
      </c>
      <c r="Y111" s="158">
        <f t="shared" si="13"/>
        <v>64.440426224540147</v>
      </c>
      <c r="Z111" s="158">
        <f t="shared" si="14"/>
        <v>45.786631515603588</v>
      </c>
      <c r="AA111" s="158">
        <f t="shared" si="15"/>
        <v>33.727667974843101</v>
      </c>
    </row>
    <row r="112" spans="1:27" ht="19.5" thickBot="1" x14ac:dyDescent="0.35">
      <c r="A112" s="142">
        <v>264</v>
      </c>
      <c r="B112" s="143" t="s">
        <v>513</v>
      </c>
      <c r="C112" s="142">
        <v>5169</v>
      </c>
      <c r="D112" s="143" t="s">
        <v>160</v>
      </c>
      <c r="E112" s="142">
        <v>4178</v>
      </c>
      <c r="F112" s="143" t="s">
        <v>172</v>
      </c>
      <c r="G112" s="144">
        <v>7.6444229507542065</v>
      </c>
      <c r="H112" s="145">
        <v>7.9796735990362331</v>
      </c>
      <c r="I112" s="146">
        <v>5.9540138337726907</v>
      </c>
      <c r="J112" s="147">
        <v>0.83527882334202874</v>
      </c>
      <c r="K112" s="148">
        <v>102</v>
      </c>
      <c r="M112" s="149">
        <f t="shared" si="8"/>
        <v>0.74614754098360647</v>
      </c>
      <c r="N112" s="138">
        <f t="shared" si="9"/>
        <v>5.9540138337726907</v>
      </c>
      <c r="O112" s="149"/>
      <c r="V112" s="158">
        <f t="shared" si="10"/>
        <v>351.50313104868064</v>
      </c>
      <c r="W112" s="158">
        <f t="shared" si="11"/>
        <v>99.276017723790758</v>
      </c>
      <c r="X112" s="158">
        <f t="shared" si="12"/>
        <v>44.128829943040536</v>
      </c>
      <c r="Y112" s="158">
        <f t="shared" si="13"/>
        <v>28.15960680910203</v>
      </c>
      <c r="Z112" s="158">
        <f t="shared" si="14"/>
        <v>0.9036525869868528</v>
      </c>
      <c r="AA112" s="158">
        <f t="shared" si="15"/>
        <v>-16.716277478806262</v>
      </c>
    </row>
    <row r="113" spans="1:27" ht="19.5" thickBot="1" x14ac:dyDescent="0.35">
      <c r="A113" s="142">
        <v>264</v>
      </c>
      <c r="B113" s="143" t="s">
        <v>513</v>
      </c>
      <c r="C113" s="142">
        <v>5169</v>
      </c>
      <c r="D113" s="143" t="s">
        <v>160</v>
      </c>
      <c r="E113" s="142">
        <v>4194</v>
      </c>
      <c r="F113" s="143" t="s">
        <v>173</v>
      </c>
      <c r="G113" s="144">
        <v>6.044791431609327</v>
      </c>
      <c r="H113" s="145">
        <v>7.278993907038033</v>
      </c>
      <c r="I113" s="146">
        <v>4.8893332936933875</v>
      </c>
      <c r="J113" s="147">
        <v>0.86473381559144769</v>
      </c>
      <c r="K113" s="148">
        <v>134</v>
      </c>
      <c r="M113" s="149">
        <f t="shared" si="8"/>
        <v>0.67170454545454539</v>
      </c>
      <c r="N113" s="138">
        <f t="shared" si="9"/>
        <v>4.8893332936933875</v>
      </c>
      <c r="O113" s="149"/>
      <c r="V113" s="158">
        <f t="shared" si="10"/>
        <v>319.64153471633438</v>
      </c>
      <c r="W113" s="158">
        <f t="shared" si="11"/>
        <v>98.089977283738463</v>
      </c>
      <c r="X113" s="158">
        <f t="shared" si="12"/>
        <v>49.649723657573837</v>
      </c>
      <c r="Y113" s="158">
        <f t="shared" si="13"/>
        <v>35.622658090853967</v>
      </c>
      <c r="Z113" s="158">
        <f t="shared" si="14"/>
        <v>11.681539994470215</v>
      </c>
      <c r="AA113" s="158">
        <f t="shared" si="15"/>
        <v>-3.7954755272574614</v>
      </c>
    </row>
    <row r="114" spans="1:27" ht="19.5" thickBot="1" x14ac:dyDescent="0.35">
      <c r="A114" s="142">
        <v>264</v>
      </c>
      <c r="B114" s="143" t="s">
        <v>513</v>
      </c>
      <c r="C114" s="142">
        <v>5169</v>
      </c>
      <c r="D114" s="143" t="s">
        <v>160</v>
      </c>
      <c r="E114" s="142">
        <v>4181</v>
      </c>
      <c r="F114" s="143" t="s">
        <v>174</v>
      </c>
      <c r="G114" s="144">
        <v>4.0103442189703635</v>
      </c>
      <c r="H114" s="145">
        <v>12.717112850002188</v>
      </c>
      <c r="I114" s="146">
        <v>8.2661233525014222</v>
      </c>
      <c r="J114" s="147">
        <v>0.77131299942559883</v>
      </c>
      <c r="K114" s="148">
        <v>51</v>
      </c>
      <c r="M114" s="149">
        <f t="shared" si="8"/>
        <v>0.65</v>
      </c>
      <c r="N114" s="138">
        <f t="shared" si="9"/>
        <v>8.2661233525014222</v>
      </c>
      <c r="O114" s="149"/>
      <c r="V114" s="158">
        <f t="shared" si="10"/>
        <v>195.46845326850826</v>
      </c>
      <c r="W114" s="158">
        <f t="shared" si="11"/>
        <v>43.574645935903256</v>
      </c>
      <c r="X114" s="158">
        <f t="shared" si="12"/>
        <v>10.364432310238838</v>
      </c>
      <c r="Y114" s="158">
        <f t="shared" si="13"/>
        <v>0.74759901272803142</v>
      </c>
      <c r="Z114" s="158">
        <f t="shared" si="14"/>
        <v>-15.666221867613171</v>
      </c>
      <c r="AA114" s="158">
        <f t="shared" si="15"/>
        <v>-26.277128154996227</v>
      </c>
    </row>
    <row r="115" spans="1:27" ht="19.5" thickBot="1" x14ac:dyDescent="0.35">
      <c r="A115" s="142">
        <v>264</v>
      </c>
      <c r="B115" s="143" t="s">
        <v>513</v>
      </c>
      <c r="C115" s="142">
        <v>5169</v>
      </c>
      <c r="D115" s="143" t="s">
        <v>160</v>
      </c>
      <c r="E115" s="142">
        <v>4183</v>
      </c>
      <c r="F115" s="143" t="s">
        <v>531</v>
      </c>
      <c r="G115" s="144">
        <v>2.3561526821289123</v>
      </c>
      <c r="H115" s="145">
        <v>5.5174692619044503</v>
      </c>
      <c r="I115" s="146">
        <v>3.9556010400730366</v>
      </c>
      <c r="J115" s="147">
        <v>0.8905660490718974</v>
      </c>
      <c r="K115" s="148">
        <v>184</v>
      </c>
      <c r="M115" s="149">
        <f t="shared" si="8"/>
        <v>0.71692307692307689</v>
      </c>
      <c r="N115" s="138">
        <f t="shared" si="9"/>
        <v>3.9556010400730366</v>
      </c>
      <c r="O115" s="149"/>
      <c r="V115" s="158">
        <f t="shared" si="10"/>
        <v>120.21944972025041</v>
      </c>
      <c r="W115" s="158">
        <f t="shared" si="11"/>
        <v>39.309367261680762</v>
      </c>
      <c r="X115" s="158">
        <f t="shared" si="12"/>
        <v>21.619106084440325</v>
      </c>
      <c r="Y115" s="158">
        <f t="shared" si="13"/>
        <v>16.496456328297874</v>
      </c>
      <c r="Z115" s="158">
        <f t="shared" si="14"/>
        <v>7.7532190350186649</v>
      </c>
      <c r="AA115" s="158">
        <f t="shared" si="15"/>
        <v>2.101051130685482</v>
      </c>
    </row>
    <row r="116" spans="1:27" ht="19.5" thickBot="1" x14ac:dyDescent="0.35">
      <c r="A116" s="142">
        <v>30</v>
      </c>
      <c r="B116" s="143" t="s">
        <v>532</v>
      </c>
      <c r="C116" s="142">
        <v>6</v>
      </c>
      <c r="D116" s="143" t="s">
        <v>177</v>
      </c>
      <c r="E116" s="142">
        <v>551110</v>
      </c>
      <c r="F116" s="143" t="s">
        <v>178</v>
      </c>
      <c r="G116" s="144">
        <v>5.3611493955112479</v>
      </c>
      <c r="H116" s="145">
        <v>6.3419236234057053</v>
      </c>
      <c r="I116" s="146">
        <v>4.3498134969947371</v>
      </c>
      <c r="J116" s="147">
        <v>0.87965993740164161</v>
      </c>
      <c r="K116" s="148">
        <v>163</v>
      </c>
      <c r="M116" s="149">
        <f t="shared" si="8"/>
        <v>0.6858823529411765</v>
      </c>
      <c r="N116" s="138">
        <f t="shared" si="9"/>
        <v>4.3498134969947371</v>
      </c>
      <c r="O116" s="149"/>
      <c r="V116" s="158">
        <f t="shared" si="10"/>
        <v>282.42349624849146</v>
      </c>
      <c r="W116" s="158">
        <f t="shared" si="11"/>
        <v>89.9902729605096</v>
      </c>
      <c r="X116" s="158">
        <f t="shared" si="12"/>
        <v>47.916480971905962</v>
      </c>
      <c r="Y116" s="158">
        <f t="shared" si="13"/>
        <v>35.73298079002624</v>
      </c>
      <c r="Z116" s="158">
        <f t="shared" si="14"/>
        <v>14.938423632345263</v>
      </c>
      <c r="AA116" s="158">
        <f t="shared" si="15"/>
        <v>1.4955391938989753</v>
      </c>
    </row>
    <row r="117" spans="1:27" ht="19.5" thickBot="1" x14ac:dyDescent="0.35">
      <c r="A117" s="142">
        <v>30</v>
      </c>
      <c r="B117" s="143" t="s">
        <v>532</v>
      </c>
      <c r="C117" s="142">
        <v>6</v>
      </c>
      <c r="D117" s="143" t="s">
        <v>177</v>
      </c>
      <c r="E117" s="142">
        <v>451101</v>
      </c>
      <c r="F117" s="143" t="s">
        <v>179</v>
      </c>
      <c r="G117" s="144">
        <v>9.7145609440858518</v>
      </c>
      <c r="H117" s="145">
        <v>9.8820729575477149</v>
      </c>
      <c r="I117" s="146">
        <v>6.9977429130634761</v>
      </c>
      <c r="J117" s="147">
        <v>0.80640346516302686</v>
      </c>
      <c r="K117" s="148">
        <v>79</v>
      </c>
      <c r="M117" s="149">
        <f t="shared" si="8"/>
        <v>0.708125</v>
      </c>
      <c r="N117" s="138">
        <f t="shared" si="9"/>
        <v>6.9977429130634761</v>
      </c>
      <c r="O117" s="149"/>
      <c r="V117" s="158">
        <f t="shared" si="10"/>
        <v>454.40527736084789</v>
      </c>
      <c r="W117" s="158">
        <f t="shared" si="11"/>
        <v>116.66331388934299</v>
      </c>
      <c r="X117" s="158">
        <f t="shared" si="12"/>
        <v>42.819073928466487</v>
      </c>
      <c r="Y117" s="158">
        <f t="shared" si="13"/>
        <v>21.435659967637811</v>
      </c>
      <c r="Z117" s="158">
        <f t="shared" si="14"/>
        <v>-15.061128081508974</v>
      </c>
      <c r="AA117" s="158">
        <f t="shared" si="15"/>
        <v>-38.654903144803576</v>
      </c>
    </row>
    <row r="118" spans="1:27" ht="19.5" thickBot="1" x14ac:dyDescent="0.35">
      <c r="A118" s="142">
        <v>30</v>
      </c>
      <c r="B118" s="143" t="s">
        <v>532</v>
      </c>
      <c r="C118" s="142">
        <v>6</v>
      </c>
      <c r="D118" s="143" t="s">
        <v>177</v>
      </c>
      <c r="E118" s="142">
        <v>551103</v>
      </c>
      <c r="F118" s="143" t="s">
        <v>180</v>
      </c>
      <c r="G118" s="144">
        <v>2.7303992303992302</v>
      </c>
      <c r="H118" s="145">
        <v>8.0574297542499789</v>
      </c>
      <c r="I118" s="146">
        <v>4.9498255967585667</v>
      </c>
      <c r="J118" s="147">
        <v>0.86306026164652294</v>
      </c>
      <c r="K118" s="148">
        <v>133</v>
      </c>
      <c r="M118" s="149">
        <f t="shared" si="8"/>
        <v>0.61431818181818187</v>
      </c>
      <c r="N118" s="138">
        <f t="shared" si="9"/>
        <v>4.9498255967585667</v>
      </c>
      <c r="O118" s="149"/>
      <c r="V118" s="158">
        <f t="shared" si="10"/>
        <v>157.56205467158472</v>
      </c>
      <c r="W118" s="158">
        <f t="shared" si="11"/>
        <v>48.1400775887778</v>
      </c>
      <c r="X118" s="158">
        <f t="shared" si="12"/>
        <v>24.21594731593996</v>
      </c>
      <c r="Y118" s="158">
        <f t="shared" si="13"/>
        <v>17.288127603150915</v>
      </c>
      <c r="Z118" s="158">
        <f t="shared" si="14"/>
        <v>5.463861928664377</v>
      </c>
      <c r="AA118" s="158">
        <f t="shared" si="15"/>
        <v>-2.1800727714740544</v>
      </c>
    </row>
    <row r="119" spans="1:27" ht="19.5" thickBot="1" x14ac:dyDescent="0.35">
      <c r="A119" s="142">
        <v>30</v>
      </c>
      <c r="B119" s="143" t="s">
        <v>532</v>
      </c>
      <c r="C119" s="142">
        <v>6</v>
      </c>
      <c r="D119" s="143" t="s">
        <v>177</v>
      </c>
      <c r="E119" s="142">
        <v>551330</v>
      </c>
      <c r="F119" s="143" t="s">
        <v>181</v>
      </c>
      <c r="G119" s="144">
        <v>3.1380264341599156</v>
      </c>
      <c r="H119" s="145">
        <v>5.736089347130946</v>
      </c>
      <c r="I119" s="146">
        <v>3.4512137571904526</v>
      </c>
      <c r="J119" s="147">
        <v>0.90452020991990656</v>
      </c>
      <c r="K119" s="148">
        <v>203</v>
      </c>
      <c r="M119" s="149">
        <f t="shared" si="8"/>
        <v>0.60166666666666668</v>
      </c>
      <c r="N119" s="138">
        <f t="shared" si="9"/>
        <v>3.4512137571904526</v>
      </c>
      <c r="O119" s="149"/>
      <c r="V119" s="158">
        <f t="shared" si="10"/>
        <v>193.77451220663193</v>
      </c>
      <c r="W119" s="158">
        <f t="shared" si="11"/>
        <v>65.372325454067621</v>
      </c>
      <c r="X119" s="158">
        <f t="shared" si="12"/>
        <v>37.298343196729306</v>
      </c>
      <c r="Y119" s="158">
        <f t="shared" si="13"/>
        <v>29.168831884057127</v>
      </c>
      <c r="Z119" s="158">
        <f t="shared" si="14"/>
        <v>15.293542752712099</v>
      </c>
      <c r="AA119" s="158">
        <f t="shared" si="15"/>
        <v>6.3236999747040192</v>
      </c>
    </row>
    <row r="120" spans="1:27" ht="19.5" thickBot="1" x14ac:dyDescent="0.35">
      <c r="A120" s="142">
        <v>30</v>
      </c>
      <c r="B120" s="143" t="s">
        <v>532</v>
      </c>
      <c r="C120" s="142">
        <v>6</v>
      </c>
      <c r="D120" s="143" t="s">
        <v>177</v>
      </c>
      <c r="E120" s="142">
        <v>451115</v>
      </c>
      <c r="F120" s="143" t="s">
        <v>533</v>
      </c>
      <c r="G120" s="144">
        <v>2.9645688839237225</v>
      </c>
      <c r="H120" s="145">
        <v>9.107563715728018</v>
      </c>
      <c r="I120" s="146">
        <v>7.3046034171885266</v>
      </c>
      <c r="J120" s="147">
        <v>0.79791399491312176</v>
      </c>
      <c r="K120" s="148">
        <v>67</v>
      </c>
      <c r="M120" s="149">
        <f t="shared" si="8"/>
        <v>0.80203703703703699</v>
      </c>
      <c r="N120" s="138">
        <f t="shared" si="9"/>
        <v>7.3046034171885266</v>
      </c>
      <c r="O120" s="149"/>
      <c r="V120" s="158">
        <f t="shared" si="10"/>
        <v>121.14372841468089</v>
      </c>
      <c r="W120" s="158">
        <f t="shared" si="11"/>
        <v>30.144251496257876</v>
      </c>
      <c r="X120" s="158">
        <f t="shared" si="12"/>
        <v>10.248035045069932</v>
      </c>
      <c r="Y120" s="158">
        <f t="shared" si="13"/>
        <v>4.4865967412102261</v>
      </c>
      <c r="Z120" s="158">
        <f t="shared" si="14"/>
        <v>-5.3469122120090775</v>
      </c>
      <c r="AA120" s="158">
        <f t="shared" si="15"/>
        <v>-11.703898969658116</v>
      </c>
    </row>
    <row r="121" spans="1:27" ht="19.5" thickBot="1" x14ac:dyDescent="0.35">
      <c r="A121" s="142">
        <v>30</v>
      </c>
      <c r="B121" s="143" t="s">
        <v>532</v>
      </c>
      <c r="C121" s="142">
        <v>6</v>
      </c>
      <c r="D121" s="143" t="s">
        <v>177</v>
      </c>
      <c r="E121" s="142">
        <v>551128</v>
      </c>
      <c r="F121" s="143" t="s">
        <v>183</v>
      </c>
      <c r="G121" s="144">
        <v>3.2593973529457401</v>
      </c>
      <c r="H121" s="145">
        <v>16.2606746772069</v>
      </c>
      <c r="I121" s="146">
        <v>10.650741913570521</v>
      </c>
      <c r="J121" s="147">
        <v>0.70534117164251675</v>
      </c>
      <c r="K121" s="148">
        <v>24</v>
      </c>
      <c r="M121" s="149">
        <f t="shared" si="8"/>
        <v>0.65500000000000003</v>
      </c>
      <c r="N121" s="138">
        <f t="shared" si="9"/>
        <v>10.650741913570521</v>
      </c>
      <c r="O121" s="149"/>
      <c r="V121" s="158">
        <f t="shared" si="10"/>
        <v>144.16936138342959</v>
      </c>
      <c r="W121" s="158">
        <f t="shared" si="11"/>
        <v>21.660421320841287</v>
      </c>
      <c r="X121" s="158">
        <f t="shared" si="12"/>
        <v>-5.1250555987232582</v>
      </c>
      <c r="Y121" s="158">
        <f t="shared" si="13"/>
        <v>-12.88144853353751</v>
      </c>
      <c r="Z121" s="158">
        <f t="shared" si="14"/>
        <v>-26.119906596706624</v>
      </c>
      <c r="AA121" s="158">
        <f t="shared" si="15"/>
        <v>-34.678062489950293</v>
      </c>
    </row>
    <row r="122" spans="1:27" ht="19.5" thickBot="1" x14ac:dyDescent="0.35">
      <c r="A122" s="142">
        <v>30</v>
      </c>
      <c r="B122" s="143" t="s">
        <v>532</v>
      </c>
      <c r="C122" s="142">
        <v>6</v>
      </c>
      <c r="D122" s="143" t="s">
        <v>177</v>
      </c>
      <c r="E122" s="142">
        <v>451120</v>
      </c>
      <c r="F122" s="143" t="s">
        <v>184</v>
      </c>
      <c r="G122" s="144">
        <v>2.4762819978250414</v>
      </c>
      <c r="H122" s="145">
        <v>6.8651308756156917</v>
      </c>
      <c r="I122" s="146">
        <v>4.638001653320365</v>
      </c>
      <c r="J122" s="147">
        <v>0.87168704826598276</v>
      </c>
      <c r="K122" s="148">
        <v>145</v>
      </c>
      <c r="M122" s="149">
        <f t="shared" si="8"/>
        <v>0.67558823529411749</v>
      </c>
      <c r="N122" s="138">
        <f t="shared" si="9"/>
        <v>4.638001653320365</v>
      </c>
      <c r="O122" s="149"/>
      <c r="V122" s="158">
        <f t="shared" si="10"/>
        <v>131.23701590049356</v>
      </c>
      <c r="W122" s="158">
        <f t="shared" si="11"/>
        <v>40.998946307631442</v>
      </c>
      <c r="X122" s="158">
        <f t="shared" si="12"/>
        <v>21.269204713990867</v>
      </c>
      <c r="Y122" s="158">
        <f t="shared" si="13"/>
        <v>15.55597329525709</v>
      </c>
      <c r="Z122" s="158">
        <f t="shared" si="14"/>
        <v>5.8047429001844648</v>
      </c>
      <c r="AA122" s="158">
        <f t="shared" si="15"/>
        <v>-0.49905392220695904</v>
      </c>
    </row>
    <row r="123" spans="1:27" ht="19.5" thickBot="1" x14ac:dyDescent="0.35">
      <c r="A123" s="142">
        <v>30</v>
      </c>
      <c r="B123" s="143" t="s">
        <v>532</v>
      </c>
      <c r="C123" s="142">
        <v>6</v>
      </c>
      <c r="D123" s="143" t="s">
        <v>177</v>
      </c>
      <c r="E123" s="142">
        <v>451381</v>
      </c>
      <c r="F123" s="143" t="s">
        <v>534</v>
      </c>
      <c r="G123" s="144">
        <v>6.4918796420425462</v>
      </c>
      <c r="H123" s="145">
        <v>6.9317366435095531</v>
      </c>
      <c r="I123" s="146">
        <v>4.1705948805115813</v>
      </c>
      <c r="J123" s="147">
        <v>0.88461812228503378</v>
      </c>
      <c r="K123" s="148">
        <v>176</v>
      </c>
      <c r="M123" s="149">
        <f t="shared" si="8"/>
        <v>0.60166666666666668</v>
      </c>
      <c r="N123" s="138">
        <f t="shared" si="9"/>
        <v>4.1705948805115813</v>
      </c>
      <c r="O123" s="149"/>
      <c r="V123" s="158">
        <f t="shared" si="10"/>
        <v>392.05596993519066</v>
      </c>
      <c r="W123" s="158">
        <f t="shared" si="11"/>
        <v>126.42036753916631</v>
      </c>
      <c r="X123" s="158">
        <f t="shared" si="12"/>
        <v>68.34153432619199</v>
      </c>
      <c r="Y123" s="158">
        <f t="shared" si="13"/>
        <v>51.523381229715675</v>
      </c>
      <c r="Z123" s="158">
        <f t="shared" si="14"/>
        <v>22.8184901368057</v>
      </c>
      <c r="AA123" s="158">
        <f t="shared" si="15"/>
        <v>4.2618779014909443</v>
      </c>
    </row>
    <row r="124" spans="1:27" ht="19.5" thickBot="1" x14ac:dyDescent="0.35">
      <c r="A124" s="142">
        <v>30</v>
      </c>
      <c r="B124" s="143" t="s">
        <v>532</v>
      </c>
      <c r="C124" s="142">
        <v>6</v>
      </c>
      <c r="D124" s="143" t="s">
        <v>177</v>
      </c>
      <c r="E124" s="142">
        <v>551354</v>
      </c>
      <c r="F124" s="143" t="s">
        <v>186</v>
      </c>
      <c r="G124" s="144">
        <v>2.7823128830548205</v>
      </c>
      <c r="H124" s="145">
        <v>6.1100245423638233</v>
      </c>
      <c r="I124" s="146">
        <v>4.0020660752483046</v>
      </c>
      <c r="J124" s="147">
        <v>0.88928056746550443</v>
      </c>
      <c r="K124" s="148">
        <v>181</v>
      </c>
      <c r="M124" s="149">
        <f t="shared" si="8"/>
        <v>0.65500000000000003</v>
      </c>
      <c r="N124" s="138">
        <f t="shared" si="9"/>
        <v>4.0020660752483046</v>
      </c>
      <c r="O124" s="149"/>
      <c r="V124" s="158">
        <f t="shared" si="10"/>
        <v>155.16051063865552</v>
      </c>
      <c r="W124" s="158">
        <f t="shared" si="11"/>
        <v>50.583447667958353</v>
      </c>
      <c r="X124" s="158">
        <f t="shared" si="12"/>
        <v>27.718614251830637</v>
      </c>
      <c r="Y124" s="158">
        <f t="shared" si="13"/>
        <v>21.097539969781188</v>
      </c>
      <c r="Z124" s="158">
        <f t="shared" si="14"/>
        <v>9.7968213299849687</v>
      </c>
      <c r="AA124" s="158">
        <f t="shared" si="15"/>
        <v>2.4913397275521296</v>
      </c>
    </row>
    <row r="125" spans="1:27" ht="19.5" thickBot="1" x14ac:dyDescent="0.35">
      <c r="A125" s="142">
        <v>30</v>
      </c>
      <c r="B125" s="143" t="s">
        <v>532</v>
      </c>
      <c r="C125" s="142">
        <v>6</v>
      </c>
      <c r="D125" s="143" t="s">
        <v>177</v>
      </c>
      <c r="E125" s="142">
        <v>451166</v>
      </c>
      <c r="F125" s="143" t="s">
        <v>187</v>
      </c>
      <c r="G125" s="144">
        <v>6.3293904736944011</v>
      </c>
      <c r="H125" s="145">
        <v>2.2119033512287545</v>
      </c>
      <c r="I125" s="146">
        <v>1.1762586035641485</v>
      </c>
      <c r="J125" s="147">
        <v>0.96745813720920115</v>
      </c>
      <c r="K125" s="148">
        <v>264</v>
      </c>
      <c r="M125" s="149">
        <f t="shared" si="8"/>
        <v>0.53178571428571431</v>
      </c>
      <c r="N125" s="138">
        <f t="shared" si="9"/>
        <v>1.1762586035641485</v>
      </c>
      <c r="O125" s="149"/>
      <c r="V125" s="158">
        <f t="shared" si="10"/>
        <v>472.97167819024963</v>
      </c>
      <c r="W125" s="158">
        <f t="shared" si="11"/>
        <v>179.9518586617871</v>
      </c>
      <c r="X125" s="158">
        <f t="shared" si="12"/>
        <v>115.88571288544776</v>
      </c>
      <c r="Y125" s="158">
        <f t="shared" si="13"/>
        <v>97.333786333883609</v>
      </c>
      <c r="Z125" s="158">
        <f t="shared" si="14"/>
        <v>65.669724996620104</v>
      </c>
      <c r="AA125" s="158">
        <f t="shared" si="15"/>
        <v>45.200122581861223</v>
      </c>
    </row>
    <row r="126" spans="1:27" ht="19.5" thickBot="1" x14ac:dyDescent="0.35">
      <c r="A126" s="142">
        <v>30</v>
      </c>
      <c r="B126" s="143" t="s">
        <v>532</v>
      </c>
      <c r="C126" s="142">
        <v>2</v>
      </c>
      <c r="D126" s="143" t="s">
        <v>188</v>
      </c>
      <c r="E126" s="142">
        <v>508815</v>
      </c>
      <c r="F126" s="143" t="s">
        <v>189</v>
      </c>
      <c r="G126" s="144">
        <v>2.9213564213564207</v>
      </c>
      <c r="H126" s="145">
        <v>11.638429241788099</v>
      </c>
      <c r="I126" s="146">
        <v>7.7138824401086703</v>
      </c>
      <c r="J126" s="147">
        <v>0.78659105813147967</v>
      </c>
      <c r="K126" s="148">
        <v>60</v>
      </c>
      <c r="M126" s="149">
        <f t="shared" si="8"/>
        <v>0.66279411764705876</v>
      </c>
      <c r="N126" s="138">
        <f t="shared" si="9"/>
        <v>7.7138824401086703</v>
      </c>
      <c r="O126" s="149"/>
      <c r="V126" s="158">
        <f t="shared" si="10"/>
        <v>142.40742627271717</v>
      </c>
      <c r="W126" s="158">
        <f t="shared" si="11"/>
        <v>33.895449531148707</v>
      </c>
      <c r="X126" s="158">
        <f t="shared" si="12"/>
        <v>10.170282641102242</v>
      </c>
      <c r="Y126" s="158">
        <f t="shared" si="13"/>
        <v>3.3000776641345557</v>
      </c>
      <c r="Z126" s="158">
        <f t="shared" si="14"/>
        <v>-8.4258523186971495</v>
      </c>
      <c r="AA126" s="158">
        <f t="shared" si="15"/>
        <v>-16.006216762009878</v>
      </c>
    </row>
    <row r="127" spans="1:27" ht="19.5" thickBot="1" x14ac:dyDescent="0.35">
      <c r="A127" s="142">
        <v>30</v>
      </c>
      <c r="B127" s="143" t="s">
        <v>532</v>
      </c>
      <c r="C127" s="142">
        <v>2</v>
      </c>
      <c r="D127" s="143" t="s">
        <v>188</v>
      </c>
      <c r="E127" s="142">
        <v>408801</v>
      </c>
      <c r="F127" s="143" t="s">
        <v>190</v>
      </c>
      <c r="G127" s="144">
        <v>8.5281722426518165</v>
      </c>
      <c r="H127" s="145">
        <v>10.084224093163776</v>
      </c>
      <c r="I127" s="146">
        <v>6.4427638697544616</v>
      </c>
      <c r="J127" s="147">
        <v>0.82175727581691493</v>
      </c>
      <c r="K127" s="148">
        <v>88</v>
      </c>
      <c r="M127" s="149">
        <f t="shared" si="8"/>
        <v>0.63889534883720933</v>
      </c>
      <c r="N127" s="138">
        <f t="shared" si="9"/>
        <v>6.4427638697544616</v>
      </c>
      <c r="O127" s="149"/>
      <c r="V127" s="158">
        <f t="shared" si="10"/>
        <v>450.55470161514404</v>
      </c>
      <c r="W127" s="158">
        <f t="shared" si="11"/>
        <v>121.93166031920283</v>
      </c>
      <c r="X127" s="158">
        <f t="shared" si="12"/>
        <v>50.081190603502577</v>
      </c>
      <c r="Y127" s="158">
        <f t="shared" si="13"/>
        <v>29.275121802133516</v>
      </c>
      <c r="Z127" s="158">
        <f t="shared" si="14"/>
        <v>-6.2362649469870988</v>
      </c>
      <c r="AA127" s="158">
        <f t="shared" si="15"/>
        <v>-29.193015826438781</v>
      </c>
    </row>
    <row r="128" spans="1:27" ht="19.5" thickBot="1" x14ac:dyDescent="0.35">
      <c r="A128" s="142">
        <v>30</v>
      </c>
      <c r="B128" s="143" t="s">
        <v>532</v>
      </c>
      <c r="C128" s="142">
        <v>2</v>
      </c>
      <c r="D128" s="143" t="s">
        <v>188</v>
      </c>
      <c r="E128" s="142">
        <v>408822</v>
      </c>
      <c r="F128" s="143" t="s">
        <v>188</v>
      </c>
      <c r="G128" s="144">
        <v>4.154172973979426</v>
      </c>
      <c r="H128" s="145">
        <v>15.646917065596874</v>
      </c>
      <c r="I128" s="146">
        <v>9.8154314361494226</v>
      </c>
      <c r="J128" s="147">
        <v>0.72845051074668044</v>
      </c>
      <c r="K128" s="148">
        <v>29</v>
      </c>
      <c r="M128" s="149">
        <f t="shared" si="8"/>
        <v>0.62730769230769223</v>
      </c>
      <c r="N128" s="138">
        <f t="shared" si="9"/>
        <v>9.8154314361494226</v>
      </c>
      <c r="O128" s="149"/>
      <c r="V128" s="158">
        <f t="shared" si="10"/>
        <v>198.1443742820085</v>
      </c>
      <c r="W128" s="158">
        <f t="shared" si="11"/>
        <v>35.111292951114159</v>
      </c>
      <c r="X128" s="158">
        <f t="shared" si="12"/>
        <v>-0.53442265856425664</v>
      </c>
      <c r="Y128" s="158">
        <f t="shared" si="13"/>
        <v>-10.856515393428374</v>
      </c>
      <c r="Z128" s="158">
        <f t="shared" si="14"/>
        <v>-28.474059133547524</v>
      </c>
      <c r="AA128" s="158">
        <f t="shared" si="15"/>
        <v>-39.863126127946842</v>
      </c>
    </row>
    <row r="129" spans="1:27" ht="19.5" thickBot="1" x14ac:dyDescent="0.35">
      <c r="A129" s="142">
        <v>30</v>
      </c>
      <c r="B129" s="143" t="s">
        <v>532</v>
      </c>
      <c r="C129" s="142">
        <v>2</v>
      </c>
      <c r="D129" s="143" t="s">
        <v>188</v>
      </c>
      <c r="E129" s="142">
        <v>508817</v>
      </c>
      <c r="F129" s="143" t="s">
        <v>191</v>
      </c>
      <c r="G129" s="144">
        <v>3.1974210582415354</v>
      </c>
      <c r="H129" s="145">
        <v>5.9422890053927722</v>
      </c>
      <c r="I129" s="146">
        <v>3.8624878535053022</v>
      </c>
      <c r="J129" s="147">
        <v>0.89314207829890568</v>
      </c>
      <c r="K129" s="148">
        <v>190</v>
      </c>
      <c r="M129" s="149">
        <f t="shared" si="8"/>
        <v>0.65</v>
      </c>
      <c r="N129" s="138">
        <f t="shared" si="9"/>
        <v>3.8624878535053022</v>
      </c>
      <c r="O129" s="149"/>
      <c r="V129" s="158">
        <f t="shared" si="10"/>
        <v>180.46158030060013</v>
      </c>
      <c r="W129" s="158">
        <f t="shared" si="11"/>
        <v>59.357647155817155</v>
      </c>
      <c r="X129" s="158">
        <f t="shared" si="12"/>
        <v>32.879362350962573</v>
      </c>
      <c r="Y129" s="158">
        <f t="shared" si="13"/>
        <v>25.211924440369923</v>
      </c>
      <c r="Z129" s="158">
        <f t="shared" si="14"/>
        <v>12.125293053281148</v>
      </c>
      <c r="AA129" s="158">
        <f t="shared" si="15"/>
        <v>3.6652872887343761</v>
      </c>
    </row>
    <row r="130" spans="1:27" ht="19.5" thickBot="1" x14ac:dyDescent="0.35">
      <c r="A130" s="142">
        <v>30</v>
      </c>
      <c r="B130" s="143" t="s">
        <v>532</v>
      </c>
      <c r="C130" s="142">
        <v>2</v>
      </c>
      <c r="D130" s="143" t="s">
        <v>188</v>
      </c>
      <c r="E130" s="142">
        <v>508802</v>
      </c>
      <c r="F130" s="143" t="s">
        <v>192</v>
      </c>
      <c r="G130" s="144">
        <v>3.6646238141786531</v>
      </c>
      <c r="H130" s="145">
        <v>7.0948619335508365</v>
      </c>
      <c r="I130" s="146">
        <v>4.7071680136058438</v>
      </c>
      <c r="J130" s="147">
        <v>0.86977352159818289</v>
      </c>
      <c r="K130" s="148">
        <v>143</v>
      </c>
      <c r="M130" s="149">
        <f t="shared" si="8"/>
        <v>0.66346153846153855</v>
      </c>
      <c r="N130" s="138">
        <f t="shared" si="9"/>
        <v>4.7071680136058438</v>
      </c>
      <c r="O130" s="149"/>
      <c r="V130" s="158">
        <f t="shared" si="10"/>
        <v>197.33202005146495</v>
      </c>
      <c r="W130" s="158">
        <f t="shared" si="11"/>
        <v>61.348768380638774</v>
      </c>
      <c r="X130" s="158">
        <f t="shared" si="12"/>
        <v>31.617254523646718</v>
      </c>
      <c r="Y130" s="158">
        <f t="shared" si="13"/>
        <v>23.007764212377914</v>
      </c>
      <c r="Z130" s="158">
        <f t="shared" si="14"/>
        <v>8.3132564187597549</v>
      </c>
      <c r="AA130" s="158">
        <f t="shared" si="15"/>
        <v>-1.1861798352357884</v>
      </c>
    </row>
    <row r="131" spans="1:27" ht="19.5" thickBot="1" x14ac:dyDescent="0.35">
      <c r="A131" s="142">
        <v>30</v>
      </c>
      <c r="B131" s="143" t="s">
        <v>532</v>
      </c>
      <c r="C131" s="142">
        <v>2</v>
      </c>
      <c r="D131" s="143" t="s">
        <v>188</v>
      </c>
      <c r="E131" s="142">
        <v>508839</v>
      </c>
      <c r="F131" s="143" t="s">
        <v>193</v>
      </c>
      <c r="G131" s="144">
        <v>2.8205915806701234</v>
      </c>
      <c r="H131" s="145">
        <v>7.4452466439720304</v>
      </c>
      <c r="I131" s="146">
        <v>5.0574496845838581</v>
      </c>
      <c r="J131" s="147">
        <v>0.86008278008899519</v>
      </c>
      <c r="K131" s="148">
        <v>131</v>
      </c>
      <c r="M131" s="149">
        <f t="shared" si="8"/>
        <v>0.67928571428571438</v>
      </c>
      <c r="N131" s="138">
        <f t="shared" si="9"/>
        <v>5.0574496845838581</v>
      </c>
      <c r="O131" s="149"/>
      <c r="V131" s="158">
        <f t="shared" si="10"/>
        <v>146.69175616642517</v>
      </c>
      <c r="W131" s="158">
        <f t="shared" si="11"/>
        <v>44.466196280248546</v>
      </c>
      <c r="X131" s="158">
        <f t="shared" si="12"/>
        <v>22.115497845327361</v>
      </c>
      <c r="Y131" s="158">
        <f t="shared" si="13"/>
        <v>15.643303978875755</v>
      </c>
      <c r="Z131" s="158">
        <f t="shared" si="14"/>
        <v>4.596691488018001</v>
      </c>
      <c r="AA131" s="158">
        <f t="shared" si="15"/>
        <v>-2.5445202254541726</v>
      </c>
    </row>
    <row r="132" spans="1:27" ht="19.5" thickBot="1" x14ac:dyDescent="0.35">
      <c r="A132" s="142">
        <v>30</v>
      </c>
      <c r="B132" s="143" t="s">
        <v>532</v>
      </c>
      <c r="C132" s="142">
        <v>2</v>
      </c>
      <c r="D132" s="143" t="s">
        <v>188</v>
      </c>
      <c r="E132" s="142">
        <v>508819</v>
      </c>
      <c r="F132" s="143" t="s">
        <v>194</v>
      </c>
      <c r="G132" s="144">
        <v>1.9545245414810632</v>
      </c>
      <c r="H132" s="145">
        <v>4.6047004317378111</v>
      </c>
      <c r="I132" s="146">
        <v>2.9930552806295774</v>
      </c>
      <c r="J132" s="147">
        <v>0.91719542456701653</v>
      </c>
      <c r="K132" s="148">
        <v>216</v>
      </c>
      <c r="M132" s="149">
        <f t="shared" si="8"/>
        <v>0.65</v>
      </c>
      <c r="N132" s="138">
        <f t="shared" si="9"/>
        <v>2.9930552806295774</v>
      </c>
      <c r="O132" s="149"/>
      <c r="V132" s="158">
        <f t="shared" si="10"/>
        <v>113.28368875999432</v>
      </c>
      <c r="W132" s="158">
        <f t="shared" si="11"/>
        <v>39.255087243390513</v>
      </c>
      <c r="X132" s="158">
        <f t="shared" si="12"/>
        <v>23.069399927039587</v>
      </c>
      <c r="Y132" s="158">
        <f t="shared" si="13"/>
        <v>18.382436498213767</v>
      </c>
      <c r="Z132" s="158">
        <f t="shared" si="14"/>
        <v>10.382820011841959</v>
      </c>
      <c r="AA132" s="158">
        <f t="shared" si="15"/>
        <v>5.2113744666087847</v>
      </c>
    </row>
    <row r="133" spans="1:27" ht="19.5" thickBot="1" x14ac:dyDescent="0.35">
      <c r="A133" s="142">
        <v>30</v>
      </c>
      <c r="B133" s="143" t="s">
        <v>532</v>
      </c>
      <c r="C133" s="142">
        <v>2</v>
      </c>
      <c r="D133" s="143" t="s">
        <v>188</v>
      </c>
      <c r="E133" s="142">
        <v>408840</v>
      </c>
      <c r="F133" s="143" t="s">
        <v>195</v>
      </c>
      <c r="G133" s="144">
        <v>5.9904369278843319</v>
      </c>
      <c r="H133" s="145">
        <v>12.353022140262295</v>
      </c>
      <c r="I133" s="146">
        <v>8.9200505143907538</v>
      </c>
      <c r="J133" s="147">
        <v>0.7532217328343076</v>
      </c>
      <c r="K133" s="148">
        <v>38</v>
      </c>
      <c r="M133" s="149">
        <f t="shared" si="8"/>
        <v>0.72209459459459469</v>
      </c>
      <c r="N133" s="138">
        <f t="shared" si="9"/>
        <v>8.9200505143907538</v>
      </c>
      <c r="O133" s="149"/>
      <c r="V133" s="158">
        <f t="shared" si="10"/>
        <v>256.66401255074646</v>
      </c>
      <c r="W133" s="158">
        <f t="shared" si="11"/>
        <v>52.426186164525483</v>
      </c>
      <c r="X133" s="158">
        <f t="shared" si="12"/>
        <v>7.7714239734944703</v>
      </c>
      <c r="Y133" s="158">
        <f t="shared" si="13"/>
        <v>-5.1594595423908363</v>
      </c>
      <c r="Z133" s="158">
        <f t="shared" si="14"/>
        <v>-27.229635793572715</v>
      </c>
      <c r="AA133" s="158">
        <f t="shared" si="15"/>
        <v>-41.497159099361951</v>
      </c>
    </row>
    <row r="134" spans="1:27" ht="19.5" thickBot="1" x14ac:dyDescent="0.35">
      <c r="A134" s="142">
        <v>30</v>
      </c>
      <c r="B134" s="143" t="s">
        <v>532</v>
      </c>
      <c r="C134" s="142">
        <v>2</v>
      </c>
      <c r="D134" s="143" t="s">
        <v>188</v>
      </c>
      <c r="E134" s="142">
        <v>408862</v>
      </c>
      <c r="F134" s="143" t="s">
        <v>196</v>
      </c>
      <c r="G134" s="144">
        <v>3.8731675345588394</v>
      </c>
      <c r="H134" s="145">
        <v>14.200263610921906</v>
      </c>
      <c r="I134" s="146">
        <v>9.3670102509863042</v>
      </c>
      <c r="J134" s="147">
        <v>0.74085633769310988</v>
      </c>
      <c r="K134" s="148">
        <v>32</v>
      </c>
      <c r="M134" s="149">
        <f t="shared" ref="M134:M197" si="16">IF(ISERROR(I134/H134),$O$3,(I134/H134))</f>
        <v>0.65963636363636358</v>
      </c>
      <c r="N134" s="138">
        <f t="shared" ref="N134:N197" si="17">I134</f>
        <v>9.3670102509863042</v>
      </c>
      <c r="O134" s="149"/>
      <c r="V134" s="158">
        <f t="shared" ref="V134:V197" si="18">(((($O$5-N134))/M134)*G134)+((((($O$5-N134)/$T$2))*$T$3/M134)*G134)</f>
        <v>178.67896399096412</v>
      </c>
      <c r="W134" s="158">
        <f t="shared" ref="W134:W197" si="19">(((($P$5-N134))/M134)*G134)+((((($P$5-N134)/$T$2))*$T$3/M134)*G134)</f>
        <v>34.123847550428316</v>
      </c>
      <c r="X134" s="158">
        <f t="shared" ref="X134:X197" si="20">(((($Q$5-N134))/M134)*G134)+((((($Q$5-N134)/$T$2))*$T$3/M134)*G134)</f>
        <v>2.5181726254408665</v>
      </c>
      <c r="Y134" s="158">
        <f t="shared" ref="Y134:Y197" si="21">(((($R$5-N134))/M134)*G134)+((((($R$5-N134)/$T$2))*$T$3/M134)*G134)</f>
        <v>-6.6340270693553069</v>
      </c>
      <c r="Z134" s="158">
        <f t="shared" ref="Z134:Z197" si="22">(((($S$5-N134))/M134)*G134)+((((($S$5-N134)/$T$2))*$T$3/M134)*G134)</f>
        <v>-22.254820505629286</v>
      </c>
      <c r="AA134" s="158">
        <f t="shared" ref="AA134:AA197" si="23">(((($T$5-N134))/M134)*G134)+((((($T$5-N134)/$T$2))*$T$3/M134)*G134)</f>
        <v>-32.353064936052604</v>
      </c>
    </row>
    <row r="135" spans="1:27" ht="19.5" thickBot="1" x14ac:dyDescent="0.35">
      <c r="A135" s="142">
        <v>30</v>
      </c>
      <c r="B135" s="143" t="s">
        <v>532</v>
      </c>
      <c r="C135" s="142">
        <v>2</v>
      </c>
      <c r="D135" s="143" t="s">
        <v>188</v>
      </c>
      <c r="E135" s="142">
        <v>508860</v>
      </c>
      <c r="F135" s="143" t="s">
        <v>197</v>
      </c>
      <c r="G135" s="144">
        <v>2.780643064148463</v>
      </c>
      <c r="H135" s="145">
        <v>10.069613162872686</v>
      </c>
      <c r="I135" s="146">
        <v>7.3004695430826976</v>
      </c>
      <c r="J135" s="147">
        <v>0.79802836088973494</v>
      </c>
      <c r="K135" s="148">
        <v>68</v>
      </c>
      <c r="M135" s="149">
        <f t="shared" si="16"/>
        <v>0.72499999999999998</v>
      </c>
      <c r="N135" s="138">
        <f t="shared" si="17"/>
        <v>7.3004695430826976</v>
      </c>
      <c r="O135" s="149"/>
      <c r="V135" s="158">
        <f t="shared" si="18"/>
        <v>125.71968814390185</v>
      </c>
      <c r="W135" s="158">
        <f t="shared" si="19"/>
        <v>31.296423530259226</v>
      </c>
      <c r="X135" s="158">
        <f t="shared" si="20"/>
        <v>10.651626720438342</v>
      </c>
      <c r="Y135" s="158">
        <f t="shared" si="21"/>
        <v>4.6734185818552438</v>
      </c>
      <c r="Z135" s="158">
        <f t="shared" si="22"/>
        <v>-5.5300688382188268</v>
      </c>
      <c r="AA135" s="158">
        <f t="shared" si="23"/>
        <v>-12.126232498599119</v>
      </c>
    </row>
    <row r="136" spans="1:27" ht="19.5" thickBot="1" x14ac:dyDescent="0.35">
      <c r="A136" s="142">
        <v>30</v>
      </c>
      <c r="B136" s="143" t="s">
        <v>532</v>
      </c>
      <c r="C136" s="142">
        <v>2</v>
      </c>
      <c r="D136" s="143" t="s">
        <v>188</v>
      </c>
      <c r="E136" s="142">
        <v>408806</v>
      </c>
      <c r="F136" s="143" t="s">
        <v>535</v>
      </c>
      <c r="G136" s="144">
        <v>8.6991771745688098</v>
      </c>
      <c r="H136" s="145">
        <v>6.5523438431204619</v>
      </c>
      <c r="I136" s="146">
        <v>4.7613698593342031</v>
      </c>
      <c r="J136" s="147">
        <v>0.86827399673064465</v>
      </c>
      <c r="K136" s="148">
        <v>142</v>
      </c>
      <c r="M136" s="149">
        <f t="shared" si="16"/>
        <v>0.72666666666666679</v>
      </c>
      <c r="N136" s="138">
        <f t="shared" si="17"/>
        <v>4.7613698593342031</v>
      </c>
      <c r="O136" s="149"/>
      <c r="V136" s="158">
        <f t="shared" si="18"/>
        <v>426.95043797262662</v>
      </c>
      <c r="W136" s="158">
        <f t="shared" si="19"/>
        <v>132.22697522811444</v>
      </c>
      <c r="X136" s="158">
        <f t="shared" si="20"/>
        <v>67.788343198777085</v>
      </c>
      <c r="Y136" s="158">
        <f t="shared" si="21"/>
        <v>49.128554101037437</v>
      </c>
      <c r="Z136" s="158">
        <f t="shared" si="22"/>
        <v>17.280395103156248</v>
      </c>
      <c r="AA136" s="158">
        <f t="shared" si="23"/>
        <v>-3.3082193953082895</v>
      </c>
    </row>
    <row r="137" spans="1:27" ht="19.5" thickBot="1" x14ac:dyDescent="0.35">
      <c r="A137" s="142">
        <v>30</v>
      </c>
      <c r="B137" s="143" t="s">
        <v>532</v>
      </c>
      <c r="C137" s="142">
        <v>2</v>
      </c>
      <c r="D137" s="143" t="s">
        <v>188</v>
      </c>
      <c r="E137" s="142">
        <v>508833</v>
      </c>
      <c r="F137" s="143" t="s">
        <v>199</v>
      </c>
      <c r="G137" s="144">
        <v>2.9260884420239259</v>
      </c>
      <c r="H137" s="145">
        <v>25.289734560728263</v>
      </c>
      <c r="I137" s="146">
        <v>14.951701176106237</v>
      </c>
      <c r="J137" s="147">
        <v>0.58635268920663097</v>
      </c>
      <c r="K137" s="148">
        <v>8</v>
      </c>
      <c r="M137" s="149">
        <f t="shared" si="16"/>
        <v>0.59121621621621623</v>
      </c>
      <c r="N137" s="138">
        <f t="shared" si="17"/>
        <v>14.951701176106237</v>
      </c>
      <c r="O137" s="149"/>
      <c r="V137" s="158">
        <f t="shared" si="18"/>
        <v>119.20041396791618</v>
      </c>
      <c r="W137" s="158">
        <f t="shared" si="19"/>
        <v>-2.6460372724169439</v>
      </c>
      <c r="X137" s="158">
        <f t="shared" si="20"/>
        <v>-29.286666974717836</v>
      </c>
      <c r="Y137" s="158">
        <f t="shared" si="21"/>
        <v>-37.001115839020109</v>
      </c>
      <c r="Z137" s="158">
        <f t="shared" si="22"/>
        <v>-50.167984592166107</v>
      </c>
      <c r="AA137" s="158">
        <f t="shared" si="23"/>
        <v>-58.679860739494949</v>
      </c>
    </row>
    <row r="138" spans="1:27" ht="19.5" thickBot="1" x14ac:dyDescent="0.35">
      <c r="A138" s="142">
        <v>30</v>
      </c>
      <c r="B138" s="143" t="s">
        <v>532</v>
      </c>
      <c r="C138" s="142">
        <v>2</v>
      </c>
      <c r="D138" s="143" t="s">
        <v>188</v>
      </c>
      <c r="E138" s="142">
        <v>508820</v>
      </c>
      <c r="F138" s="143" t="s">
        <v>200</v>
      </c>
      <c r="G138" s="144">
        <v>2.846087604152121</v>
      </c>
      <c r="H138" s="145">
        <v>27.757402788567681</v>
      </c>
      <c r="I138" s="146">
        <v>19.853570184405278</v>
      </c>
      <c r="J138" s="147">
        <v>0.45073969712887579</v>
      </c>
      <c r="K138" s="148">
        <v>3</v>
      </c>
      <c r="M138" s="149">
        <f t="shared" si="16"/>
        <v>0.71525316455696208</v>
      </c>
      <c r="N138" s="138">
        <f t="shared" si="17"/>
        <v>19.853570184405278</v>
      </c>
      <c r="O138" s="149"/>
      <c r="V138" s="158">
        <f t="shared" si="18"/>
        <v>73.670228286708294</v>
      </c>
      <c r="W138" s="158">
        <f t="shared" si="19"/>
        <v>-24.292359665882397</v>
      </c>
      <c r="X138" s="158">
        <f t="shared" si="20"/>
        <v>-45.710997662785921</v>
      </c>
      <c r="Y138" s="158">
        <f t="shared" si="21"/>
        <v>-51.913290529603671</v>
      </c>
      <c r="Z138" s="158">
        <f t="shared" si="22"/>
        <v>-62.499241332111062</v>
      </c>
      <c r="AA138" s="158">
        <f t="shared" si="23"/>
        <v>-69.342652914772287</v>
      </c>
    </row>
    <row r="139" spans="1:27" ht="19.5" thickBot="1" x14ac:dyDescent="0.35">
      <c r="A139" s="142">
        <v>30</v>
      </c>
      <c r="B139" s="143" t="s">
        <v>532</v>
      </c>
      <c r="C139" s="142">
        <v>2</v>
      </c>
      <c r="D139" s="143" t="s">
        <v>188</v>
      </c>
      <c r="E139" s="142">
        <v>408814</v>
      </c>
      <c r="F139" s="143" t="s">
        <v>201</v>
      </c>
      <c r="G139" s="144">
        <v>0.62457229747552401</v>
      </c>
      <c r="H139" s="145">
        <v>27.218626360331331</v>
      </c>
      <c r="I139" s="146">
        <v>18.948967233795372</v>
      </c>
      <c r="J139" s="147">
        <v>0.47576605188598586</v>
      </c>
      <c r="K139" s="148">
        <v>4</v>
      </c>
      <c r="M139" s="149">
        <f t="shared" si="16"/>
        <v>0.69617647058823529</v>
      </c>
      <c r="N139" s="138">
        <f t="shared" si="17"/>
        <v>18.948967233795372</v>
      </c>
      <c r="O139" s="149"/>
      <c r="V139" s="158">
        <f t="shared" si="18"/>
        <v>17.532124972671724</v>
      </c>
      <c r="W139" s="158">
        <f t="shared" si="19"/>
        <v>-4.5547946362079124</v>
      </c>
      <c r="X139" s="158">
        <f t="shared" si="20"/>
        <v>-9.3839007823036784</v>
      </c>
      <c r="Y139" s="158">
        <f t="shared" si="21"/>
        <v>-10.782287113281662</v>
      </c>
      <c r="Z139" s="158">
        <f t="shared" si="22"/>
        <v>-13.169025247146493</v>
      </c>
      <c r="AA139" s="158">
        <f t="shared" si="23"/>
        <v>-14.711960000461335</v>
      </c>
    </row>
    <row r="140" spans="1:27" ht="19.5" thickBot="1" x14ac:dyDescent="0.35">
      <c r="A140" s="142">
        <v>30</v>
      </c>
      <c r="B140" s="143" t="s">
        <v>532</v>
      </c>
      <c r="C140" s="142">
        <v>11</v>
      </c>
      <c r="D140" s="143" t="s">
        <v>202</v>
      </c>
      <c r="E140" s="142">
        <v>551367</v>
      </c>
      <c r="F140" s="143" t="s">
        <v>203</v>
      </c>
      <c r="G140" s="144">
        <v>2.7066750453847233</v>
      </c>
      <c r="H140" s="145">
        <v>10.714252547401005</v>
      </c>
      <c r="I140" s="146">
        <v>7.1249779440216683</v>
      </c>
      <c r="J140" s="147">
        <v>0.80288343571790433</v>
      </c>
      <c r="K140" s="148">
        <v>75</v>
      </c>
      <c r="M140" s="149">
        <f t="shared" si="16"/>
        <v>0.66500000000000004</v>
      </c>
      <c r="N140" s="138">
        <f t="shared" si="17"/>
        <v>7.1249779440216683</v>
      </c>
      <c r="O140" s="149"/>
      <c r="V140" s="158">
        <f t="shared" si="18"/>
        <v>134.22848949011723</v>
      </c>
      <c r="W140" s="158">
        <f t="shared" si="19"/>
        <v>34.024215106496804</v>
      </c>
      <c r="X140" s="158">
        <f t="shared" si="20"/>
        <v>12.11545255110333</v>
      </c>
      <c r="Y140" s="158">
        <f t="shared" si="21"/>
        <v>5.7712320764977356</v>
      </c>
      <c r="Z140" s="158">
        <f t="shared" si="22"/>
        <v>-5.0569579600835315</v>
      </c>
      <c r="AA140" s="158">
        <f t="shared" si="23"/>
        <v>-12.056967925938011</v>
      </c>
    </row>
    <row r="141" spans="1:27" ht="19.5" thickBot="1" x14ac:dyDescent="0.35">
      <c r="A141" s="142">
        <v>30</v>
      </c>
      <c r="B141" s="143" t="s">
        <v>532</v>
      </c>
      <c r="C141" s="142">
        <v>11</v>
      </c>
      <c r="D141" s="143" t="s">
        <v>202</v>
      </c>
      <c r="E141" s="142">
        <v>551340</v>
      </c>
      <c r="F141" s="143" t="s">
        <v>204</v>
      </c>
      <c r="G141" s="144">
        <v>2.9894179894179898</v>
      </c>
      <c r="H141" s="145">
        <v>8.6973451327433615</v>
      </c>
      <c r="I141" s="146">
        <v>5.3053805309734505</v>
      </c>
      <c r="J141" s="147">
        <v>0.85322363231284315</v>
      </c>
      <c r="K141" s="148">
        <v>124</v>
      </c>
      <c r="M141" s="149">
        <f t="shared" si="16"/>
        <v>0.61</v>
      </c>
      <c r="N141" s="138">
        <f t="shared" si="17"/>
        <v>5.3053805309734505</v>
      </c>
      <c r="O141" s="149"/>
      <c r="V141" s="158">
        <f t="shared" si="18"/>
        <v>171.75026499727551</v>
      </c>
      <c r="W141" s="158">
        <f t="shared" si="19"/>
        <v>51.099915995150411</v>
      </c>
      <c r="X141" s="158">
        <f t="shared" si="20"/>
        <v>24.720803279924858</v>
      </c>
      <c r="Y141" s="158">
        <f t="shared" si="21"/>
        <v>17.082083084444736</v>
      </c>
      <c r="Z141" s="158">
        <f t="shared" si="22"/>
        <v>4.0444665255605585</v>
      </c>
      <c r="AA141" s="158">
        <f t="shared" si="23"/>
        <v>-4.3838530306034897</v>
      </c>
    </row>
    <row r="142" spans="1:27" ht="19.5" thickBot="1" x14ac:dyDescent="0.35">
      <c r="A142" s="142">
        <v>30</v>
      </c>
      <c r="B142" s="143" t="s">
        <v>532</v>
      </c>
      <c r="C142" s="142">
        <v>11</v>
      </c>
      <c r="D142" s="143" t="s">
        <v>202</v>
      </c>
      <c r="E142" s="142">
        <v>551369</v>
      </c>
      <c r="F142" s="143" t="s">
        <v>205</v>
      </c>
      <c r="G142" s="144">
        <v>2.9247757073844021</v>
      </c>
      <c r="H142" s="145">
        <v>3.7609721566776795</v>
      </c>
      <c r="I142" s="146">
        <v>2.8908199622463435</v>
      </c>
      <c r="J142" s="147">
        <v>0.92002382275523786</v>
      </c>
      <c r="K142" s="148">
        <v>218</v>
      </c>
      <c r="M142" s="149">
        <f t="shared" si="16"/>
        <v>0.76863636363636356</v>
      </c>
      <c r="N142" s="138">
        <f t="shared" si="17"/>
        <v>2.8908199622463435</v>
      </c>
      <c r="O142" s="149"/>
      <c r="V142" s="158">
        <f t="shared" si="18"/>
        <v>143.79654267850972</v>
      </c>
      <c r="W142" s="158">
        <f t="shared" si="19"/>
        <v>50.117290755893372</v>
      </c>
      <c r="X142" s="158">
        <f t="shared" si="20"/>
        <v>29.635165623365314</v>
      </c>
      <c r="Y142" s="158">
        <f t="shared" si="21"/>
        <v>23.704063065625053</v>
      </c>
      <c r="Z142" s="158">
        <f t="shared" si="22"/>
        <v>13.580974519327741</v>
      </c>
      <c r="AA142" s="158">
        <f t="shared" si="23"/>
        <v>7.0367856502818746</v>
      </c>
    </row>
    <row r="143" spans="1:27" ht="19.5" thickBot="1" x14ac:dyDescent="0.35">
      <c r="A143" s="142">
        <v>30</v>
      </c>
      <c r="B143" s="143" t="s">
        <v>532</v>
      </c>
      <c r="C143" s="142">
        <v>11</v>
      </c>
      <c r="D143" s="143" t="s">
        <v>202</v>
      </c>
      <c r="E143" s="142">
        <v>551365</v>
      </c>
      <c r="F143" s="143" t="s">
        <v>206</v>
      </c>
      <c r="G143" s="144">
        <v>2.668153180775902</v>
      </c>
      <c r="H143" s="145">
        <v>6.7462393575040469</v>
      </c>
      <c r="I143" s="146">
        <v>4.38505558237763</v>
      </c>
      <c r="J143" s="147">
        <v>0.8786849450797859</v>
      </c>
      <c r="K143" s="148">
        <v>160</v>
      </c>
      <c r="M143" s="149">
        <f t="shared" si="16"/>
        <v>0.64999999999999991</v>
      </c>
      <c r="N143" s="138">
        <f t="shared" si="17"/>
        <v>4.38505558237763</v>
      </c>
      <c r="O143" s="149"/>
      <c r="V143" s="158">
        <f t="shared" si="18"/>
        <v>148.15227311383342</v>
      </c>
      <c r="W143" s="158">
        <f t="shared" si="19"/>
        <v>47.094627424081452</v>
      </c>
      <c r="X143" s="158">
        <f t="shared" si="20"/>
        <v>24.999282914648315</v>
      </c>
      <c r="Y143" s="158">
        <f t="shared" si="21"/>
        <v>18.60103305111592</v>
      </c>
      <c r="Z143" s="158">
        <f t="shared" si="22"/>
        <v>7.68062672205214</v>
      </c>
      <c r="AA143" s="158">
        <f t="shared" si="23"/>
        <v>0.6210024564660368</v>
      </c>
    </row>
    <row r="144" spans="1:27" ht="19.5" thickBot="1" x14ac:dyDescent="0.35">
      <c r="A144" s="142">
        <v>30</v>
      </c>
      <c r="B144" s="143" t="s">
        <v>532</v>
      </c>
      <c r="C144" s="142">
        <v>11</v>
      </c>
      <c r="D144" s="143" t="s">
        <v>202</v>
      </c>
      <c r="E144" s="142">
        <v>451370</v>
      </c>
      <c r="F144" s="143" t="s">
        <v>536</v>
      </c>
      <c r="G144" s="144">
        <v>10.628939992255416</v>
      </c>
      <c r="H144" s="145">
        <v>13.453834540809746</v>
      </c>
      <c r="I144" s="146">
        <v>9.2389269364162043</v>
      </c>
      <c r="J144" s="147">
        <v>0.74439983538647536</v>
      </c>
      <c r="K144" s="148">
        <v>34</v>
      </c>
      <c r="M144" s="149">
        <f t="shared" si="16"/>
        <v>0.6867132867132868</v>
      </c>
      <c r="N144" s="138">
        <f t="shared" si="17"/>
        <v>9.2389269364162043</v>
      </c>
      <c r="O144" s="149"/>
      <c r="V144" s="158">
        <f t="shared" si="18"/>
        <v>473.25858898880239</v>
      </c>
      <c r="W144" s="158">
        <f t="shared" si="19"/>
        <v>92.204804949866798</v>
      </c>
      <c r="X144" s="158">
        <f t="shared" si="20"/>
        <v>8.8908253148037275</v>
      </c>
      <c r="Y144" s="158">
        <f t="shared" si="21"/>
        <v>-15.234784430851205</v>
      </c>
      <c r="Z144" s="158">
        <f t="shared" si="22"/>
        <v>-56.411898013208081</v>
      </c>
      <c r="AA144" s="158">
        <f t="shared" si="23"/>
        <v>-83.031324202427854</v>
      </c>
    </row>
    <row r="145" spans="1:27" ht="19.5" thickBot="1" x14ac:dyDescent="0.35">
      <c r="A145" s="142">
        <v>30</v>
      </c>
      <c r="B145" s="143" t="s">
        <v>532</v>
      </c>
      <c r="C145" s="142">
        <v>11</v>
      </c>
      <c r="D145" s="143" t="s">
        <v>202</v>
      </c>
      <c r="E145" s="142">
        <v>551314</v>
      </c>
      <c r="F145" s="143" t="s">
        <v>208</v>
      </c>
      <c r="G145" s="144">
        <v>2.3655582742539263</v>
      </c>
      <c r="H145" s="145">
        <v>1.6909327677677104</v>
      </c>
      <c r="I145" s="146">
        <v>1.4668841760384888</v>
      </c>
      <c r="J145" s="147">
        <v>0.95941781557048977</v>
      </c>
      <c r="K145" s="148">
        <v>259</v>
      </c>
      <c r="M145" s="149">
        <f t="shared" si="16"/>
        <v>0.86749999999999994</v>
      </c>
      <c r="N145" s="138">
        <f t="shared" si="17"/>
        <v>1.4668841760384888</v>
      </c>
      <c r="O145" s="149"/>
      <c r="V145" s="158">
        <f t="shared" si="18"/>
        <v>107.46070306663353</v>
      </c>
      <c r="W145" s="158">
        <f t="shared" si="19"/>
        <v>40.327720621783968</v>
      </c>
      <c r="X145" s="158">
        <f t="shared" si="20"/>
        <v>25.649698341129376</v>
      </c>
      <c r="Y145" s="158">
        <f t="shared" si="21"/>
        <v>21.399316365232632</v>
      </c>
      <c r="Z145" s="158">
        <f t="shared" si="22"/>
        <v>14.144848468460655</v>
      </c>
      <c r="AA145" s="158">
        <f t="shared" si="23"/>
        <v>9.4551129352996401</v>
      </c>
    </row>
    <row r="146" spans="1:27" ht="19.5" thickBot="1" x14ac:dyDescent="0.35">
      <c r="A146" s="142">
        <v>30</v>
      </c>
      <c r="B146" s="143" t="s">
        <v>532</v>
      </c>
      <c r="C146" s="142">
        <v>11</v>
      </c>
      <c r="D146" s="143" t="s">
        <v>202</v>
      </c>
      <c r="E146" s="142">
        <v>451361</v>
      </c>
      <c r="F146" s="143" t="s">
        <v>209</v>
      </c>
      <c r="G146" s="144">
        <v>1.8899021605893966</v>
      </c>
      <c r="H146" s="145">
        <v>19.577733054953992</v>
      </c>
      <c r="I146" s="146">
        <v>13.146183182441403</v>
      </c>
      <c r="J146" s="147">
        <v>0.63630337066233089</v>
      </c>
      <c r="K146" s="148">
        <v>11</v>
      </c>
      <c r="M146" s="149">
        <f t="shared" si="16"/>
        <v>0.67148648648648646</v>
      </c>
      <c r="N146" s="138">
        <f t="shared" si="17"/>
        <v>13.146183182441403</v>
      </c>
      <c r="O146" s="149"/>
      <c r="V146" s="158">
        <f t="shared" si="18"/>
        <v>73.560386020139546</v>
      </c>
      <c r="W146" s="158">
        <f t="shared" si="19"/>
        <v>4.2698663677225532</v>
      </c>
      <c r="X146" s="158">
        <f t="shared" si="20"/>
        <v>-10.879882001223029</v>
      </c>
      <c r="Y146" s="158">
        <f t="shared" si="21"/>
        <v>-15.266863855829245</v>
      </c>
      <c r="Z146" s="158">
        <f t="shared" si="22"/>
        <v>-22.75447772405046</v>
      </c>
      <c r="AA146" s="158">
        <f t="shared" si="23"/>
        <v>-27.594933194535255</v>
      </c>
    </row>
    <row r="147" spans="1:27" ht="19.5" thickBot="1" x14ac:dyDescent="0.35">
      <c r="A147" s="142">
        <v>30</v>
      </c>
      <c r="B147" s="143" t="s">
        <v>532</v>
      </c>
      <c r="C147" s="142">
        <v>11</v>
      </c>
      <c r="D147" s="143" t="s">
        <v>202</v>
      </c>
      <c r="E147" s="142">
        <v>451350</v>
      </c>
      <c r="F147" s="143" t="s">
        <v>210</v>
      </c>
      <c r="G147" s="144">
        <v>8.0221390946569269</v>
      </c>
      <c r="H147" s="145">
        <v>6.6067166593134949</v>
      </c>
      <c r="I147" s="146">
        <v>4.8708953483523558</v>
      </c>
      <c r="J147" s="147">
        <v>0.8652439118284605</v>
      </c>
      <c r="K147" s="148">
        <v>136</v>
      </c>
      <c r="M147" s="149">
        <f t="shared" si="16"/>
        <v>0.73726415094339637</v>
      </c>
      <c r="N147" s="138">
        <f t="shared" si="17"/>
        <v>4.8708953483523558</v>
      </c>
      <c r="O147" s="149"/>
      <c r="V147" s="158">
        <f t="shared" si="18"/>
        <v>386.7081759376191</v>
      </c>
      <c r="W147" s="158">
        <f t="shared" si="19"/>
        <v>118.82906760221275</v>
      </c>
      <c r="X147" s="158">
        <f t="shared" si="20"/>
        <v>60.259712011626441</v>
      </c>
      <c r="Y147" s="158">
        <f t="shared" si="21"/>
        <v>43.299516109061472</v>
      </c>
      <c r="Z147" s="158">
        <f t="shared" si="22"/>
        <v>14.352189163896092</v>
      </c>
      <c r="AA147" s="158">
        <f t="shared" si="23"/>
        <v>-4.3611485607326737</v>
      </c>
    </row>
    <row r="148" spans="1:27" ht="19.5" thickBot="1" x14ac:dyDescent="0.35">
      <c r="A148" s="142">
        <v>30</v>
      </c>
      <c r="B148" s="143" t="s">
        <v>532</v>
      </c>
      <c r="C148" s="142">
        <v>11</v>
      </c>
      <c r="D148" s="143" t="s">
        <v>202</v>
      </c>
      <c r="E148" s="142">
        <v>551310</v>
      </c>
      <c r="F148" s="143" t="s">
        <v>211</v>
      </c>
      <c r="G148" s="144">
        <v>3.6958525562848132</v>
      </c>
      <c r="H148" s="145">
        <v>18.128428821129841</v>
      </c>
      <c r="I148" s="146">
        <v>11.502082226660141</v>
      </c>
      <c r="J148" s="147">
        <v>0.68178835802407234</v>
      </c>
      <c r="K148" s="148">
        <v>18</v>
      </c>
      <c r="M148" s="149">
        <f t="shared" si="16"/>
        <v>0.63447761194029839</v>
      </c>
      <c r="N148" s="138">
        <f t="shared" si="17"/>
        <v>11.502082226660141</v>
      </c>
      <c r="O148" s="149"/>
      <c r="V148" s="158">
        <f t="shared" si="18"/>
        <v>163.1269240409718</v>
      </c>
      <c r="W148" s="158">
        <f t="shared" si="19"/>
        <v>19.720003977087426</v>
      </c>
      <c r="X148" s="158">
        <f t="shared" si="20"/>
        <v>-11.634628146205612</v>
      </c>
      <c r="Y148" s="158">
        <f t="shared" si="21"/>
        <v>-20.714132229897093</v>
      </c>
      <c r="Z148" s="158">
        <f t="shared" si="22"/>
        <v>-36.210850234836698</v>
      </c>
      <c r="AA148" s="158">
        <f t="shared" si="23"/>
        <v>-46.228884652975033</v>
      </c>
    </row>
    <row r="149" spans="1:27" ht="19.5" thickBot="1" x14ac:dyDescent="0.35">
      <c r="A149" s="142">
        <v>30</v>
      </c>
      <c r="B149" s="143" t="s">
        <v>532</v>
      </c>
      <c r="C149" s="142">
        <v>11</v>
      </c>
      <c r="D149" s="143" t="s">
        <v>202</v>
      </c>
      <c r="E149" s="142">
        <v>551309</v>
      </c>
      <c r="F149" s="143" t="s">
        <v>212</v>
      </c>
      <c r="G149" s="144">
        <v>2.8061909416748136</v>
      </c>
      <c r="H149" s="145">
        <v>15.323262348761055</v>
      </c>
      <c r="I149" s="146">
        <v>8.7200053412600695</v>
      </c>
      <c r="J149" s="147">
        <v>0.75875609624406704</v>
      </c>
      <c r="K149" s="148">
        <v>43</v>
      </c>
      <c r="M149" s="149">
        <f t="shared" si="16"/>
        <v>0.56906976744186044</v>
      </c>
      <c r="N149" s="138">
        <f t="shared" si="17"/>
        <v>8.7200053412600695</v>
      </c>
      <c r="O149" s="149"/>
      <c r="V149" s="158">
        <f t="shared" si="18"/>
        <v>153.68505234052185</v>
      </c>
      <c r="W149" s="158">
        <f t="shared" si="19"/>
        <v>32.283712870449342</v>
      </c>
      <c r="X149" s="158">
        <f t="shared" si="20"/>
        <v>5.7404028498210753</v>
      </c>
      <c r="Y149" s="158">
        <f t="shared" si="21"/>
        <v>-1.9458647096042747</v>
      </c>
      <c r="Z149" s="158">
        <f t="shared" si="22"/>
        <v>-15.064634168927247</v>
      </c>
      <c r="AA149" s="158">
        <f t="shared" si="23"/>
        <v>-23.545415965771454</v>
      </c>
    </row>
    <row r="150" spans="1:27" ht="19.5" thickBot="1" x14ac:dyDescent="0.35">
      <c r="A150" s="142">
        <v>30</v>
      </c>
      <c r="B150" s="143" t="s">
        <v>532</v>
      </c>
      <c r="C150" s="142">
        <v>11</v>
      </c>
      <c r="D150" s="143" t="s">
        <v>202</v>
      </c>
      <c r="E150" s="142">
        <v>551305</v>
      </c>
      <c r="F150" s="143" t="s">
        <v>213</v>
      </c>
      <c r="G150" s="144">
        <v>3.7250110427726142</v>
      </c>
      <c r="H150" s="145">
        <v>0.80536674000489106</v>
      </c>
      <c r="I150" s="146">
        <v>0.2899320264017608</v>
      </c>
      <c r="J150" s="147">
        <v>0.99197886570756144</v>
      </c>
      <c r="K150" s="148">
        <v>278</v>
      </c>
      <c r="M150" s="149">
        <f t="shared" si="16"/>
        <v>0.36000000000000004</v>
      </c>
      <c r="N150" s="138">
        <f t="shared" si="17"/>
        <v>0.2899320264017608</v>
      </c>
      <c r="O150" s="149"/>
      <c r="V150" s="158">
        <f t="shared" si="18"/>
        <v>421.60447759637628</v>
      </c>
      <c r="W150" s="158">
        <f t="shared" si="19"/>
        <v>166.86465755793688</v>
      </c>
      <c r="X150" s="158">
        <f t="shared" si="20"/>
        <v>111.16808907364759</v>
      </c>
      <c r="Y150" s="158">
        <f t="shared" si="21"/>
        <v>95.039779259257216</v>
      </c>
      <c r="Z150" s="158">
        <f t="shared" si="22"/>
        <v>67.51229903719971</v>
      </c>
      <c r="AA150" s="158">
        <f t="shared" si="23"/>
        <v>49.71683781623075</v>
      </c>
    </row>
    <row r="151" spans="1:27" ht="19.5" thickBot="1" x14ac:dyDescent="0.35">
      <c r="A151" s="142">
        <v>30</v>
      </c>
      <c r="B151" s="143" t="s">
        <v>532</v>
      </c>
      <c r="C151" s="142">
        <v>11</v>
      </c>
      <c r="D151" s="143" t="s">
        <v>202</v>
      </c>
      <c r="E151" s="142">
        <v>451301</v>
      </c>
      <c r="F151" s="143" t="s">
        <v>214</v>
      </c>
      <c r="G151" s="144">
        <v>7.9314378250547959</v>
      </c>
      <c r="H151" s="145">
        <v>6.430107771745365</v>
      </c>
      <c r="I151" s="146">
        <v>4.278543279101549</v>
      </c>
      <c r="J151" s="147">
        <v>0.88163166848588015</v>
      </c>
      <c r="K151" s="148">
        <v>169</v>
      </c>
      <c r="M151" s="149">
        <f t="shared" si="16"/>
        <v>0.66539215686274522</v>
      </c>
      <c r="N151" s="138">
        <f t="shared" si="17"/>
        <v>4.278543279101549</v>
      </c>
      <c r="O151" s="149"/>
      <c r="V151" s="158">
        <f t="shared" si="18"/>
        <v>431.65736943193076</v>
      </c>
      <c r="W151" s="158">
        <f t="shared" si="19"/>
        <v>138.19932402072348</v>
      </c>
      <c r="X151" s="158">
        <f t="shared" si="20"/>
        <v>74.037364100030118</v>
      </c>
      <c r="Y151" s="158">
        <f t="shared" si="21"/>
        <v>55.457692208909208</v>
      </c>
      <c r="Z151" s="158">
        <f t="shared" si="22"/>
        <v>23.746275674809073</v>
      </c>
      <c r="AA151" s="158">
        <f t="shared" si="23"/>
        <v>3.2460599397564445</v>
      </c>
    </row>
    <row r="152" spans="1:27" ht="19.5" thickBot="1" x14ac:dyDescent="0.35">
      <c r="A152" s="142">
        <v>30</v>
      </c>
      <c r="B152" s="143" t="s">
        <v>532</v>
      </c>
      <c r="C152" s="142">
        <v>11</v>
      </c>
      <c r="D152" s="143" t="s">
        <v>202</v>
      </c>
      <c r="E152" s="142">
        <v>551341</v>
      </c>
      <c r="F152" s="143" t="s">
        <v>215</v>
      </c>
      <c r="G152" s="144">
        <v>4.0442520442520431</v>
      </c>
      <c r="H152" s="145">
        <v>7.170670789724074</v>
      </c>
      <c r="I152" s="146">
        <v>4.2096782825880119</v>
      </c>
      <c r="J152" s="147">
        <v>0.88353685775364998</v>
      </c>
      <c r="K152" s="148">
        <v>172</v>
      </c>
      <c r="M152" s="149">
        <f t="shared" si="16"/>
        <v>0.5870689655172413</v>
      </c>
      <c r="N152" s="138">
        <f t="shared" si="17"/>
        <v>4.2096782825880119</v>
      </c>
      <c r="O152" s="149"/>
      <c r="V152" s="158">
        <f t="shared" si="18"/>
        <v>250.00661134507075</v>
      </c>
      <c r="W152" s="158">
        <f t="shared" si="19"/>
        <v>80.408557300648809</v>
      </c>
      <c r="X152" s="158">
        <f t="shared" si="20"/>
        <v>43.327469505022762</v>
      </c>
      <c r="Y152" s="158">
        <f t="shared" si="21"/>
        <v>32.589729488038344</v>
      </c>
      <c r="Z152" s="158">
        <f t="shared" si="22"/>
        <v>14.262767187041245</v>
      </c>
      <c r="AA152" s="158">
        <f t="shared" si="23"/>
        <v>2.415088275107125</v>
      </c>
    </row>
    <row r="153" spans="1:27" ht="19.5" thickBot="1" x14ac:dyDescent="0.35">
      <c r="A153" s="142">
        <v>30</v>
      </c>
      <c r="B153" s="143" t="s">
        <v>532</v>
      </c>
      <c r="C153" s="142">
        <v>11</v>
      </c>
      <c r="D153" s="143" t="s">
        <v>202</v>
      </c>
      <c r="E153" s="142">
        <v>551306</v>
      </c>
      <c r="F153" s="143" t="s">
        <v>217</v>
      </c>
      <c r="G153" s="144">
        <v>4.911395056556346</v>
      </c>
      <c r="H153" s="145">
        <v>18.528340512645546</v>
      </c>
      <c r="I153" s="146">
        <v>12.187983110845739</v>
      </c>
      <c r="J153" s="147">
        <v>0.66281252023328163</v>
      </c>
      <c r="K153" s="148">
        <v>13</v>
      </c>
      <c r="M153" s="149">
        <f t="shared" si="16"/>
        <v>0.65780219780219773</v>
      </c>
      <c r="N153" s="138">
        <f t="shared" si="17"/>
        <v>12.187983110845739</v>
      </c>
      <c r="O153" s="149"/>
      <c r="V153" s="158">
        <f t="shared" si="18"/>
        <v>203.27219803032654</v>
      </c>
      <c r="W153" s="158">
        <f t="shared" si="19"/>
        <v>19.45703977949324</v>
      </c>
      <c r="X153" s="158">
        <f t="shared" si="20"/>
        <v>-20.73248986853412</v>
      </c>
      <c r="Y153" s="158">
        <f t="shared" si="21"/>
        <v>-32.370355595232375</v>
      </c>
      <c r="Z153" s="158">
        <f t="shared" si="22"/>
        <v>-52.233634655807393</v>
      </c>
      <c r="AA153" s="158">
        <f t="shared" si="23"/>
        <v>-65.074483487314708</v>
      </c>
    </row>
    <row r="154" spans="1:27" ht="19.5" thickBot="1" x14ac:dyDescent="0.35">
      <c r="A154" s="142">
        <v>30</v>
      </c>
      <c r="B154" s="143" t="s">
        <v>532</v>
      </c>
      <c r="C154" s="142">
        <v>11</v>
      </c>
      <c r="D154" s="143" t="s">
        <v>202</v>
      </c>
      <c r="E154" s="142">
        <v>551349</v>
      </c>
      <c r="F154" s="143" t="s">
        <v>218</v>
      </c>
      <c r="G154" s="144">
        <v>2.8078154285050836</v>
      </c>
      <c r="H154" s="145">
        <v>17.095140767694907</v>
      </c>
      <c r="I154" s="146">
        <v>11.2400550547594</v>
      </c>
      <c r="J154" s="147">
        <v>0.68903748865709635</v>
      </c>
      <c r="K154" s="148">
        <v>21</v>
      </c>
      <c r="M154" s="149">
        <f t="shared" si="16"/>
        <v>0.65749999999999997</v>
      </c>
      <c r="N154" s="138">
        <f t="shared" si="17"/>
        <v>11.2400550547594</v>
      </c>
      <c r="O154" s="149"/>
      <c r="V154" s="158">
        <f t="shared" si="18"/>
        <v>120.86300324547946</v>
      </c>
      <c r="W154" s="158">
        <f t="shared" si="19"/>
        <v>15.728668057053762</v>
      </c>
      <c r="X154" s="158">
        <f t="shared" si="20"/>
        <v>-7.258007912917428</v>
      </c>
      <c r="Y154" s="158">
        <f t="shared" si="21"/>
        <v>-13.914364699983649</v>
      </c>
      <c r="Z154" s="158">
        <f t="shared" si="22"/>
        <v>-25.275302821561361</v>
      </c>
      <c r="AA154" s="158">
        <f t="shared" si="23"/>
        <v>-32.619714011597019</v>
      </c>
    </row>
    <row r="155" spans="1:27" ht="19.5" thickBot="1" x14ac:dyDescent="0.35">
      <c r="A155" s="142">
        <v>30</v>
      </c>
      <c r="B155" s="143" t="s">
        <v>532</v>
      </c>
      <c r="C155" s="142">
        <v>11</v>
      </c>
      <c r="D155" s="143" t="s">
        <v>202</v>
      </c>
      <c r="E155" s="142">
        <v>451308</v>
      </c>
      <c r="F155" s="143" t="s">
        <v>219</v>
      </c>
      <c r="G155" s="144">
        <v>8.1451756454500952</v>
      </c>
      <c r="H155" s="145">
        <v>8.2257280771380632</v>
      </c>
      <c r="I155" s="146">
        <v>5.573237702413171</v>
      </c>
      <c r="J155" s="147">
        <v>0.84581321142910981</v>
      </c>
      <c r="K155" s="148">
        <v>110</v>
      </c>
      <c r="M155" s="149">
        <f t="shared" si="16"/>
        <v>0.67753731343283596</v>
      </c>
      <c r="N155" s="138">
        <f t="shared" si="17"/>
        <v>5.573237702413171</v>
      </c>
      <c r="O155" s="149"/>
      <c r="V155" s="158">
        <f t="shared" si="18"/>
        <v>417.65668012599821</v>
      </c>
      <c r="W155" s="158">
        <f t="shared" si="19"/>
        <v>121.69259703428585</v>
      </c>
      <c r="X155" s="158">
        <f t="shared" si="20"/>
        <v>56.98271453409393</v>
      </c>
      <c r="Y155" s="158">
        <f t="shared" si="21"/>
        <v>38.244378198161755</v>
      </c>
      <c r="Z155" s="158">
        <f t="shared" si="22"/>
        <v>6.2621563275601444</v>
      </c>
      <c r="AA155" s="158">
        <f t="shared" si="23"/>
        <v>-14.413124681366771</v>
      </c>
    </row>
    <row r="156" spans="1:27" ht="19.5" thickBot="1" x14ac:dyDescent="0.35">
      <c r="A156" s="142">
        <v>30</v>
      </c>
      <c r="B156" s="143" t="s">
        <v>532</v>
      </c>
      <c r="C156" s="142">
        <v>11</v>
      </c>
      <c r="D156" s="143" t="s">
        <v>202</v>
      </c>
      <c r="E156" s="142">
        <v>551307</v>
      </c>
      <c r="F156" s="143" t="s">
        <v>216</v>
      </c>
      <c r="G156" s="144">
        <v>2.8994516251467903</v>
      </c>
      <c r="H156" s="145">
        <v>10.691676912675018</v>
      </c>
      <c r="I156" s="146">
        <v>6.499504884495507</v>
      </c>
      <c r="J156" s="147">
        <v>0.82018750339551127</v>
      </c>
      <c r="K156" s="148">
        <v>87</v>
      </c>
      <c r="M156" s="149">
        <f t="shared" si="16"/>
        <v>0.60790322580645162</v>
      </c>
      <c r="N156" s="138">
        <f t="shared" si="17"/>
        <v>6.499504884495507</v>
      </c>
      <c r="O156" s="149"/>
      <c r="V156" s="158">
        <f t="shared" si="18"/>
        <v>160.68387578849362</v>
      </c>
      <c r="W156" s="158">
        <f t="shared" si="19"/>
        <v>43.260869996177803</v>
      </c>
      <c r="X156" s="158">
        <f t="shared" si="20"/>
        <v>17.587386821242902</v>
      </c>
      <c r="Y156" s="158">
        <f t="shared" si="21"/>
        <v>10.152998995775913</v>
      </c>
      <c r="Z156" s="158">
        <f t="shared" si="22"/>
        <v>-2.5358671150455665</v>
      </c>
      <c r="AA156" s="158">
        <f t="shared" si="23"/>
        <v>-10.738732869254932</v>
      </c>
    </row>
    <row r="157" spans="1:27" ht="19.5" thickBot="1" x14ac:dyDescent="0.35">
      <c r="A157" s="142">
        <v>30</v>
      </c>
      <c r="B157" s="143" t="s">
        <v>532</v>
      </c>
      <c r="C157" s="142">
        <v>11</v>
      </c>
      <c r="D157" s="143" t="s">
        <v>202</v>
      </c>
      <c r="E157" s="142">
        <v>451336</v>
      </c>
      <c r="F157" s="143" t="s">
        <v>220</v>
      </c>
      <c r="G157" s="144">
        <v>4.9912352884692046</v>
      </c>
      <c r="H157" s="145">
        <v>7.0122921435615959</v>
      </c>
      <c r="I157" s="146">
        <v>4.8024183623191838</v>
      </c>
      <c r="J157" s="147">
        <v>0.86713836656576637</v>
      </c>
      <c r="K157" s="148">
        <v>140</v>
      </c>
      <c r="M157" s="149">
        <f t="shared" si="16"/>
        <v>0.68485714285714283</v>
      </c>
      <c r="N157" s="138">
        <f t="shared" si="17"/>
        <v>4.8024183623191838</v>
      </c>
      <c r="O157" s="149"/>
      <c r="V157" s="158">
        <f t="shared" si="18"/>
        <v>259.58176841330345</v>
      </c>
      <c r="W157" s="158">
        <f t="shared" si="19"/>
        <v>80.158060537548181</v>
      </c>
      <c r="X157" s="158">
        <f t="shared" si="20"/>
        <v>40.928681982208204</v>
      </c>
      <c r="Y157" s="158">
        <f t="shared" si="21"/>
        <v>29.5688515943631</v>
      </c>
      <c r="Z157" s="158">
        <f t="shared" si="22"/>
        <v>10.180117751445321</v>
      </c>
      <c r="AA157" s="158">
        <f t="shared" si="23"/>
        <v>-2.3539557795152719</v>
      </c>
    </row>
    <row r="158" spans="1:27" ht="19.5" thickBot="1" x14ac:dyDescent="0.35">
      <c r="A158" s="142">
        <v>110</v>
      </c>
      <c r="B158" s="143" t="s">
        <v>221</v>
      </c>
      <c r="C158" s="142">
        <v>26</v>
      </c>
      <c r="D158" s="143" t="s">
        <v>222</v>
      </c>
      <c r="E158" s="142">
        <v>554116</v>
      </c>
      <c r="F158" s="143" t="s">
        <v>223</v>
      </c>
      <c r="G158" s="144">
        <v>2.502116364877657</v>
      </c>
      <c r="H158" s="145">
        <v>6.7942483565632363</v>
      </c>
      <c r="I158" s="146">
        <v>4.4162614317661042</v>
      </c>
      <c r="J158" s="147">
        <v>0.87782161752069898</v>
      </c>
      <c r="K158" s="148">
        <v>155</v>
      </c>
      <c r="M158" s="149">
        <f t="shared" si="16"/>
        <v>0.65000000000000013</v>
      </c>
      <c r="N158" s="138">
        <f t="shared" si="17"/>
        <v>4.4162614317661042</v>
      </c>
      <c r="O158" s="149"/>
      <c r="V158" s="158">
        <f t="shared" si="18"/>
        <v>138.79638334603314</v>
      </c>
      <c r="W158" s="158">
        <f t="shared" si="19"/>
        <v>44.027465692360401</v>
      </c>
      <c r="X158" s="158">
        <f t="shared" si="20"/>
        <v>23.307094956904599</v>
      </c>
      <c r="Y158" s="158">
        <f t="shared" si="21"/>
        <v>17.307002531377083</v>
      </c>
      <c r="Z158" s="158">
        <f t="shared" si="22"/>
        <v>7.0661634431512219</v>
      </c>
      <c r="AA158" s="158">
        <f t="shared" si="23"/>
        <v>0.44585336047685387</v>
      </c>
    </row>
    <row r="159" spans="1:27" ht="19.5" thickBot="1" x14ac:dyDescent="0.35">
      <c r="A159" s="142">
        <v>110</v>
      </c>
      <c r="B159" s="143" t="s">
        <v>221</v>
      </c>
      <c r="C159" s="142">
        <v>26</v>
      </c>
      <c r="D159" s="143" t="s">
        <v>222</v>
      </c>
      <c r="E159" s="142">
        <v>454161</v>
      </c>
      <c r="F159" s="143" t="s">
        <v>224</v>
      </c>
      <c r="G159" s="144">
        <v>1.3746450681934557</v>
      </c>
      <c r="H159" s="145">
        <v>13.094289148874926</v>
      </c>
      <c r="I159" s="146">
        <v>8.765899124663493</v>
      </c>
      <c r="J159" s="147">
        <v>0.75748641864261157</v>
      </c>
      <c r="K159" s="148">
        <v>42</v>
      </c>
      <c r="M159" s="149">
        <f t="shared" si="16"/>
        <v>0.66944444444444451</v>
      </c>
      <c r="N159" s="138">
        <f t="shared" si="17"/>
        <v>8.765899124663493</v>
      </c>
      <c r="O159" s="149"/>
      <c r="V159" s="158">
        <f t="shared" si="18"/>
        <v>63.889371863643447</v>
      </c>
      <c r="W159" s="158">
        <f t="shared" si="19"/>
        <v>13.33626977204265</v>
      </c>
      <c r="X159" s="158">
        <f t="shared" si="20"/>
        <v>2.2832890785914155</v>
      </c>
      <c r="Y159" s="158">
        <f t="shared" si="21"/>
        <v>-0.91737304203351167</v>
      </c>
      <c r="Z159" s="158">
        <f t="shared" si="22"/>
        <v>-6.3801998501085375</v>
      </c>
      <c r="AA159" s="158">
        <f t="shared" si="23"/>
        <v>-9.9117080679247316</v>
      </c>
    </row>
    <row r="160" spans="1:27" ht="19.5" thickBot="1" x14ac:dyDescent="0.35">
      <c r="A160" s="142">
        <v>110</v>
      </c>
      <c r="B160" s="143" t="s">
        <v>221</v>
      </c>
      <c r="C160" s="142">
        <v>26</v>
      </c>
      <c r="D160" s="143" t="s">
        <v>222</v>
      </c>
      <c r="E160" s="142">
        <v>554166</v>
      </c>
      <c r="F160" s="143" t="s">
        <v>225</v>
      </c>
      <c r="G160" s="144">
        <v>2.7294855338704069</v>
      </c>
      <c r="H160" s="145">
        <v>5.1291717161614772</v>
      </c>
      <c r="I160" s="146">
        <v>3.3028202157996942</v>
      </c>
      <c r="J160" s="147">
        <v>0.90862560158152472</v>
      </c>
      <c r="K160" s="148">
        <v>206</v>
      </c>
      <c r="M160" s="149">
        <f t="shared" si="16"/>
        <v>0.64392857142857141</v>
      </c>
      <c r="N160" s="138">
        <f t="shared" si="17"/>
        <v>3.3028202157996942</v>
      </c>
      <c r="O160" s="149"/>
      <c r="V160" s="158">
        <f t="shared" si="18"/>
        <v>158.19975341107244</v>
      </c>
      <c r="W160" s="158">
        <f t="shared" si="19"/>
        <v>53.84436582854979</v>
      </c>
      <c r="X160" s="158">
        <f t="shared" si="20"/>
        <v>31.027999740525235</v>
      </c>
      <c r="Y160" s="158">
        <f t="shared" si="21"/>
        <v>24.420960364122514</v>
      </c>
      <c r="Z160" s="158">
        <f t="shared" si="22"/>
        <v>13.144196223716177</v>
      </c>
      <c r="AA160" s="158">
        <f t="shared" si="23"/>
        <v>5.8542002872985979</v>
      </c>
    </row>
    <row r="161" spans="1:27" ht="19.5" thickBot="1" x14ac:dyDescent="0.35">
      <c r="A161" s="142">
        <v>110</v>
      </c>
      <c r="B161" s="143" t="s">
        <v>221</v>
      </c>
      <c r="C161" s="142">
        <v>26</v>
      </c>
      <c r="D161" s="143" t="s">
        <v>222</v>
      </c>
      <c r="E161" s="142">
        <v>454171</v>
      </c>
      <c r="F161" s="143" t="s">
        <v>226</v>
      </c>
      <c r="G161" s="144">
        <v>1.1783439328771577</v>
      </c>
      <c r="H161" s="145">
        <v>3.3945946411700154</v>
      </c>
      <c r="I161" s="146">
        <v>1.4681621823060318</v>
      </c>
      <c r="J161" s="147">
        <v>0.95938245880074702</v>
      </c>
      <c r="K161" s="148">
        <v>258</v>
      </c>
      <c r="M161" s="149">
        <f t="shared" si="16"/>
        <v>0.43250000000000005</v>
      </c>
      <c r="N161" s="138">
        <f t="shared" si="17"/>
        <v>1.4681621823060318</v>
      </c>
      <c r="O161" s="149"/>
      <c r="V161" s="158">
        <f t="shared" si="18"/>
        <v>107.36320391214173</v>
      </c>
      <c r="W161" s="158">
        <f t="shared" si="19"/>
        <v>40.288659406477215</v>
      </c>
      <c r="X161" s="158">
        <f t="shared" si="20"/>
        <v>25.623414055167274</v>
      </c>
      <c r="Y161" s="158">
        <f t="shared" si="21"/>
        <v>21.376731953078824</v>
      </c>
      <c r="Z161" s="158">
        <f t="shared" si="22"/>
        <v>14.128578927750548</v>
      </c>
      <c r="AA161" s="158">
        <f t="shared" si="23"/>
        <v>9.4429257170173511</v>
      </c>
    </row>
    <row r="162" spans="1:27" ht="19.5" thickBot="1" x14ac:dyDescent="0.35">
      <c r="A162" s="142">
        <v>110</v>
      </c>
      <c r="B162" s="143" t="s">
        <v>221</v>
      </c>
      <c r="C162" s="142">
        <v>26</v>
      </c>
      <c r="D162" s="143" t="s">
        <v>222</v>
      </c>
      <c r="E162" s="142">
        <v>554266</v>
      </c>
      <c r="F162" s="143" t="s">
        <v>227</v>
      </c>
      <c r="G162" s="144">
        <v>3.1786816063864465</v>
      </c>
      <c r="H162" s="145">
        <v>17.302771026043242</v>
      </c>
      <c r="I162" s="146">
        <v>10.999843435010947</v>
      </c>
      <c r="J162" s="147">
        <v>0.69568307964102116</v>
      </c>
      <c r="K162" s="148">
        <v>23</v>
      </c>
      <c r="M162" s="149">
        <f t="shared" si="16"/>
        <v>0.63572727272727281</v>
      </c>
      <c r="N162" s="138">
        <f t="shared" si="17"/>
        <v>10.999843435010947</v>
      </c>
      <c r="O162" s="149"/>
      <c r="V162" s="158">
        <f t="shared" si="18"/>
        <v>142.87799845724524</v>
      </c>
      <c r="W162" s="158">
        <f t="shared" si="19"/>
        <v>19.780859345131141</v>
      </c>
      <c r="X162" s="158">
        <f t="shared" si="20"/>
        <v>-7.1332220016460957</v>
      </c>
      <c r="Y162" s="158">
        <f t="shared" si="21"/>
        <v>-14.92685550804374</v>
      </c>
      <c r="Z162" s="158">
        <f t="shared" si="22"/>
        <v>-28.228875042285622</v>
      </c>
      <c r="AA162" s="158">
        <f t="shared" si="23"/>
        <v>-36.828120991157292</v>
      </c>
    </row>
    <row r="163" spans="1:27" ht="19.5" thickBot="1" x14ac:dyDescent="0.35">
      <c r="A163" s="142">
        <v>110</v>
      </c>
      <c r="B163" s="143" t="s">
        <v>221</v>
      </c>
      <c r="C163" s="142">
        <v>26</v>
      </c>
      <c r="D163" s="143" t="s">
        <v>222</v>
      </c>
      <c r="E163" s="142">
        <v>554296</v>
      </c>
      <c r="F163" s="143" t="s">
        <v>228</v>
      </c>
      <c r="G163" s="144">
        <v>3.7074923414334346</v>
      </c>
      <c r="H163" s="145">
        <v>2.9669649960078002</v>
      </c>
      <c r="I163" s="146">
        <v>3.0586711867934957</v>
      </c>
      <c r="J163" s="147">
        <v>0.91538012323037998</v>
      </c>
      <c r="K163" s="148">
        <v>212</v>
      </c>
      <c r="M163" s="149">
        <f t="shared" si="16"/>
        <v>1.0309090909090908</v>
      </c>
      <c r="N163" s="138">
        <f t="shared" si="17"/>
        <v>3.0586711867934957</v>
      </c>
      <c r="O163" s="149"/>
      <c r="V163" s="158">
        <f t="shared" si="18"/>
        <v>135.21943043632177</v>
      </c>
      <c r="W163" s="158">
        <f t="shared" si="19"/>
        <v>46.681030926271035</v>
      </c>
      <c r="X163" s="158">
        <f t="shared" si="20"/>
        <v>27.322906895812057</v>
      </c>
      <c r="Y163" s="158">
        <f t="shared" si="21"/>
        <v>21.717286472774582</v>
      </c>
      <c r="Z163" s="158">
        <f t="shared" si="22"/>
        <v>12.149724396936671</v>
      </c>
      <c r="AA163" s="158">
        <f t="shared" si="23"/>
        <v>5.9646621054974442</v>
      </c>
    </row>
    <row r="164" spans="1:27" ht="19.5" thickBot="1" x14ac:dyDescent="0.35">
      <c r="A164" s="142">
        <v>110</v>
      </c>
      <c r="B164" s="143" t="s">
        <v>221</v>
      </c>
      <c r="C164" s="142">
        <v>26</v>
      </c>
      <c r="D164" s="143" t="s">
        <v>222</v>
      </c>
      <c r="E164" s="142">
        <v>554356</v>
      </c>
      <c r="F164" s="143" t="s">
        <v>229</v>
      </c>
      <c r="G164" s="144">
        <v>3.5906872100420477</v>
      </c>
      <c r="H164" s="145">
        <v>14.760405710576878</v>
      </c>
      <c r="I164" s="146">
        <v>9.6917380892089682</v>
      </c>
      <c r="J164" s="147">
        <v>0.73187255749054636</v>
      </c>
      <c r="K164" s="148">
        <v>31</v>
      </c>
      <c r="M164" s="149">
        <f t="shared" si="16"/>
        <v>0.65660377358490563</v>
      </c>
      <c r="N164" s="138">
        <f t="shared" si="17"/>
        <v>9.6917380892089682</v>
      </c>
      <c r="O164" s="149"/>
      <c r="V164" s="158">
        <f t="shared" si="18"/>
        <v>164.3945420470551</v>
      </c>
      <c r="W164" s="158">
        <f t="shared" si="19"/>
        <v>29.763262218670341</v>
      </c>
      <c r="X164" s="158">
        <f t="shared" si="20"/>
        <v>0.32734483458153751</v>
      </c>
      <c r="Y164" s="158">
        <f t="shared" si="21"/>
        <v>-8.1965482554442861</v>
      </c>
      <c r="Z164" s="158">
        <f t="shared" si="22"/>
        <v>-22.744960404698841</v>
      </c>
      <c r="AA164" s="158">
        <f t="shared" si="23"/>
        <v>-32.149951422412208</v>
      </c>
    </row>
    <row r="165" spans="1:27" ht="19.5" thickBot="1" x14ac:dyDescent="0.35">
      <c r="A165" s="142">
        <v>110</v>
      </c>
      <c r="B165" s="143" t="s">
        <v>221</v>
      </c>
      <c r="C165" s="142">
        <v>26</v>
      </c>
      <c r="D165" s="143" t="s">
        <v>222</v>
      </c>
      <c r="E165" s="142">
        <v>454426</v>
      </c>
      <c r="F165" s="143" t="s">
        <v>230</v>
      </c>
      <c r="G165" s="144">
        <v>8.270629616811938</v>
      </c>
      <c r="H165" s="145">
        <v>11.970068131059811</v>
      </c>
      <c r="I165" s="146">
        <v>7.8984313198129517</v>
      </c>
      <c r="J165" s="147">
        <v>0.78148540848663539</v>
      </c>
      <c r="K165" s="148">
        <v>57</v>
      </c>
      <c r="M165" s="149">
        <f t="shared" si="16"/>
        <v>0.65984848484848491</v>
      </c>
      <c r="N165" s="138">
        <f t="shared" si="17"/>
        <v>7.8984313198129517</v>
      </c>
      <c r="O165" s="149"/>
      <c r="V165" s="158">
        <f t="shared" si="18"/>
        <v>402.33976068078431</v>
      </c>
      <c r="W165" s="158">
        <f t="shared" si="19"/>
        <v>93.760934725562777</v>
      </c>
      <c r="X165" s="158">
        <f t="shared" si="20"/>
        <v>26.292952256142939</v>
      </c>
      <c r="Y165" s="158">
        <f t="shared" si="21"/>
        <v>6.7559403103243829</v>
      </c>
      <c r="Z165" s="158">
        <f t="shared" si="22"/>
        <v>-26.589445295845501</v>
      </c>
      <c r="AA165" s="158">
        <f t="shared" si="23"/>
        <v>-48.145959428852507</v>
      </c>
    </row>
    <row r="166" spans="1:27" ht="19.5" thickBot="1" x14ac:dyDescent="0.35">
      <c r="A166" s="142">
        <v>110</v>
      </c>
      <c r="B166" s="143" t="s">
        <v>221</v>
      </c>
      <c r="C166" s="142">
        <v>26</v>
      </c>
      <c r="D166" s="143" t="s">
        <v>222</v>
      </c>
      <c r="E166" s="142">
        <v>554431</v>
      </c>
      <c r="F166" s="143" t="s">
        <v>231</v>
      </c>
      <c r="G166" s="144">
        <v>2.0619326909649489</v>
      </c>
      <c r="H166" s="145">
        <v>6.3047644847787074</v>
      </c>
      <c r="I166" s="146">
        <v>4.520031153702889</v>
      </c>
      <c r="J166" s="147">
        <v>0.8749507691860946</v>
      </c>
      <c r="K166" s="148">
        <v>149</v>
      </c>
      <c r="M166" s="149">
        <f t="shared" si="16"/>
        <v>0.716923076923077</v>
      </c>
      <c r="N166" s="138">
        <f t="shared" si="17"/>
        <v>4.520031153702889</v>
      </c>
      <c r="O166" s="149"/>
      <c r="V166" s="158">
        <f t="shared" si="18"/>
        <v>103.36256373687209</v>
      </c>
      <c r="W166" s="158">
        <f t="shared" si="19"/>
        <v>32.555970719626117</v>
      </c>
      <c r="X166" s="158">
        <f t="shared" si="20"/>
        <v>17.074746557148679</v>
      </c>
      <c r="Y166" s="158">
        <f t="shared" si="21"/>
        <v>12.591777742491942</v>
      </c>
      <c r="Z166" s="158">
        <f t="shared" si="22"/>
        <v>4.9403352291879896</v>
      </c>
      <c r="AA166" s="158">
        <f t="shared" si="23"/>
        <v>-6.0291830864546425E-3</v>
      </c>
    </row>
    <row r="167" spans="1:27" ht="19.5" thickBot="1" x14ac:dyDescent="0.35">
      <c r="A167" s="142">
        <v>110</v>
      </c>
      <c r="B167" s="143" t="s">
        <v>221</v>
      </c>
      <c r="C167" s="142">
        <v>26</v>
      </c>
      <c r="D167" s="143" t="s">
        <v>222</v>
      </c>
      <c r="E167" s="142">
        <v>554476</v>
      </c>
      <c r="F167" s="143" t="s">
        <v>232</v>
      </c>
      <c r="G167" s="144">
        <v>2.0199468106564877</v>
      </c>
      <c r="H167" s="145">
        <v>7.4259381092935621</v>
      </c>
      <c r="I167" s="146">
        <v>4.7006188231828245</v>
      </c>
      <c r="J167" s="147">
        <v>0.86995470867344926</v>
      </c>
      <c r="K167" s="148">
        <v>144</v>
      </c>
      <c r="M167" s="149">
        <f t="shared" si="16"/>
        <v>0.63300000000000001</v>
      </c>
      <c r="N167" s="138">
        <f t="shared" si="17"/>
        <v>4.7006188231828245</v>
      </c>
      <c r="O167" s="149"/>
      <c r="V167" s="158">
        <f t="shared" si="18"/>
        <v>114.02776134401962</v>
      </c>
      <c r="W167" s="158">
        <f t="shared" si="19"/>
        <v>35.466581415208353</v>
      </c>
      <c r="X167" s="158">
        <f t="shared" si="20"/>
        <v>18.289886631285881</v>
      </c>
      <c r="Y167" s="158">
        <f t="shared" si="21"/>
        <v>13.315952642148494</v>
      </c>
      <c r="Z167" s="158">
        <f t="shared" si="22"/>
        <v>4.826540478845855</v>
      </c>
      <c r="AA167" s="158">
        <f t="shared" si="23"/>
        <v>-0.66153920451801129</v>
      </c>
    </row>
    <row r="168" spans="1:27" ht="19.5" thickBot="1" x14ac:dyDescent="0.35">
      <c r="A168" s="142">
        <v>110</v>
      </c>
      <c r="B168" s="143" t="s">
        <v>221</v>
      </c>
      <c r="C168" s="142">
        <v>26</v>
      </c>
      <c r="D168" s="143" t="s">
        <v>222</v>
      </c>
      <c r="E168" s="142">
        <v>554471</v>
      </c>
      <c r="F168" s="143" t="s">
        <v>233</v>
      </c>
      <c r="G168" s="144">
        <v>1.8614832399778634</v>
      </c>
      <c r="H168" s="145">
        <v>10.206914353000538</v>
      </c>
      <c r="I168" s="146">
        <v>7.1475260771932723</v>
      </c>
      <c r="J168" s="147">
        <v>0.80225962879854518</v>
      </c>
      <c r="K168" s="148">
        <v>74</v>
      </c>
      <c r="M168" s="149">
        <f t="shared" si="16"/>
        <v>0.70026315789473692</v>
      </c>
      <c r="N168" s="138">
        <f t="shared" si="17"/>
        <v>7.1475260771932723</v>
      </c>
      <c r="O168" s="149"/>
      <c r="V168" s="158">
        <f t="shared" si="18"/>
        <v>87.597260020559858</v>
      </c>
      <c r="W168" s="158">
        <f t="shared" si="19"/>
        <v>22.153291613644186</v>
      </c>
      <c r="X168" s="158">
        <f t="shared" si="20"/>
        <v>7.8445570478844004</v>
      </c>
      <c r="Y168" s="158">
        <f t="shared" si="21"/>
        <v>3.7011114028704397</v>
      </c>
      <c r="Z168" s="158">
        <f t="shared" si="22"/>
        <v>-3.3708396792276996</v>
      </c>
      <c r="AA168" s="158">
        <f t="shared" si="23"/>
        <v>-7.9425850850140867</v>
      </c>
    </row>
    <row r="169" spans="1:27" ht="19.5" thickBot="1" x14ac:dyDescent="0.35">
      <c r="A169" s="142">
        <v>110</v>
      </c>
      <c r="B169" s="143" t="s">
        <v>221</v>
      </c>
      <c r="C169" s="142">
        <v>26</v>
      </c>
      <c r="D169" s="143" t="s">
        <v>222</v>
      </c>
      <c r="E169" s="142">
        <v>454481</v>
      </c>
      <c r="F169" s="143" t="s">
        <v>234</v>
      </c>
      <c r="G169" s="144">
        <v>10.399239442446538</v>
      </c>
      <c r="H169" s="145">
        <v>13.174040347682313</v>
      </c>
      <c r="I169" s="146">
        <v>8.8742066677800153</v>
      </c>
      <c r="J169" s="147">
        <v>0.75449002890601202</v>
      </c>
      <c r="K169" s="148">
        <v>39</v>
      </c>
      <c r="M169" s="149">
        <f t="shared" si="16"/>
        <v>0.67361313868613126</v>
      </c>
      <c r="N169" s="138">
        <f t="shared" si="17"/>
        <v>8.8742066677800153</v>
      </c>
      <c r="O169" s="149"/>
      <c r="V169" s="158">
        <f t="shared" si="18"/>
        <v>478.43425249385677</v>
      </c>
      <c r="W169" s="158">
        <f t="shared" si="19"/>
        <v>98.364942482343992</v>
      </c>
      <c r="X169" s="158">
        <f t="shared" si="20"/>
        <v>15.2662092311446</v>
      </c>
      <c r="Y169" s="158">
        <f t="shared" si="21"/>
        <v>-8.7970706356712078</v>
      </c>
      <c r="Z169" s="158">
        <f t="shared" si="22"/>
        <v>-49.867800813521796</v>
      </c>
      <c r="AA169" s="158">
        <f t="shared" si="23"/>
        <v>-76.418454207913442</v>
      </c>
    </row>
    <row r="170" spans="1:27" ht="19.5" thickBot="1" x14ac:dyDescent="0.35">
      <c r="A170" s="142">
        <v>110</v>
      </c>
      <c r="B170" s="143" t="s">
        <v>221</v>
      </c>
      <c r="C170" s="142">
        <v>26</v>
      </c>
      <c r="D170" s="143" t="s">
        <v>222</v>
      </c>
      <c r="E170" s="142">
        <v>554486</v>
      </c>
      <c r="F170" s="143" t="s">
        <v>235</v>
      </c>
      <c r="G170" s="144">
        <v>4.7502856913022802</v>
      </c>
      <c r="H170" s="145">
        <v>6.315409629978606</v>
      </c>
      <c r="I170" s="146">
        <v>3.7387225009473353</v>
      </c>
      <c r="J170" s="147">
        <v>0.89656611711910428</v>
      </c>
      <c r="K170" s="148">
        <v>194</v>
      </c>
      <c r="M170" s="149">
        <f t="shared" si="16"/>
        <v>0.59200000000000008</v>
      </c>
      <c r="N170" s="138">
        <f t="shared" si="17"/>
        <v>3.7387225009473353</v>
      </c>
      <c r="O170" s="149"/>
      <c r="V170" s="158">
        <f t="shared" si="18"/>
        <v>295.50040220274894</v>
      </c>
      <c r="W170" s="158">
        <f t="shared" si="19"/>
        <v>97.953694175474112</v>
      </c>
      <c r="X170" s="158">
        <f t="shared" si="20"/>
        <v>54.761884780198756</v>
      </c>
      <c r="Y170" s="158">
        <f t="shared" si="21"/>
        <v>42.254635189632054</v>
      </c>
      <c r="Z170" s="158">
        <f t="shared" si="22"/>
        <v>20.907508943987363</v>
      </c>
      <c r="AA170" s="158">
        <f t="shared" si="23"/>
        <v>7.1074097624028649</v>
      </c>
    </row>
    <row r="171" spans="1:27" ht="19.5" thickBot="1" x14ac:dyDescent="0.35">
      <c r="A171" s="142">
        <v>110</v>
      </c>
      <c r="B171" s="143" t="s">
        <v>221</v>
      </c>
      <c r="C171" s="142">
        <v>26</v>
      </c>
      <c r="D171" s="143" t="s">
        <v>222</v>
      </c>
      <c r="E171" s="142">
        <v>554491</v>
      </c>
      <c r="F171" s="143" t="s">
        <v>236</v>
      </c>
      <c r="G171" s="144">
        <v>3.3012442740771761</v>
      </c>
      <c r="H171" s="145">
        <v>7.5729021921555484</v>
      </c>
      <c r="I171" s="146">
        <v>5.4524895783519947</v>
      </c>
      <c r="J171" s="147">
        <v>0.84915377690811156</v>
      </c>
      <c r="K171" s="148">
        <v>119</v>
      </c>
      <c r="M171" s="149">
        <f t="shared" si="16"/>
        <v>0.72</v>
      </c>
      <c r="N171" s="138">
        <f t="shared" si="17"/>
        <v>5.4524895783519947</v>
      </c>
      <c r="O171" s="149"/>
      <c r="V171" s="158">
        <f t="shared" si="18"/>
        <v>159.92237889367246</v>
      </c>
      <c r="W171" s="158">
        <f t="shared" si="19"/>
        <v>47.042395099664283</v>
      </c>
      <c r="X171" s="158">
        <f t="shared" si="20"/>
        <v>22.362202788388601</v>
      </c>
      <c r="Y171" s="158">
        <f t="shared" si="21"/>
        <v>15.215446736671156</v>
      </c>
      <c r="Z171" s="158">
        <f t="shared" si="22"/>
        <v>3.0175048487996432</v>
      </c>
      <c r="AA171" s="158">
        <f t="shared" si="23"/>
        <v>-4.8679972055190124</v>
      </c>
    </row>
    <row r="172" spans="1:27" ht="19.5" thickBot="1" x14ac:dyDescent="0.35">
      <c r="A172" s="142">
        <v>110</v>
      </c>
      <c r="B172" s="143" t="s">
        <v>221</v>
      </c>
      <c r="C172" s="142">
        <v>26</v>
      </c>
      <c r="D172" s="143" t="s">
        <v>222</v>
      </c>
      <c r="E172" s="142">
        <v>554601</v>
      </c>
      <c r="F172" s="143" t="s">
        <v>237</v>
      </c>
      <c r="G172" s="144">
        <v>3.9852030364082958</v>
      </c>
      <c r="H172" s="145">
        <v>-0.25092824402273367</v>
      </c>
      <c r="I172" s="146">
        <v>-0.272257144764666</v>
      </c>
      <c r="J172" s="147">
        <v>1.0075321486464801</v>
      </c>
      <c r="K172" s="148">
        <v>288</v>
      </c>
      <c r="M172" s="149">
        <f t="shared" si="16"/>
        <v>1.085</v>
      </c>
      <c r="N172" s="138">
        <f t="shared" si="17"/>
        <v>-0.272257144764666</v>
      </c>
      <c r="O172" s="149"/>
      <c r="V172" s="158">
        <f t="shared" si="18"/>
        <v>152.00481959742098</v>
      </c>
      <c r="W172" s="158">
        <f t="shared" si="19"/>
        <v>61.578992826427921</v>
      </c>
      <c r="X172" s="158">
        <f t="shared" si="20"/>
        <v>41.808199815978604</v>
      </c>
      <c r="Y172" s="158">
        <f t="shared" si="21"/>
        <v>36.083080950915019</v>
      </c>
      <c r="Z172" s="158">
        <f t="shared" si="22"/>
        <v>26.311561297544387</v>
      </c>
      <c r="AA172" s="158">
        <f t="shared" si="23"/>
        <v>19.994648247066273</v>
      </c>
    </row>
    <row r="173" spans="1:27" ht="19.5" thickBot="1" x14ac:dyDescent="0.35">
      <c r="A173" s="142">
        <v>110</v>
      </c>
      <c r="B173" s="143" t="s">
        <v>221</v>
      </c>
      <c r="C173" s="142">
        <v>26</v>
      </c>
      <c r="D173" s="143" t="s">
        <v>222</v>
      </c>
      <c r="E173" s="142">
        <v>554611</v>
      </c>
      <c r="F173" s="143" t="s">
        <v>238</v>
      </c>
      <c r="G173" s="144">
        <v>3.0016649497715413</v>
      </c>
      <c r="H173" s="145">
        <v>2.6651875322090448</v>
      </c>
      <c r="I173" s="146">
        <v>1.2976131797442787</v>
      </c>
      <c r="J173" s="147">
        <v>0.96410079388765324</v>
      </c>
      <c r="K173" s="148">
        <v>262</v>
      </c>
      <c r="M173" s="149">
        <f t="shared" si="16"/>
        <v>0.486875</v>
      </c>
      <c r="N173" s="138">
        <f t="shared" si="17"/>
        <v>1.2976131797442787</v>
      </c>
      <c r="O173" s="149"/>
      <c r="V173" s="158">
        <f t="shared" si="18"/>
        <v>244.14335638167745</v>
      </c>
      <c r="W173" s="158">
        <f t="shared" si="19"/>
        <v>92.362669847611514</v>
      </c>
      <c r="X173" s="158">
        <f t="shared" si="20"/>
        <v>59.177189066234561</v>
      </c>
      <c r="Y173" s="158">
        <f t="shared" si="21"/>
        <v>49.567517771448792</v>
      </c>
      <c r="Z173" s="158">
        <f t="shared" si="22"/>
        <v>33.165920855715939</v>
      </c>
      <c r="AA173" s="158">
        <f t="shared" si="23"/>
        <v>22.562916893078903</v>
      </c>
    </row>
    <row r="174" spans="1:27" ht="19.5" thickBot="1" x14ac:dyDescent="0.35">
      <c r="A174" s="142">
        <v>110</v>
      </c>
      <c r="B174" s="143" t="s">
        <v>221</v>
      </c>
      <c r="C174" s="142">
        <v>26</v>
      </c>
      <c r="D174" s="143" t="s">
        <v>222</v>
      </c>
      <c r="E174" s="142">
        <v>554636</v>
      </c>
      <c r="F174" s="143" t="s">
        <v>239</v>
      </c>
      <c r="G174" s="144">
        <v>2.7065897065897064</v>
      </c>
      <c r="H174" s="145">
        <v>5.9114981339968011</v>
      </c>
      <c r="I174" s="146">
        <v>4.3911347076594991</v>
      </c>
      <c r="J174" s="147">
        <v>0.87851676262380962</v>
      </c>
      <c r="K174" s="148">
        <v>158</v>
      </c>
      <c r="M174" s="149">
        <f t="shared" si="16"/>
        <v>0.7428125000000001</v>
      </c>
      <c r="N174" s="138">
        <f t="shared" si="17"/>
        <v>4.3911347076594991</v>
      </c>
      <c r="O174" s="149"/>
      <c r="V174" s="158">
        <f t="shared" si="18"/>
        <v>131.48342432003872</v>
      </c>
      <c r="W174" s="158">
        <f t="shared" si="19"/>
        <v>41.778766007601867</v>
      </c>
      <c r="X174" s="158">
        <f t="shared" si="20"/>
        <v>22.165649988659485</v>
      </c>
      <c r="Y174" s="158">
        <f t="shared" si="21"/>
        <v>16.486190370454931</v>
      </c>
      <c r="Z174" s="158">
        <f t="shared" si="22"/>
        <v>6.7926010166216138</v>
      </c>
      <c r="AA174" s="158">
        <f t="shared" si="23"/>
        <v>0.52606691881797674</v>
      </c>
    </row>
    <row r="175" spans="1:27" ht="19.5" thickBot="1" x14ac:dyDescent="0.35">
      <c r="A175" s="142">
        <v>110</v>
      </c>
      <c r="B175" s="143" t="s">
        <v>221</v>
      </c>
      <c r="C175" s="142">
        <v>26</v>
      </c>
      <c r="D175" s="143" t="s">
        <v>222</v>
      </c>
      <c r="E175" s="142">
        <v>454671</v>
      </c>
      <c r="F175" s="143" t="s">
        <v>240</v>
      </c>
      <c r="G175" s="144">
        <v>4.3740007442467412</v>
      </c>
      <c r="H175" s="145">
        <v>10.288064093082264</v>
      </c>
      <c r="I175" s="146">
        <v>6.0516679231975008</v>
      </c>
      <c r="J175" s="147">
        <v>0.83257716745667043</v>
      </c>
      <c r="K175" s="148">
        <v>98</v>
      </c>
      <c r="M175" s="149">
        <f t="shared" si="16"/>
        <v>0.5882222222222222</v>
      </c>
      <c r="N175" s="138">
        <f t="shared" si="17"/>
        <v>6.0516679231975008</v>
      </c>
      <c r="O175" s="149"/>
      <c r="V175" s="158">
        <f t="shared" si="18"/>
        <v>254.29607266607064</v>
      </c>
      <c r="W175" s="158">
        <f t="shared" si="19"/>
        <v>71.229437567376493</v>
      </c>
      <c r="X175" s="158">
        <f t="shared" si="20"/>
        <v>31.203565768361134</v>
      </c>
      <c r="Y175" s="158">
        <f t="shared" si="21"/>
        <v>19.613091192756269</v>
      </c>
      <c r="Z175" s="158">
        <f t="shared" si="22"/>
        <v>-0.16930158838605774</v>
      </c>
      <c r="AA175" s="158">
        <f t="shared" si="23"/>
        <v>-12.957860539477821</v>
      </c>
    </row>
    <row r="176" spans="1:27" ht="19.5" thickBot="1" x14ac:dyDescent="0.35">
      <c r="A176" s="142">
        <v>110</v>
      </c>
      <c r="B176" s="143" t="s">
        <v>221</v>
      </c>
      <c r="C176" s="142">
        <v>27</v>
      </c>
      <c r="D176" s="143" t="s">
        <v>241</v>
      </c>
      <c r="E176" s="142">
        <v>554184</v>
      </c>
      <c r="F176" s="143" t="s">
        <v>537</v>
      </c>
      <c r="G176" s="144">
        <v>3.9752389572564639</v>
      </c>
      <c r="H176" s="145">
        <v>1.2577860233717324</v>
      </c>
      <c r="I176" s="146">
        <v>1.255270451324989</v>
      </c>
      <c r="J176" s="147">
        <v>0.96527222953474101</v>
      </c>
      <c r="K176" s="148">
        <v>263</v>
      </c>
      <c r="M176" s="149">
        <f t="shared" si="16"/>
        <v>0.99800000000000011</v>
      </c>
      <c r="N176" s="138">
        <f t="shared" si="17"/>
        <v>1.255270451324989</v>
      </c>
      <c r="O176" s="149"/>
      <c r="V176" s="158">
        <f t="shared" si="18"/>
        <v>157.92840227567314</v>
      </c>
      <c r="W176" s="158">
        <f t="shared" si="19"/>
        <v>59.865560982514289</v>
      </c>
      <c r="X176" s="158">
        <f t="shared" si="20"/>
        <v>38.425003495175815</v>
      </c>
      <c r="Y176" s="158">
        <f t="shared" si="21"/>
        <v>32.216363301362357</v>
      </c>
      <c r="Z176" s="158">
        <f t="shared" si="22"/>
        <v>21.619579006669596</v>
      </c>
      <c r="AA176" s="158">
        <f t="shared" si="23"/>
        <v>14.769163986406502</v>
      </c>
    </row>
    <row r="177" spans="1:27" ht="19.5" thickBot="1" x14ac:dyDescent="0.35">
      <c r="A177" s="142">
        <v>110</v>
      </c>
      <c r="B177" s="143" t="s">
        <v>221</v>
      </c>
      <c r="C177" s="142">
        <v>27</v>
      </c>
      <c r="D177" s="143" t="s">
        <v>241</v>
      </c>
      <c r="E177" s="142">
        <v>554506</v>
      </c>
      <c r="F177" s="143" t="s">
        <v>243</v>
      </c>
      <c r="G177" s="144">
        <v>2.6208074601622977</v>
      </c>
      <c r="H177" s="145">
        <v>9.5390448859802301</v>
      </c>
      <c r="I177" s="146">
        <v>6.3663585569032044</v>
      </c>
      <c r="J177" s="147">
        <v>0.82387107222168487</v>
      </c>
      <c r="K177" s="148">
        <v>90</v>
      </c>
      <c r="M177" s="149">
        <f t="shared" si="16"/>
        <v>0.66739999999999988</v>
      </c>
      <c r="N177" s="138">
        <f t="shared" si="17"/>
        <v>6.3663585569032044</v>
      </c>
      <c r="O177" s="149"/>
      <c r="V177" s="158">
        <f t="shared" si="18"/>
        <v>132.88804106941095</v>
      </c>
      <c r="W177" s="158">
        <f t="shared" si="19"/>
        <v>36.211592556470301</v>
      </c>
      <c r="X177" s="158">
        <f t="shared" si="20"/>
        <v>15.074157370222792</v>
      </c>
      <c r="Y177" s="158">
        <f t="shared" si="21"/>
        <v>8.9532936861062531</v>
      </c>
      <c r="Z177" s="158">
        <f t="shared" si="22"/>
        <v>-1.4936753977894563</v>
      </c>
      <c r="AA177" s="158">
        <f t="shared" si="23"/>
        <v>-8.2472406245900221</v>
      </c>
    </row>
    <row r="178" spans="1:27" ht="19.5" thickBot="1" x14ac:dyDescent="0.35">
      <c r="A178" s="142">
        <v>110</v>
      </c>
      <c r="B178" s="143" t="s">
        <v>221</v>
      </c>
      <c r="C178" s="142">
        <v>27</v>
      </c>
      <c r="D178" s="143" t="s">
        <v>241</v>
      </c>
      <c r="E178" s="142">
        <v>554196</v>
      </c>
      <c r="F178" s="143" t="s">
        <v>244</v>
      </c>
      <c r="G178" s="144">
        <v>3.1714420394420397</v>
      </c>
      <c r="H178" s="145">
        <v>12.612559051224945</v>
      </c>
      <c r="I178" s="146">
        <v>7.7866786442500011</v>
      </c>
      <c r="J178" s="147">
        <v>0.7845771097703963</v>
      </c>
      <c r="K178" s="148">
        <v>59</v>
      </c>
      <c r="M178" s="149">
        <f t="shared" si="16"/>
        <v>0.61737500000000001</v>
      </c>
      <c r="N178" s="138">
        <f t="shared" si="17"/>
        <v>7.7866786442500011</v>
      </c>
      <c r="O178" s="149"/>
      <c r="V178" s="158">
        <f t="shared" si="18"/>
        <v>165.54691964555948</v>
      </c>
      <c r="W178" s="158">
        <f t="shared" si="19"/>
        <v>39.079250774521185</v>
      </c>
      <c r="X178" s="158">
        <f t="shared" si="20"/>
        <v>11.428233437454208</v>
      </c>
      <c r="Y178" s="158">
        <f t="shared" si="21"/>
        <v>3.4212020092775925</v>
      </c>
      <c r="Z178" s="158">
        <f t="shared" si="22"/>
        <v>-10.245040877491746</v>
      </c>
      <c r="AA178" s="158">
        <f t="shared" si="23"/>
        <v>-19.07974326819496</v>
      </c>
    </row>
    <row r="179" spans="1:27" ht="19.5" thickBot="1" x14ac:dyDescent="0.35">
      <c r="A179" s="142">
        <v>110</v>
      </c>
      <c r="B179" s="143" t="s">
        <v>221</v>
      </c>
      <c r="C179" s="142">
        <v>27</v>
      </c>
      <c r="D179" s="143" t="s">
        <v>241</v>
      </c>
      <c r="E179" s="142">
        <v>554257</v>
      </c>
      <c r="F179" s="143" t="s">
        <v>245</v>
      </c>
      <c r="G179" s="144">
        <v>3.4906875203649386</v>
      </c>
      <c r="H179" s="145">
        <v>8.0213424537847793</v>
      </c>
      <c r="I179" s="146">
        <v>4.8400207413104939</v>
      </c>
      <c r="J179" s="147">
        <v>0.8660980753797678</v>
      </c>
      <c r="K179" s="148">
        <v>138</v>
      </c>
      <c r="M179" s="149">
        <f t="shared" si="16"/>
        <v>0.60339285714285706</v>
      </c>
      <c r="N179" s="138">
        <f t="shared" si="17"/>
        <v>4.8400207413104939</v>
      </c>
      <c r="O179" s="149"/>
      <c r="V179" s="158">
        <f t="shared" si="18"/>
        <v>205.80485391056814</v>
      </c>
      <c r="W179" s="158">
        <f t="shared" si="19"/>
        <v>63.381049486190669</v>
      </c>
      <c r="X179" s="158">
        <f t="shared" si="20"/>
        <v>32.241366747471709</v>
      </c>
      <c r="Y179" s="158">
        <f t="shared" si="21"/>
        <v>23.224106539178067</v>
      </c>
      <c r="Z179" s="158">
        <f t="shared" si="22"/>
        <v>7.8336251497720637</v>
      </c>
      <c r="AA179" s="158">
        <f t="shared" si="23"/>
        <v>-2.1157313669846465</v>
      </c>
    </row>
    <row r="180" spans="1:27" ht="19.5" thickBot="1" x14ac:dyDescent="0.35">
      <c r="A180" s="142">
        <v>110</v>
      </c>
      <c r="B180" s="143" t="s">
        <v>221</v>
      </c>
      <c r="C180" s="142">
        <v>27</v>
      </c>
      <c r="D180" s="143" t="s">
        <v>241</v>
      </c>
      <c r="E180" s="142">
        <v>554321</v>
      </c>
      <c r="F180" s="143" t="s">
        <v>246</v>
      </c>
      <c r="G180" s="144">
        <v>2.5343313424514755</v>
      </c>
      <c r="H180" s="145">
        <v>9.86453490955817</v>
      </c>
      <c r="I180" s="146">
        <v>6.240304783786498</v>
      </c>
      <c r="J180" s="147">
        <v>0.82735842149725825</v>
      </c>
      <c r="K180" s="148">
        <v>94</v>
      </c>
      <c r="M180" s="149">
        <f t="shared" si="16"/>
        <v>0.63259999999999994</v>
      </c>
      <c r="N180" s="138">
        <f t="shared" si="17"/>
        <v>6.240304783786498</v>
      </c>
      <c r="O180" s="149"/>
      <c r="V180" s="158">
        <f t="shared" si="18"/>
        <v>136.14623322240004</v>
      </c>
      <c r="W180" s="158">
        <f t="shared" si="19"/>
        <v>37.516926391025699</v>
      </c>
      <c r="X180" s="158">
        <f t="shared" si="20"/>
        <v>15.952516313077524</v>
      </c>
      <c r="Y180" s="158">
        <f t="shared" si="21"/>
        <v>9.7080115587170148</v>
      </c>
      <c r="Z180" s="158">
        <f t="shared" si="22"/>
        <v>-0.9499856586250186</v>
      </c>
      <c r="AA180" s="158">
        <f t="shared" si="23"/>
        <v>-7.8399724879472865</v>
      </c>
    </row>
    <row r="181" spans="1:27" ht="19.5" thickBot="1" x14ac:dyDescent="0.35">
      <c r="A181" s="142">
        <v>110</v>
      </c>
      <c r="B181" s="143" t="s">
        <v>221</v>
      </c>
      <c r="C181" s="142">
        <v>27</v>
      </c>
      <c r="D181" s="143" t="s">
        <v>241</v>
      </c>
      <c r="E181" s="142">
        <v>454355</v>
      </c>
      <c r="F181" s="143" t="s">
        <v>247</v>
      </c>
      <c r="G181" s="144">
        <v>3.729047579312796</v>
      </c>
      <c r="H181" s="145">
        <v>6.7041247043050873</v>
      </c>
      <c r="I181" s="146">
        <v>3.6349764146742185</v>
      </c>
      <c r="J181" s="147">
        <v>0.89943631155963988</v>
      </c>
      <c r="K181" s="148">
        <v>198</v>
      </c>
      <c r="M181" s="149">
        <f t="shared" si="16"/>
        <v>0.54220000000000002</v>
      </c>
      <c r="N181" s="138">
        <f t="shared" si="17"/>
        <v>3.6349764146742185</v>
      </c>
      <c r="O181" s="149"/>
      <c r="V181" s="158">
        <f t="shared" si="18"/>
        <v>254.0894068060073</v>
      </c>
      <c r="W181" s="158">
        <f t="shared" si="19"/>
        <v>84.768656124731379</v>
      </c>
      <c r="X181" s="158">
        <f t="shared" si="20"/>
        <v>47.748198213173168</v>
      </c>
      <c r="Y181" s="158">
        <f t="shared" si="21"/>
        <v>37.028015068737048</v>
      </c>
      <c r="Z181" s="158">
        <f t="shared" si="22"/>
        <v>18.73101849058359</v>
      </c>
      <c r="AA181" s="158">
        <f t="shared" si="23"/>
        <v>6.9027112703016247</v>
      </c>
    </row>
    <row r="182" spans="1:27" ht="19.5" thickBot="1" x14ac:dyDescent="0.35">
      <c r="A182" s="142">
        <v>110</v>
      </c>
      <c r="B182" s="143" t="s">
        <v>221</v>
      </c>
      <c r="C182" s="142">
        <v>27</v>
      </c>
      <c r="D182" s="143" t="s">
        <v>241</v>
      </c>
      <c r="E182" s="142">
        <v>554357</v>
      </c>
      <c r="F182" s="143" t="s">
        <v>538</v>
      </c>
      <c r="G182" s="144">
        <v>4.4497067785987827</v>
      </c>
      <c r="H182" s="145">
        <v>4.7194120972197906</v>
      </c>
      <c r="I182" s="146">
        <v>3.1462747314798603</v>
      </c>
      <c r="J182" s="147">
        <v>0.91295652137740879</v>
      </c>
      <c r="K182" s="148">
        <v>208</v>
      </c>
      <c r="M182" s="149">
        <f t="shared" si="16"/>
        <v>0.66666666666666663</v>
      </c>
      <c r="N182" s="138">
        <f t="shared" si="17"/>
        <v>3.1462747314798603</v>
      </c>
      <c r="O182" s="149"/>
      <c r="V182" s="158">
        <f t="shared" si="18"/>
        <v>250.29402301835938</v>
      </c>
      <c r="W182" s="158">
        <f t="shared" si="19"/>
        <v>85.972509569475292</v>
      </c>
      <c r="X182" s="158">
        <f t="shared" si="20"/>
        <v>50.045089875660572</v>
      </c>
      <c r="Y182" s="158">
        <f t="shared" si="21"/>
        <v>39.64142280204323</v>
      </c>
      <c r="Z182" s="158">
        <f t="shared" si="22"/>
        <v>21.884649593833565</v>
      </c>
      <c r="AA182" s="158">
        <f t="shared" si="23"/>
        <v>10.405576083028304</v>
      </c>
    </row>
    <row r="183" spans="1:27" ht="19.5" thickBot="1" x14ac:dyDescent="0.35">
      <c r="A183" s="142">
        <v>110</v>
      </c>
      <c r="B183" s="143" t="s">
        <v>221</v>
      </c>
      <c r="C183" s="142">
        <v>27</v>
      </c>
      <c r="D183" s="143" t="s">
        <v>241</v>
      </c>
      <c r="E183" s="142">
        <v>554381</v>
      </c>
      <c r="F183" s="143" t="s">
        <v>249</v>
      </c>
      <c r="G183" s="144">
        <v>4.5199524895653918</v>
      </c>
      <c r="H183" s="145">
        <v>5.0885490617649225</v>
      </c>
      <c r="I183" s="146">
        <v>3.133882498256527</v>
      </c>
      <c r="J183" s="147">
        <v>0.91329935955262254</v>
      </c>
      <c r="K183" s="148">
        <v>209</v>
      </c>
      <c r="M183" s="149">
        <f t="shared" si="16"/>
        <v>0.61586956521739122</v>
      </c>
      <c r="N183" s="138">
        <f t="shared" si="17"/>
        <v>3.133882498256527</v>
      </c>
      <c r="O183" s="149"/>
      <c r="V183" s="158">
        <f t="shared" si="18"/>
        <v>275.31889092115006</v>
      </c>
      <c r="W183" s="158">
        <f t="shared" si="19"/>
        <v>94.636053981003897</v>
      </c>
      <c r="X183" s="158">
        <f t="shared" si="20"/>
        <v>55.131378190410985</v>
      </c>
      <c r="Y183" s="158">
        <f t="shared" si="21"/>
        <v>43.691828724316807</v>
      </c>
      <c r="Z183" s="158">
        <f t="shared" si="22"/>
        <v>24.167031935245546</v>
      </c>
      <c r="AA183" s="158">
        <f t="shared" si="23"/>
        <v>11.544998922982888</v>
      </c>
    </row>
    <row r="184" spans="1:27" ht="19.5" thickBot="1" x14ac:dyDescent="0.35">
      <c r="A184" s="142">
        <v>110</v>
      </c>
      <c r="B184" s="143" t="s">
        <v>221</v>
      </c>
      <c r="C184" s="142">
        <v>27</v>
      </c>
      <c r="D184" s="143" t="s">
        <v>241</v>
      </c>
      <c r="E184" s="142">
        <v>554376</v>
      </c>
      <c r="F184" s="143" t="s">
        <v>539</v>
      </c>
      <c r="G184" s="144">
        <v>3.0343497082627509</v>
      </c>
      <c r="H184" s="145">
        <v>8.2389976118847521</v>
      </c>
      <c r="I184" s="146">
        <v>5.3553484477250892</v>
      </c>
      <c r="J184" s="147">
        <v>0.85184124149678719</v>
      </c>
      <c r="K184" s="148">
        <v>121</v>
      </c>
      <c r="M184" s="149">
        <f t="shared" si="16"/>
        <v>0.65</v>
      </c>
      <c r="N184" s="138">
        <f t="shared" si="17"/>
        <v>5.3553484477250892</v>
      </c>
      <c r="O184" s="149"/>
      <c r="V184" s="158">
        <f t="shared" si="18"/>
        <v>163.33853978177282</v>
      </c>
      <c r="W184" s="158">
        <f t="shared" si="19"/>
        <v>48.411016157643076</v>
      </c>
      <c r="X184" s="158">
        <f t="shared" si="20"/>
        <v>23.283147694458883</v>
      </c>
      <c r="Y184" s="158">
        <f t="shared" si="21"/>
        <v>16.006756013994742</v>
      </c>
      <c r="Z184" s="158">
        <f t="shared" si="22"/>
        <v>3.587554598778659</v>
      </c>
      <c r="AA184" s="158">
        <f t="shared" si="23"/>
        <v>-4.4409832621909517</v>
      </c>
    </row>
    <row r="185" spans="1:27" ht="19.5" thickBot="1" x14ac:dyDescent="0.35">
      <c r="A185" s="142">
        <v>110</v>
      </c>
      <c r="B185" s="143" t="s">
        <v>221</v>
      </c>
      <c r="C185" s="142">
        <v>27</v>
      </c>
      <c r="D185" s="143" t="s">
        <v>241</v>
      </c>
      <c r="E185" s="142">
        <v>554416</v>
      </c>
      <c r="F185" s="143" t="s">
        <v>251</v>
      </c>
      <c r="G185" s="144">
        <v>3.9243355211097128</v>
      </c>
      <c r="H185" s="145">
        <v>5.6060446110323667</v>
      </c>
      <c r="I185" s="146">
        <v>3.6655887149863906</v>
      </c>
      <c r="J185" s="147">
        <v>0.8985894048730908</v>
      </c>
      <c r="K185" s="148">
        <v>196</v>
      </c>
      <c r="M185" s="149">
        <f t="shared" si="16"/>
        <v>0.65386363636363631</v>
      </c>
      <c r="N185" s="138">
        <f t="shared" si="17"/>
        <v>3.6655887149863906</v>
      </c>
      <c r="O185" s="149"/>
      <c r="V185" s="158">
        <f t="shared" si="18"/>
        <v>221.52256471539309</v>
      </c>
      <c r="W185" s="158">
        <f t="shared" si="19"/>
        <v>73.764661381052974</v>
      </c>
      <c r="X185" s="158">
        <f t="shared" si="20"/>
        <v>41.458725933213479</v>
      </c>
      <c r="Y185" s="158">
        <f t="shared" si="21"/>
        <v>32.103748599314983</v>
      </c>
      <c r="Z185" s="158">
        <f t="shared" si="22"/>
        <v>16.136858298949008</v>
      </c>
      <c r="AA185" s="158">
        <f t="shared" si="23"/>
        <v>5.8148755069333733</v>
      </c>
    </row>
    <row r="186" spans="1:27" ht="19.5" thickBot="1" x14ac:dyDescent="0.35">
      <c r="A186" s="142">
        <v>110</v>
      </c>
      <c r="B186" s="143" t="s">
        <v>221</v>
      </c>
      <c r="C186" s="142">
        <v>27</v>
      </c>
      <c r="D186" s="143" t="s">
        <v>241</v>
      </c>
      <c r="E186" s="142">
        <v>454466</v>
      </c>
      <c r="F186" s="143" t="s">
        <v>252</v>
      </c>
      <c r="G186" s="144">
        <v>1.8288818863853922</v>
      </c>
      <c r="H186" s="145">
        <v>0.54678216643962896</v>
      </c>
      <c r="I186" s="146">
        <v>0.35540840818575881</v>
      </c>
      <c r="J186" s="147">
        <v>0.99016742439219363</v>
      </c>
      <c r="K186" s="148">
        <v>277</v>
      </c>
      <c r="M186" s="149">
        <f t="shared" si="16"/>
        <v>0.65</v>
      </c>
      <c r="N186" s="138">
        <f t="shared" si="17"/>
        <v>0.35540840818575881</v>
      </c>
      <c r="O186" s="149"/>
      <c r="V186" s="158">
        <f t="shared" si="18"/>
        <v>114.43494562073992</v>
      </c>
      <c r="W186" s="158">
        <f t="shared" si="19"/>
        <v>45.16512295298979</v>
      </c>
      <c r="X186" s="158">
        <f t="shared" si="20"/>
        <v>30.019899793427427</v>
      </c>
      <c r="Y186" s="158">
        <f t="shared" si="21"/>
        <v>25.634228324378054</v>
      </c>
      <c r="Z186" s="158">
        <f t="shared" si="22"/>
        <v>18.1488509963098</v>
      </c>
      <c r="AA186" s="158">
        <f t="shared" si="23"/>
        <v>13.309841363338656</v>
      </c>
    </row>
    <row r="187" spans="1:27" ht="19.5" thickBot="1" x14ac:dyDescent="0.35">
      <c r="A187" s="142">
        <v>110</v>
      </c>
      <c r="B187" s="143" t="s">
        <v>221</v>
      </c>
      <c r="C187" s="142">
        <v>27</v>
      </c>
      <c r="D187" s="143" t="s">
        <v>241</v>
      </c>
      <c r="E187" s="142">
        <v>554496</v>
      </c>
      <c r="F187" s="143" t="s">
        <v>253</v>
      </c>
      <c r="G187" s="144">
        <v>3.0121534750010834</v>
      </c>
      <c r="H187" s="145">
        <v>4.6478375408792756</v>
      </c>
      <c r="I187" s="146">
        <v>3.165509353734564</v>
      </c>
      <c r="J187" s="147">
        <v>0.91242438462079023</v>
      </c>
      <c r="K187" s="148">
        <v>207</v>
      </c>
      <c r="M187" s="149">
        <f t="shared" si="16"/>
        <v>0.68107142857142866</v>
      </c>
      <c r="N187" s="138">
        <f t="shared" si="17"/>
        <v>3.165509353734564</v>
      </c>
      <c r="O187" s="149"/>
      <c r="V187" s="158">
        <f t="shared" si="18"/>
        <v>165.75210370773493</v>
      </c>
      <c r="W187" s="158">
        <f t="shared" si="19"/>
        <v>56.870073923636753</v>
      </c>
      <c r="X187" s="158">
        <f t="shared" si="20"/>
        <v>33.063998267057585</v>
      </c>
      <c r="Y187" s="158">
        <f t="shared" si="21"/>
        <v>26.170364168891744</v>
      </c>
      <c r="Z187" s="158">
        <f t="shared" si="22"/>
        <v>14.404445825356117</v>
      </c>
      <c r="AA187" s="158">
        <f t="shared" si="23"/>
        <v>6.7982304390418422</v>
      </c>
    </row>
    <row r="188" spans="1:27" ht="19.5" thickBot="1" x14ac:dyDescent="0.35">
      <c r="A188" s="142">
        <v>110</v>
      </c>
      <c r="B188" s="143" t="s">
        <v>221</v>
      </c>
      <c r="C188" s="142">
        <v>27</v>
      </c>
      <c r="D188" s="143" t="s">
        <v>241</v>
      </c>
      <c r="E188" s="142">
        <v>554516</v>
      </c>
      <c r="F188" s="143" t="s">
        <v>254</v>
      </c>
      <c r="G188" s="144">
        <v>2.6973816843382079</v>
      </c>
      <c r="H188" s="145">
        <v>5.5609482659033445</v>
      </c>
      <c r="I188" s="146">
        <v>4.389441831219707</v>
      </c>
      <c r="J188" s="147">
        <v>0.87856359701265796</v>
      </c>
      <c r="K188" s="148">
        <v>159</v>
      </c>
      <c r="M188" s="149">
        <f t="shared" si="16"/>
        <v>0.78933333333333344</v>
      </c>
      <c r="N188" s="138">
        <f t="shared" si="17"/>
        <v>4.389441831219707</v>
      </c>
      <c r="O188" s="149"/>
      <c r="V188" s="158">
        <f t="shared" si="18"/>
        <v>123.3198241200481</v>
      </c>
      <c r="W188" s="158">
        <f t="shared" si="19"/>
        <v>39.18927282345912</v>
      </c>
      <c r="X188" s="158">
        <f t="shared" si="20"/>
        <v>20.794885125436835</v>
      </c>
      <c r="Y188" s="158">
        <f t="shared" si="21"/>
        <v>15.468338235507732</v>
      </c>
      <c r="Z188" s="158">
        <f t="shared" si="22"/>
        <v>6.377093346749529</v>
      </c>
      <c r="AA188" s="158">
        <f t="shared" si="23"/>
        <v>0.49995186619389437</v>
      </c>
    </row>
    <row r="189" spans="1:27" ht="19.5" thickBot="1" x14ac:dyDescent="0.35">
      <c r="A189" s="142">
        <v>110</v>
      </c>
      <c r="B189" s="143" t="s">
        <v>221</v>
      </c>
      <c r="C189" s="142">
        <v>27</v>
      </c>
      <c r="D189" s="143" t="s">
        <v>241</v>
      </c>
      <c r="E189" s="142">
        <v>554531</v>
      </c>
      <c r="F189" s="143" t="s">
        <v>255</v>
      </c>
      <c r="G189" s="144">
        <v>2.5112282917332012</v>
      </c>
      <c r="H189" s="145">
        <v>18.715940782732066</v>
      </c>
      <c r="I189" s="146">
        <v>11.818917498542293</v>
      </c>
      <c r="J189" s="147">
        <v>0.67302293015503656</v>
      </c>
      <c r="K189" s="148">
        <v>15</v>
      </c>
      <c r="M189" s="149">
        <f t="shared" si="16"/>
        <v>0.63148936170212766</v>
      </c>
      <c r="N189" s="138">
        <f t="shared" si="17"/>
        <v>11.818917498542293</v>
      </c>
      <c r="O189" s="149"/>
      <c r="V189" s="158">
        <f t="shared" si="18"/>
        <v>109.93291632834286</v>
      </c>
      <c r="W189" s="158">
        <f t="shared" si="19"/>
        <v>12.030833637902608</v>
      </c>
      <c r="X189" s="158">
        <f t="shared" si="20"/>
        <v>-9.3745754280999094</v>
      </c>
      <c r="Y189" s="158">
        <f t="shared" si="21"/>
        <v>-15.573037532953483</v>
      </c>
      <c r="Z189" s="158">
        <f t="shared" si="22"/>
        <v>-26.152450066701309</v>
      </c>
      <c r="AA189" s="158">
        <f t="shared" si="23"/>
        <v>-32.991634909129687</v>
      </c>
    </row>
    <row r="190" spans="1:27" ht="19.5" thickBot="1" x14ac:dyDescent="0.35">
      <c r="A190" s="142">
        <v>110</v>
      </c>
      <c r="B190" s="143" t="s">
        <v>221</v>
      </c>
      <c r="C190" s="142">
        <v>27</v>
      </c>
      <c r="D190" s="143" t="s">
        <v>241</v>
      </c>
      <c r="E190" s="142">
        <v>554533</v>
      </c>
      <c r="F190" s="143" t="s">
        <v>256</v>
      </c>
      <c r="G190" s="144">
        <v>3.5167137566137558</v>
      </c>
      <c r="H190" s="145">
        <v>1.7061382913852507</v>
      </c>
      <c r="I190" s="146">
        <v>0.93695427835240019</v>
      </c>
      <c r="J190" s="147">
        <v>0.97407862737410966</v>
      </c>
      <c r="K190" s="148">
        <v>266</v>
      </c>
      <c r="M190" s="149">
        <f t="shared" si="16"/>
        <v>0.54916666666666669</v>
      </c>
      <c r="N190" s="138">
        <f t="shared" si="17"/>
        <v>0.93695427835240019</v>
      </c>
      <c r="O190" s="149"/>
      <c r="V190" s="158">
        <f t="shared" si="18"/>
        <v>256.21502697770609</v>
      </c>
      <c r="W190" s="158">
        <f t="shared" si="19"/>
        <v>98.561160753113271</v>
      </c>
      <c r="X190" s="158">
        <f t="shared" si="20"/>
        <v>64.091562102749037</v>
      </c>
      <c r="Y190" s="158">
        <f t="shared" si="21"/>
        <v>54.110042929488252</v>
      </c>
      <c r="Z190" s="158">
        <f t="shared" si="22"/>
        <v>37.073783408799599</v>
      </c>
      <c r="AA190" s="158">
        <f t="shared" si="23"/>
        <v>26.060494389783148</v>
      </c>
    </row>
    <row r="191" spans="1:27" ht="19.5" thickBot="1" x14ac:dyDescent="0.35">
      <c r="A191" s="142">
        <v>110</v>
      </c>
      <c r="B191" s="143" t="s">
        <v>221</v>
      </c>
      <c r="C191" s="142">
        <v>27</v>
      </c>
      <c r="D191" s="143" t="s">
        <v>241</v>
      </c>
      <c r="E191" s="142">
        <v>454535</v>
      </c>
      <c r="F191" s="143" t="s">
        <v>257</v>
      </c>
      <c r="G191" s="144">
        <v>7.4460326411109019</v>
      </c>
      <c r="H191" s="145">
        <v>7.923682697044633</v>
      </c>
      <c r="I191" s="146">
        <v>5.0792149085123395</v>
      </c>
      <c r="J191" s="147">
        <v>0.85948063279881126</v>
      </c>
      <c r="K191" s="148">
        <v>129</v>
      </c>
      <c r="M191" s="149">
        <f t="shared" si="16"/>
        <v>0.64101694915254237</v>
      </c>
      <c r="N191" s="138">
        <f t="shared" si="17"/>
        <v>5.0792149085123395</v>
      </c>
      <c r="O191" s="149"/>
      <c r="V191" s="158">
        <f t="shared" si="18"/>
        <v>410.0806233813139</v>
      </c>
      <c r="W191" s="158">
        <f t="shared" si="19"/>
        <v>124.10619754331169</v>
      </c>
      <c r="X191" s="158">
        <f t="shared" si="20"/>
        <v>61.580463674778102</v>
      </c>
      <c r="Y191" s="158">
        <f t="shared" si="21"/>
        <v>43.474601237520638</v>
      </c>
      <c r="Z191" s="158">
        <f t="shared" si="22"/>
        <v>12.571873308757981</v>
      </c>
      <c r="AA191" s="158">
        <f t="shared" si="23"/>
        <v>-7.4055562286465566</v>
      </c>
    </row>
    <row r="192" spans="1:27" ht="19.5" thickBot="1" x14ac:dyDescent="0.35">
      <c r="A192" s="142">
        <v>110</v>
      </c>
      <c r="B192" s="143" t="s">
        <v>221</v>
      </c>
      <c r="C192" s="142">
        <v>27</v>
      </c>
      <c r="D192" s="143" t="s">
        <v>241</v>
      </c>
      <c r="E192" s="142">
        <v>454651</v>
      </c>
      <c r="F192" s="143" t="s">
        <v>540</v>
      </c>
      <c r="G192" s="144">
        <v>10.895669109990308</v>
      </c>
      <c r="H192" s="145">
        <v>55.251310766038443</v>
      </c>
      <c r="I192" s="146">
        <v>36.146013248409879</v>
      </c>
      <c r="J192" s="147">
        <v>0</v>
      </c>
      <c r="K192" s="148">
        <v>1</v>
      </c>
      <c r="M192" s="149">
        <f t="shared" si="16"/>
        <v>0.6542109634551494</v>
      </c>
      <c r="N192" s="138">
        <f t="shared" si="17"/>
        <v>36.146013248409879</v>
      </c>
      <c r="O192" s="149"/>
      <c r="V192" s="158">
        <f t="shared" si="18"/>
        <v>0</v>
      </c>
      <c r="W192" s="158">
        <f t="shared" si="19"/>
        <v>-410.02266276943328</v>
      </c>
      <c r="X192" s="158">
        <f t="shared" si="20"/>
        <v>-499.67042696115789</v>
      </c>
      <c r="Y192" s="158">
        <f t="shared" si="21"/>
        <v>-525.63013964003494</v>
      </c>
      <c r="Z192" s="158">
        <f t="shared" si="22"/>
        <v>-569.93766383581158</v>
      </c>
      <c r="AA192" s="158">
        <f t="shared" si="23"/>
        <v>-598.58078054183284</v>
      </c>
    </row>
    <row r="193" spans="1:27" ht="19.5" thickBot="1" x14ac:dyDescent="0.35">
      <c r="A193" s="142">
        <v>110</v>
      </c>
      <c r="B193" s="143" t="s">
        <v>221</v>
      </c>
      <c r="C193" s="142">
        <v>27</v>
      </c>
      <c r="D193" s="143" t="s">
        <v>241</v>
      </c>
      <c r="E193" s="142">
        <v>554686</v>
      </c>
      <c r="F193" s="143" t="s">
        <v>259</v>
      </c>
      <c r="G193" s="144">
        <v>1.7385762385762389</v>
      </c>
      <c r="H193" s="145">
        <v>7.4773827638677535</v>
      </c>
      <c r="I193" s="146">
        <v>4.6100940655692346</v>
      </c>
      <c r="J193" s="147">
        <v>0.87245912754231503</v>
      </c>
      <c r="K193" s="148">
        <v>146</v>
      </c>
      <c r="M193" s="149">
        <f t="shared" si="16"/>
        <v>0.61653846153846159</v>
      </c>
      <c r="N193" s="138">
        <f t="shared" si="17"/>
        <v>4.6100940655692346</v>
      </c>
      <c r="O193" s="149"/>
      <c r="V193" s="158">
        <f t="shared" si="18"/>
        <v>101.05466976525767</v>
      </c>
      <c r="W193" s="158">
        <f t="shared" si="19"/>
        <v>31.631356103219613</v>
      </c>
      <c r="X193" s="158">
        <f t="shared" si="20"/>
        <v>16.452573519481671</v>
      </c>
      <c r="Y193" s="158">
        <f t="shared" si="21"/>
        <v>12.0571840946403</v>
      </c>
      <c r="Z193" s="158">
        <f t="shared" si="22"/>
        <v>4.5552203518180132</v>
      </c>
      <c r="AA193" s="158">
        <f t="shared" si="23"/>
        <v>-0.29451176276675473</v>
      </c>
    </row>
    <row r="194" spans="1:27" ht="19.5" thickBot="1" x14ac:dyDescent="0.35">
      <c r="A194" s="142">
        <v>110</v>
      </c>
      <c r="B194" s="143" t="s">
        <v>221</v>
      </c>
      <c r="C194" s="142">
        <v>27</v>
      </c>
      <c r="D194" s="143" t="s">
        <v>241</v>
      </c>
      <c r="E194" s="142">
        <v>454696</v>
      </c>
      <c r="F194" s="143" t="s">
        <v>260</v>
      </c>
      <c r="G194" s="144">
        <v>4.5380946795140344</v>
      </c>
      <c r="H194" s="145">
        <v>1.9832111570144173</v>
      </c>
      <c r="I194" s="146">
        <v>1.4807976639040983</v>
      </c>
      <c r="J194" s="147">
        <v>0.95903289102099687</v>
      </c>
      <c r="K194" s="148">
        <v>257</v>
      </c>
      <c r="M194" s="149">
        <f t="shared" si="16"/>
        <v>0.7466666666666667</v>
      </c>
      <c r="N194" s="138">
        <f t="shared" si="17"/>
        <v>1.4807976639040983</v>
      </c>
      <c r="O194" s="149"/>
      <c r="V194" s="158">
        <f t="shared" si="18"/>
        <v>239.41867452554686</v>
      </c>
      <c r="W194" s="158">
        <f t="shared" si="19"/>
        <v>89.788713533628709</v>
      </c>
      <c r="X194" s="158">
        <f t="shared" si="20"/>
        <v>57.073469531217327</v>
      </c>
      <c r="Y194" s="158">
        <f t="shared" si="21"/>
        <v>47.599966849034985</v>
      </c>
      <c r="Z194" s="158">
        <f t="shared" si="22"/>
        <v>31.430779828290735</v>
      </c>
      <c r="AA194" s="158">
        <f t="shared" si="23"/>
        <v>20.978019957749165</v>
      </c>
    </row>
    <row r="195" spans="1:27" ht="19.5" thickBot="1" x14ac:dyDescent="0.35">
      <c r="A195" s="142">
        <v>110</v>
      </c>
      <c r="B195" s="143" t="s">
        <v>221</v>
      </c>
      <c r="C195" s="142">
        <v>31</v>
      </c>
      <c r="D195" s="143" t="s">
        <v>261</v>
      </c>
      <c r="E195" s="142">
        <v>455151</v>
      </c>
      <c r="F195" s="143" t="s">
        <v>262</v>
      </c>
      <c r="G195" s="144">
        <v>9.600868431864221</v>
      </c>
      <c r="H195" s="145">
        <v>13.540441775927725</v>
      </c>
      <c r="I195" s="146">
        <v>8.7039001308107711</v>
      </c>
      <c r="J195" s="147">
        <v>0.75920165604449696</v>
      </c>
      <c r="K195" s="148">
        <v>45</v>
      </c>
      <c r="M195" s="149">
        <f t="shared" si="16"/>
        <v>0.64280769230769219</v>
      </c>
      <c r="N195" s="138">
        <f t="shared" si="17"/>
        <v>8.7039001308107711</v>
      </c>
      <c r="O195" s="149"/>
      <c r="V195" s="158">
        <f t="shared" si="18"/>
        <v>465.76229825819536</v>
      </c>
      <c r="W195" s="158">
        <f t="shared" si="19"/>
        <v>98.055866066284779</v>
      </c>
      <c r="X195" s="158">
        <f t="shared" si="20"/>
        <v>17.660164759751417</v>
      </c>
      <c r="Y195" s="158">
        <f t="shared" si="21"/>
        <v>-5.620385796656965</v>
      </c>
      <c r="Z195" s="158">
        <f t="shared" si="22"/>
        <v>-45.355169067520407</v>
      </c>
      <c r="AA195" s="158">
        <f t="shared" si="23"/>
        <v>-71.042183974670024</v>
      </c>
    </row>
    <row r="196" spans="1:27" ht="19.5" thickBot="1" x14ac:dyDescent="0.35">
      <c r="A196" s="142">
        <v>110</v>
      </c>
      <c r="B196" s="143" t="s">
        <v>221</v>
      </c>
      <c r="C196" s="142">
        <v>31</v>
      </c>
      <c r="D196" s="143" t="s">
        <v>261</v>
      </c>
      <c r="E196" s="142">
        <v>455231</v>
      </c>
      <c r="F196" s="143" t="s">
        <v>263</v>
      </c>
      <c r="G196" s="144">
        <v>4.5932318577479867</v>
      </c>
      <c r="H196" s="145">
        <v>11.103293188644905</v>
      </c>
      <c r="I196" s="146">
        <v>7.5426194611882886</v>
      </c>
      <c r="J196" s="147">
        <v>0.79132914578013391</v>
      </c>
      <c r="K196" s="148">
        <v>63</v>
      </c>
      <c r="M196" s="149">
        <f t="shared" si="16"/>
        <v>0.67931372549019609</v>
      </c>
      <c r="N196" s="138">
        <f t="shared" si="17"/>
        <v>7.5426194611882886</v>
      </c>
      <c r="O196" s="149"/>
      <c r="V196" s="158">
        <f t="shared" si="18"/>
        <v>219.777319262324</v>
      </c>
      <c r="W196" s="158">
        <f t="shared" si="19"/>
        <v>53.313539092431789</v>
      </c>
      <c r="X196" s="158">
        <f t="shared" si="20"/>
        <v>16.917732064747423</v>
      </c>
      <c r="Y196" s="158">
        <f t="shared" si="21"/>
        <v>6.3784319307932167</v>
      </c>
      <c r="Z196" s="158">
        <f t="shared" si="22"/>
        <v>-11.609837102388079</v>
      </c>
      <c r="AA196" s="158">
        <f t="shared" si="23"/>
        <v>-23.238563794046332</v>
      </c>
    </row>
    <row r="197" spans="1:27" ht="19.5" thickBot="1" x14ac:dyDescent="0.35">
      <c r="A197" s="142">
        <v>110</v>
      </c>
      <c r="B197" s="143" t="s">
        <v>221</v>
      </c>
      <c r="C197" s="142">
        <v>31</v>
      </c>
      <c r="D197" s="143" t="s">
        <v>261</v>
      </c>
      <c r="E197" s="142">
        <v>455298</v>
      </c>
      <c r="F197" s="143" t="s">
        <v>264</v>
      </c>
      <c r="G197" s="144">
        <v>1.9563433722788568</v>
      </c>
      <c r="H197" s="145">
        <v>11.245469640829556</v>
      </c>
      <c r="I197" s="146">
        <v>6.2412356506604043</v>
      </c>
      <c r="J197" s="147">
        <v>0.82733266853613618</v>
      </c>
      <c r="K197" s="148">
        <v>93</v>
      </c>
      <c r="M197" s="149">
        <f t="shared" si="16"/>
        <v>0.55500000000000005</v>
      </c>
      <c r="N197" s="138">
        <f t="shared" si="17"/>
        <v>6.2412356506604043</v>
      </c>
      <c r="O197" s="149"/>
      <c r="V197" s="158">
        <f t="shared" si="18"/>
        <v>119.78708733175759</v>
      </c>
      <c r="W197" s="158">
        <f t="shared" si="19"/>
        <v>33.006242427255948</v>
      </c>
      <c r="X197" s="158">
        <f t="shared" si="20"/>
        <v>14.032391889798861</v>
      </c>
      <c r="Y197" s="158">
        <f t="shared" si="21"/>
        <v>8.5380472978808637</v>
      </c>
      <c r="Z197" s="158">
        <f t="shared" si="22"/>
        <v>-0.83959139010139849</v>
      </c>
      <c r="AA197" s="158">
        <f t="shared" si="23"/>
        <v>-6.9018754883941247</v>
      </c>
    </row>
    <row r="198" spans="1:27" ht="19.5" thickBot="1" x14ac:dyDescent="0.35">
      <c r="A198" s="142">
        <v>110</v>
      </c>
      <c r="B198" s="143" t="s">
        <v>221</v>
      </c>
      <c r="C198" s="142">
        <v>31</v>
      </c>
      <c r="D198" s="143" t="s">
        <v>261</v>
      </c>
      <c r="E198" s="142">
        <v>555406</v>
      </c>
      <c r="F198" s="143" t="s">
        <v>265</v>
      </c>
      <c r="G198" s="144">
        <v>2.6404956531183768</v>
      </c>
      <c r="H198" s="145">
        <v>7.9530522897090883</v>
      </c>
      <c r="I198" s="146">
        <v>4.1810332037327775</v>
      </c>
      <c r="J198" s="147">
        <v>0.88432934014052833</v>
      </c>
      <c r="K198" s="148">
        <v>174</v>
      </c>
      <c r="M198" s="149">
        <f t="shared" ref="M198:M261" si="24">IF(ISERROR(I198/H198),$O$3,(I198/H198))</f>
        <v>0.52571428571428569</v>
      </c>
      <c r="N198" s="138">
        <f t="shared" ref="N198:N261" si="25">I198</f>
        <v>4.1810332037327775</v>
      </c>
      <c r="O198" s="149"/>
      <c r="V198" s="158">
        <f t="shared" ref="V198:V261" si="26">(((($O$5-N198))/M198)*G198)+((((($O$5-N198)/$T$2))*$T$3/M198)*G198)</f>
        <v>182.44310030258734</v>
      </c>
      <c r="W198" s="158">
        <f t="shared" ref="W198:W261" si="27">(((($P$5-N198))/M198)*G198)+((((($P$5-N198)/$T$2))*$T$3/M198)*G198)</f>
        <v>58.789304599367355</v>
      </c>
      <c r="X198" s="158">
        <f t="shared" ref="X198:X261" si="28">(((($Q$5-N198))/M198)*G198)+((((($Q$5-N198)/$T$2))*$T$3/M198)*G198)</f>
        <v>31.753515299965834</v>
      </c>
      <c r="Y198" s="158">
        <f t="shared" ref="Y198:Y261" si="29">(((($R$5-N198))/M198)*G198)+((((($R$5-N198)/$T$2))*$T$3/M198)*G198)</f>
        <v>23.924638265641448</v>
      </c>
      <c r="Z198" s="158">
        <f t="shared" ref="Z198:Z261" si="30">(((($S$5-N198))/M198)*G198)+((((($S$5-N198)/$T$2))*$T$3/M198)*G198)</f>
        <v>10.562465774944497</v>
      </c>
      <c r="AA198" s="158">
        <f t="shared" ref="AA198:AA261" si="31">(((($T$5-N198))/M198)*G198)+((((($T$5-N198)/$T$2))*$T$3/M198)*G198)</f>
        <v>1.9243332445445542</v>
      </c>
    </row>
    <row r="199" spans="1:27" ht="19.5" thickBot="1" x14ac:dyDescent="0.35">
      <c r="A199" s="142">
        <v>110</v>
      </c>
      <c r="B199" s="143" t="s">
        <v>221</v>
      </c>
      <c r="C199" s="142">
        <v>31</v>
      </c>
      <c r="D199" s="143" t="s">
        <v>261</v>
      </c>
      <c r="E199" s="142">
        <v>554412</v>
      </c>
      <c r="F199" s="143" t="s">
        <v>266</v>
      </c>
      <c r="G199" s="144">
        <v>2.6921407279830221</v>
      </c>
      <c r="H199" s="145">
        <v>7.4290321423814252</v>
      </c>
      <c r="I199" s="146">
        <v>3.8909555845722714</v>
      </c>
      <c r="J199" s="147">
        <v>0.89235450233938474</v>
      </c>
      <c r="K199" s="148">
        <v>187</v>
      </c>
      <c r="M199" s="149">
        <f t="shared" si="24"/>
        <v>0.52375000000000005</v>
      </c>
      <c r="N199" s="138">
        <f t="shared" si="25"/>
        <v>3.8909555845722714</v>
      </c>
      <c r="O199" s="149"/>
      <c r="V199" s="158">
        <f t="shared" si="26"/>
        <v>188.40345936267764</v>
      </c>
      <c r="W199" s="158">
        <f t="shared" si="27"/>
        <v>61.85831190702396</v>
      </c>
      <c r="X199" s="158">
        <f t="shared" si="28"/>
        <v>34.190354574892822</v>
      </c>
      <c r="Y199" s="158">
        <f t="shared" si="29"/>
        <v>26.178417754946409</v>
      </c>
      <c r="Z199" s="158">
        <f t="shared" si="30"/>
        <v>12.503802442518172</v>
      </c>
      <c r="AA199" s="158">
        <f t="shared" si="31"/>
        <v>3.6636875994242399</v>
      </c>
    </row>
    <row r="200" spans="1:27" ht="19.5" thickBot="1" x14ac:dyDescent="0.35">
      <c r="A200" s="142">
        <v>110</v>
      </c>
      <c r="B200" s="143" t="s">
        <v>221</v>
      </c>
      <c r="C200" s="142">
        <v>31</v>
      </c>
      <c r="D200" s="143" t="s">
        <v>261</v>
      </c>
      <c r="E200" s="142">
        <v>554413</v>
      </c>
      <c r="F200" s="143" t="s">
        <v>267</v>
      </c>
      <c r="G200" s="144">
        <v>3.8745519713261647</v>
      </c>
      <c r="H200" s="145">
        <v>6.7104532839963005</v>
      </c>
      <c r="I200" s="146">
        <v>4.1811285846438482</v>
      </c>
      <c r="J200" s="147">
        <v>0.88432670137341407</v>
      </c>
      <c r="K200" s="148">
        <v>173</v>
      </c>
      <c r="M200" s="149">
        <f t="shared" si="24"/>
        <v>0.62307692307692297</v>
      </c>
      <c r="N200" s="138">
        <f t="shared" si="25"/>
        <v>4.1811285846438482</v>
      </c>
      <c r="O200" s="149"/>
      <c r="V200" s="158">
        <f t="shared" si="26"/>
        <v>225.87610683693973</v>
      </c>
      <c r="W200" s="158">
        <f t="shared" si="27"/>
        <v>72.784423648356224</v>
      </c>
      <c r="X200" s="158">
        <f t="shared" si="28"/>
        <v>39.312305250057072</v>
      </c>
      <c r="Y200" s="158">
        <f t="shared" si="29"/>
        <v>29.619630990887877</v>
      </c>
      <c r="Z200" s="158">
        <f t="shared" si="30"/>
        <v>13.076366257092779</v>
      </c>
      <c r="AA200" s="158">
        <f t="shared" si="31"/>
        <v>2.3817794782208614</v>
      </c>
    </row>
    <row r="201" spans="1:27" ht="19.5" thickBot="1" x14ac:dyDescent="0.35">
      <c r="A201" s="142">
        <v>110</v>
      </c>
      <c r="B201" s="143" t="s">
        <v>221</v>
      </c>
      <c r="C201" s="142">
        <v>31</v>
      </c>
      <c r="D201" s="143" t="s">
        <v>261</v>
      </c>
      <c r="E201" s="142">
        <v>454414</v>
      </c>
      <c r="F201" s="143" t="s">
        <v>268</v>
      </c>
      <c r="G201" s="144">
        <v>3.2393056718394044</v>
      </c>
      <c r="H201" s="145">
        <v>8.0264114084782197</v>
      </c>
      <c r="I201" s="146">
        <v>5.5413109531609246</v>
      </c>
      <c r="J201" s="147">
        <v>0.84669648309264933</v>
      </c>
      <c r="K201" s="148">
        <v>111</v>
      </c>
      <c r="M201" s="149">
        <f t="shared" si="24"/>
        <v>0.69038461538461537</v>
      </c>
      <c r="N201" s="138">
        <f t="shared" si="25"/>
        <v>5.5413109531609246</v>
      </c>
      <c r="O201" s="149"/>
      <c r="V201" s="158">
        <f t="shared" si="26"/>
        <v>163.17976886419763</v>
      </c>
      <c r="W201" s="158">
        <f t="shared" si="27"/>
        <v>47.666306786077442</v>
      </c>
      <c r="X201" s="158">
        <f t="shared" si="28"/>
        <v>22.410328154544491</v>
      </c>
      <c r="Y201" s="158">
        <f t="shared" si="29"/>
        <v>15.096839027294457</v>
      </c>
      <c r="Z201" s="158">
        <f t="shared" si="30"/>
        <v>2.6143204235794135</v>
      </c>
      <c r="AA201" s="158">
        <f t="shared" si="31"/>
        <v>-5.4551495736941664</v>
      </c>
    </row>
    <row r="202" spans="1:27" ht="19.5" thickBot="1" x14ac:dyDescent="0.35">
      <c r="A202" s="142">
        <v>110</v>
      </c>
      <c r="B202" s="143" t="s">
        <v>221</v>
      </c>
      <c r="C202" s="142">
        <v>31</v>
      </c>
      <c r="D202" s="143" t="s">
        <v>261</v>
      </c>
      <c r="E202" s="142">
        <v>455456</v>
      </c>
      <c r="F202" s="143" t="s">
        <v>269</v>
      </c>
      <c r="G202" s="144">
        <v>1.6022852177690901</v>
      </c>
      <c r="H202" s="145">
        <v>1.8723258298400769</v>
      </c>
      <c r="I202" s="146">
        <v>1.3231102530869878</v>
      </c>
      <c r="J202" s="147">
        <v>0.96339540286243897</v>
      </c>
      <c r="K202" s="148">
        <v>261</v>
      </c>
      <c r="M202" s="149">
        <f t="shared" si="24"/>
        <v>0.70666666666666678</v>
      </c>
      <c r="N202" s="138">
        <f t="shared" si="25"/>
        <v>1.3231102530869878</v>
      </c>
      <c r="O202" s="149"/>
      <c r="V202" s="158">
        <f t="shared" si="26"/>
        <v>89.72377150924018</v>
      </c>
      <c r="W202" s="158">
        <f t="shared" si="27"/>
        <v>33.902851025368122</v>
      </c>
      <c r="X202" s="158">
        <f t="shared" si="28"/>
        <v>21.69810926133254</v>
      </c>
      <c r="Y202" s="158">
        <f t="shared" si="29"/>
        <v>18.163926425086185</v>
      </c>
      <c r="Z202" s="158">
        <f t="shared" si="30"/>
        <v>12.131853055618611</v>
      </c>
      <c r="AA202" s="158">
        <f t="shared" si="31"/>
        <v>8.2323487471063288</v>
      </c>
    </row>
    <row r="203" spans="1:27" ht="19.5" thickBot="1" x14ac:dyDescent="0.35">
      <c r="A203" s="142">
        <v>110</v>
      </c>
      <c r="B203" s="143" t="s">
        <v>221</v>
      </c>
      <c r="C203" s="142">
        <v>31</v>
      </c>
      <c r="D203" s="143" t="s">
        <v>261</v>
      </c>
      <c r="E203" s="142">
        <v>455566</v>
      </c>
      <c r="F203" s="143" t="s">
        <v>270</v>
      </c>
      <c r="G203" s="144">
        <v>2.8902111342504053</v>
      </c>
      <c r="H203" s="145">
        <v>9.3418780655976619</v>
      </c>
      <c r="I203" s="146">
        <v>7.2468754105164086</v>
      </c>
      <c r="J203" s="147">
        <v>0.79951107302725255</v>
      </c>
      <c r="K203" s="148">
        <v>70</v>
      </c>
      <c r="M203" s="149">
        <f t="shared" si="24"/>
        <v>0.77574074074074073</v>
      </c>
      <c r="N203" s="138">
        <f t="shared" si="25"/>
        <v>7.2468754105164086</v>
      </c>
      <c r="O203" s="149"/>
      <c r="V203" s="158">
        <f t="shared" si="26"/>
        <v>122.35315808891015</v>
      </c>
      <c r="W203" s="158">
        <f t="shared" si="27"/>
        <v>30.628786907356446</v>
      </c>
      <c r="X203" s="158">
        <f t="shared" si="28"/>
        <v>10.57407885103102</v>
      </c>
      <c r="Y203" s="158">
        <f t="shared" si="29"/>
        <v>4.7667454089213113</v>
      </c>
      <c r="Z203" s="158">
        <f t="shared" si="30"/>
        <v>-5.1450964585962016</v>
      </c>
      <c r="AA203" s="158">
        <f t="shared" si="31"/>
        <v>-11.552722443936057</v>
      </c>
    </row>
    <row r="204" spans="1:27" ht="19.5" thickBot="1" x14ac:dyDescent="0.35">
      <c r="A204" s="142">
        <v>110</v>
      </c>
      <c r="B204" s="143" t="s">
        <v>221</v>
      </c>
      <c r="C204" s="142">
        <v>31</v>
      </c>
      <c r="D204" s="143" t="s">
        <v>261</v>
      </c>
      <c r="E204" s="142">
        <v>555624</v>
      </c>
      <c r="F204" s="143" t="s">
        <v>271</v>
      </c>
      <c r="G204" s="144">
        <v>2.6579356498262534</v>
      </c>
      <c r="H204" s="145">
        <v>5.2672456539401793</v>
      </c>
      <c r="I204" s="146">
        <v>2.8010459923989028</v>
      </c>
      <c r="J204" s="147">
        <v>0.9225074706538452</v>
      </c>
      <c r="K204" s="148">
        <v>221</v>
      </c>
      <c r="M204" s="149">
        <f t="shared" si="24"/>
        <v>0.53178571428571431</v>
      </c>
      <c r="N204" s="138">
        <f t="shared" si="25"/>
        <v>2.8010459923989028</v>
      </c>
      <c r="O204" s="149"/>
      <c r="V204" s="158">
        <f t="shared" si="26"/>
        <v>189.38929131335388</v>
      </c>
      <c r="W204" s="158">
        <f t="shared" si="27"/>
        <v>66.339871678517937</v>
      </c>
      <c r="X204" s="158">
        <f t="shared" si="28"/>
        <v>39.436223765876974</v>
      </c>
      <c r="Y204" s="158">
        <f t="shared" si="29"/>
        <v>31.64561151667268</v>
      </c>
      <c r="Z204" s="158">
        <f t="shared" si="30"/>
        <v>18.348748604457082</v>
      </c>
      <c r="AA204" s="158">
        <f t="shared" si="31"/>
        <v>9.752836214144331</v>
      </c>
    </row>
    <row r="205" spans="1:27" ht="19.5" thickBot="1" x14ac:dyDescent="0.35">
      <c r="A205" s="142">
        <v>110</v>
      </c>
      <c r="B205" s="143" t="s">
        <v>221</v>
      </c>
      <c r="C205" s="142">
        <v>31</v>
      </c>
      <c r="D205" s="143" t="s">
        <v>261</v>
      </c>
      <c r="E205" s="142">
        <v>455676</v>
      </c>
      <c r="F205" s="143" t="s">
        <v>272</v>
      </c>
      <c r="G205" s="144">
        <v>1.9523576781641299</v>
      </c>
      <c r="H205" s="145">
        <v>4.0976098229719256</v>
      </c>
      <c r="I205" s="146">
        <v>2.4841759551767297</v>
      </c>
      <c r="J205" s="147">
        <v>0.93127386032577153</v>
      </c>
      <c r="K205" s="148">
        <v>231</v>
      </c>
      <c r="M205" s="149">
        <f t="shared" si="24"/>
        <v>0.60624999999999996</v>
      </c>
      <c r="N205" s="138">
        <f t="shared" si="25"/>
        <v>2.4841759551767297</v>
      </c>
      <c r="O205" s="149"/>
      <c r="V205" s="158">
        <f t="shared" si="26"/>
        <v>123.18640393731094</v>
      </c>
      <c r="W205" s="158">
        <f t="shared" si="27"/>
        <v>43.903525900103929</v>
      </c>
      <c r="X205" s="158">
        <f t="shared" si="28"/>
        <v>26.569038321504991</v>
      </c>
      <c r="Y205" s="158">
        <f t="shared" si="29"/>
        <v>21.54941155185567</v>
      </c>
      <c r="Z205" s="158">
        <f t="shared" si="30"/>
        <v>12.982011854440135</v>
      </c>
      <c r="AA205" s="158">
        <f t="shared" si="31"/>
        <v>7.4435162184416725</v>
      </c>
    </row>
    <row r="206" spans="1:27" ht="19.5" thickBot="1" x14ac:dyDescent="0.35">
      <c r="A206" s="142">
        <v>110</v>
      </c>
      <c r="B206" s="143" t="s">
        <v>221</v>
      </c>
      <c r="C206" s="142">
        <v>31</v>
      </c>
      <c r="D206" s="143" t="s">
        <v>261</v>
      </c>
      <c r="E206" s="142">
        <v>455678</v>
      </c>
      <c r="F206" s="143" t="s">
        <v>273</v>
      </c>
      <c r="G206" s="144">
        <v>9.0627591209834257</v>
      </c>
      <c r="H206" s="145">
        <v>5.9584503217095666</v>
      </c>
      <c r="I206" s="146">
        <v>3.4117645175418483</v>
      </c>
      <c r="J206" s="147">
        <v>0.90561159555564719</v>
      </c>
      <c r="K206" s="148">
        <v>204</v>
      </c>
      <c r="M206" s="149">
        <f t="shared" si="24"/>
        <v>0.57259259259259265</v>
      </c>
      <c r="N206" s="138">
        <f t="shared" si="25"/>
        <v>3.4117645175418483</v>
      </c>
      <c r="O206" s="149"/>
      <c r="V206" s="158">
        <f t="shared" si="26"/>
        <v>588.75474125777578</v>
      </c>
      <c r="W206" s="158">
        <f t="shared" si="27"/>
        <v>199.09414971167229</v>
      </c>
      <c r="X206" s="158">
        <f t="shared" si="28"/>
        <v>113.89836909362305</v>
      </c>
      <c r="Y206" s="158">
        <f t="shared" si="29"/>
        <v>89.227837639349985</v>
      </c>
      <c r="Z206" s="158">
        <f t="shared" si="30"/>
        <v>47.120662461625479</v>
      </c>
      <c r="AA206" s="158">
        <f t="shared" si="31"/>
        <v>19.899987087229096</v>
      </c>
    </row>
    <row r="207" spans="1:27" ht="19.5" thickBot="1" x14ac:dyDescent="0.35">
      <c r="A207" s="142">
        <v>110</v>
      </c>
      <c r="B207" s="143" t="s">
        <v>221</v>
      </c>
      <c r="C207" s="142">
        <v>31</v>
      </c>
      <c r="D207" s="143" t="s">
        <v>261</v>
      </c>
      <c r="E207" s="142">
        <v>555679</v>
      </c>
      <c r="F207" s="143" t="s">
        <v>274</v>
      </c>
      <c r="G207" s="144">
        <v>3.757448525190461</v>
      </c>
      <c r="H207" s="145">
        <v>9.5809695751388109</v>
      </c>
      <c r="I207" s="146">
        <v>5.5330099296426623</v>
      </c>
      <c r="J207" s="147">
        <v>0.84692613562614494</v>
      </c>
      <c r="K207" s="148">
        <v>112</v>
      </c>
      <c r="M207" s="149">
        <f t="shared" si="24"/>
        <v>0.5774999999999999</v>
      </c>
      <c r="N207" s="138">
        <f t="shared" si="25"/>
        <v>5.5330099296426623</v>
      </c>
      <c r="O207" s="149"/>
      <c r="V207" s="158">
        <f t="shared" si="26"/>
        <v>226.34156665043798</v>
      </c>
      <c r="W207" s="158">
        <f t="shared" si="27"/>
        <v>66.159893742286513</v>
      </c>
      <c r="X207" s="158">
        <f t="shared" si="28"/>
        <v>31.137612915870541</v>
      </c>
      <c r="Y207" s="158">
        <f t="shared" si="29"/>
        <v>20.996051039677909</v>
      </c>
      <c r="Z207" s="158">
        <f t="shared" si="30"/>
        <v>3.6866337987853779</v>
      </c>
      <c r="AA207" s="158">
        <f t="shared" si="31"/>
        <v>-7.5032412200350569</v>
      </c>
    </row>
    <row r="208" spans="1:27" ht="19.5" thickBot="1" x14ac:dyDescent="0.35">
      <c r="A208" s="142">
        <v>110</v>
      </c>
      <c r="B208" s="143" t="s">
        <v>221</v>
      </c>
      <c r="C208" s="142">
        <v>31</v>
      </c>
      <c r="D208" s="143" t="s">
        <v>261</v>
      </c>
      <c r="E208" s="142">
        <v>554700</v>
      </c>
      <c r="F208" s="143" t="s">
        <v>275</v>
      </c>
      <c r="G208" s="144">
        <v>2.6247581669761875</v>
      </c>
      <c r="H208" s="145">
        <v>12.95357432458975</v>
      </c>
      <c r="I208" s="146">
        <v>7.4254459878310062</v>
      </c>
      <c r="J208" s="147">
        <v>0.79457081651576988</v>
      </c>
      <c r="K208" s="148">
        <v>65</v>
      </c>
      <c r="M208" s="149">
        <f t="shared" si="24"/>
        <v>0.57323529411764695</v>
      </c>
      <c r="N208" s="138">
        <f t="shared" si="25"/>
        <v>7.4254459878310062</v>
      </c>
      <c r="O208" s="149"/>
      <c r="V208" s="158">
        <f t="shared" si="26"/>
        <v>149.43995045427567</v>
      </c>
      <c r="W208" s="158">
        <f t="shared" si="27"/>
        <v>36.712899001737973</v>
      </c>
      <c r="X208" s="158">
        <f t="shared" si="28"/>
        <v>12.06614397022831</v>
      </c>
      <c r="Y208" s="158">
        <f t="shared" si="29"/>
        <v>4.9290705043881129</v>
      </c>
      <c r="Z208" s="158">
        <f t="shared" si="30"/>
        <v>-7.2523453374003557</v>
      </c>
      <c r="AA208" s="158">
        <f t="shared" si="31"/>
        <v>-15.1271639361381</v>
      </c>
    </row>
    <row r="209" spans="1:27" ht="19.5" thickBot="1" x14ac:dyDescent="0.35">
      <c r="A209" s="142">
        <v>160</v>
      </c>
      <c r="B209" s="143" t="s">
        <v>276</v>
      </c>
      <c r="C209" s="142">
        <v>45</v>
      </c>
      <c r="D209" s="143" t="s">
        <v>277</v>
      </c>
      <c r="E209" s="142">
        <v>557105</v>
      </c>
      <c r="F209" s="143" t="s">
        <v>278</v>
      </c>
      <c r="G209" s="144">
        <v>3.8480691393992146</v>
      </c>
      <c r="H209" s="145">
        <v>5.7171529936270273</v>
      </c>
      <c r="I209" s="146">
        <v>4.0799682727247424</v>
      </c>
      <c r="J209" s="147">
        <v>0.88712535889682864</v>
      </c>
      <c r="K209" s="148">
        <v>178</v>
      </c>
      <c r="M209" s="149">
        <f t="shared" si="24"/>
        <v>0.71363636363636362</v>
      </c>
      <c r="N209" s="138">
        <f t="shared" si="25"/>
        <v>4.0799682727247424</v>
      </c>
      <c r="O209" s="149"/>
      <c r="V209" s="158">
        <f t="shared" si="26"/>
        <v>196.48464664573444</v>
      </c>
      <c r="W209" s="158">
        <f t="shared" si="27"/>
        <v>63.733687126459813</v>
      </c>
      <c r="X209" s="158">
        <f t="shared" si="28"/>
        <v>34.708884851320022</v>
      </c>
      <c r="Y209" s="158">
        <f t="shared" si="29"/>
        <v>26.304040241783202</v>
      </c>
      <c r="Z209" s="158">
        <f t="shared" si="30"/>
        <v>11.958817684608727</v>
      </c>
      <c r="AA209" s="158">
        <f t="shared" si="31"/>
        <v>2.6851809527652324</v>
      </c>
    </row>
    <row r="210" spans="1:27" ht="19.5" thickBot="1" x14ac:dyDescent="0.35">
      <c r="A210" s="142">
        <v>160</v>
      </c>
      <c r="B210" s="143" t="s">
        <v>276</v>
      </c>
      <c r="C210" s="142">
        <v>45</v>
      </c>
      <c r="D210" s="143" t="s">
        <v>277</v>
      </c>
      <c r="E210" s="142">
        <v>557178</v>
      </c>
      <c r="F210" s="143" t="s">
        <v>279</v>
      </c>
      <c r="G210" s="144">
        <v>2.9895671015622725</v>
      </c>
      <c r="H210" s="145">
        <v>1.6724829482459604</v>
      </c>
      <c r="I210" s="146">
        <v>0.970040109982657</v>
      </c>
      <c r="J210" s="147">
        <v>0.97316328903782134</v>
      </c>
      <c r="K210" s="148">
        <v>265</v>
      </c>
      <c r="M210" s="149">
        <f t="shared" si="24"/>
        <v>0.57999999999999996</v>
      </c>
      <c r="N210" s="138">
        <f t="shared" si="25"/>
        <v>0.970040109982657</v>
      </c>
      <c r="O210" s="149"/>
      <c r="V210" s="158">
        <f t="shared" si="26"/>
        <v>206.03630889514153</v>
      </c>
      <c r="W210" s="158">
        <f t="shared" si="27"/>
        <v>79.139095283556827</v>
      </c>
      <c r="X210" s="158">
        <f t="shared" si="28"/>
        <v>51.394161855729891</v>
      </c>
      <c r="Y210" s="158">
        <f t="shared" si="29"/>
        <v>43.359934716047981</v>
      </c>
      <c r="Z210" s="158">
        <f t="shared" si="30"/>
        <v>29.647274726730274</v>
      </c>
      <c r="AA210" s="158">
        <f t="shared" si="31"/>
        <v>20.78256545774666</v>
      </c>
    </row>
    <row r="211" spans="1:27" ht="19.5" thickBot="1" x14ac:dyDescent="0.35">
      <c r="A211" s="142">
        <v>160</v>
      </c>
      <c r="B211" s="143" t="s">
        <v>276</v>
      </c>
      <c r="C211" s="142">
        <v>45</v>
      </c>
      <c r="D211" s="143" t="s">
        <v>277</v>
      </c>
      <c r="E211" s="142">
        <v>557224</v>
      </c>
      <c r="F211" s="143" t="s">
        <v>280</v>
      </c>
      <c r="G211" s="144">
        <v>3.3355971104975688</v>
      </c>
      <c r="H211" s="145">
        <v>0.89938919498359082</v>
      </c>
      <c r="I211" s="146">
        <v>0.84542584328457526</v>
      </c>
      <c r="J211" s="147">
        <v>0.97661081355018409</v>
      </c>
      <c r="K211" s="148">
        <v>268</v>
      </c>
      <c r="M211" s="149">
        <f t="shared" si="24"/>
        <v>0.93999999999999984</v>
      </c>
      <c r="N211" s="138">
        <f t="shared" si="25"/>
        <v>0.84542584328457526</v>
      </c>
      <c r="O211" s="149"/>
      <c r="V211" s="158">
        <f t="shared" si="26"/>
        <v>142.34591071978102</v>
      </c>
      <c r="W211" s="158">
        <f t="shared" si="27"/>
        <v>54.984928304078089</v>
      </c>
      <c r="X211" s="158">
        <f t="shared" si="28"/>
        <v>35.884235922193014</v>
      </c>
      <c r="Y211" s="158">
        <f t="shared" si="29"/>
        <v>30.353161157841864</v>
      </c>
      <c r="Z211" s="158">
        <f t="shared" si="30"/>
        <v>20.912832137962305</v>
      </c>
      <c r="AA211" s="158">
        <f t="shared" si="31"/>
        <v>14.810021142139957</v>
      </c>
    </row>
    <row r="212" spans="1:27" ht="19.5" thickBot="1" x14ac:dyDescent="0.35">
      <c r="A212" s="142">
        <v>160</v>
      </c>
      <c r="B212" s="143" t="s">
        <v>276</v>
      </c>
      <c r="C212" s="142">
        <v>45</v>
      </c>
      <c r="D212" s="143" t="s">
        <v>277</v>
      </c>
      <c r="E212" s="142">
        <v>557432</v>
      </c>
      <c r="F212" s="143" t="s">
        <v>281</v>
      </c>
      <c r="G212" s="144">
        <v>3.7485562538819845</v>
      </c>
      <c r="H212" s="145">
        <v>6.4024649423750093</v>
      </c>
      <c r="I212" s="146">
        <v>4.4870608471144857</v>
      </c>
      <c r="J212" s="147">
        <v>0.8758629114564418</v>
      </c>
      <c r="K212" s="148">
        <v>153</v>
      </c>
      <c r="M212" s="149">
        <f t="shared" si="24"/>
        <v>0.70083333333333331</v>
      </c>
      <c r="N212" s="138">
        <f t="shared" si="25"/>
        <v>4.4870608471144857</v>
      </c>
      <c r="O212" s="149"/>
      <c r="V212" s="158">
        <f t="shared" si="26"/>
        <v>192.42573345891461</v>
      </c>
      <c r="W212" s="158">
        <f t="shared" si="27"/>
        <v>60.745357826905405</v>
      </c>
      <c r="X212" s="158">
        <f t="shared" si="28"/>
        <v>31.954629081323176</v>
      </c>
      <c r="Y212" s="158">
        <f t="shared" si="29"/>
        <v>23.617566213225548</v>
      </c>
      <c r="Z212" s="158">
        <f t="shared" si="30"/>
        <v>9.3880321918218268</v>
      </c>
      <c r="AA212" s="158">
        <f t="shared" si="31"/>
        <v>0.18918366563361932</v>
      </c>
    </row>
    <row r="213" spans="1:27" ht="19.5" thickBot="1" x14ac:dyDescent="0.35">
      <c r="A213" s="142">
        <v>160</v>
      </c>
      <c r="B213" s="143" t="s">
        <v>276</v>
      </c>
      <c r="C213" s="142">
        <v>45</v>
      </c>
      <c r="D213" s="143" t="s">
        <v>277</v>
      </c>
      <c r="E213" s="142">
        <v>557433</v>
      </c>
      <c r="F213" s="143" t="s">
        <v>282</v>
      </c>
      <c r="G213" s="144">
        <v>3.1089604484710822</v>
      </c>
      <c r="H213" s="145">
        <v>0.64330184740161478</v>
      </c>
      <c r="I213" s="146">
        <v>0.13830989719134718</v>
      </c>
      <c r="J213" s="147">
        <v>0.9961735780861688</v>
      </c>
      <c r="K213" s="148">
        <v>282</v>
      </c>
      <c r="M213" s="149">
        <f t="shared" si="24"/>
        <v>0.215</v>
      </c>
      <c r="N213" s="138">
        <f t="shared" si="25"/>
        <v>0.13830989719134718</v>
      </c>
      <c r="O213" s="149"/>
      <c r="V213" s="158">
        <f t="shared" si="26"/>
        <v>591.68353889650132</v>
      </c>
      <c r="W213" s="158">
        <f t="shared" si="27"/>
        <v>235.68475775945541</v>
      </c>
      <c r="X213" s="158">
        <f t="shared" si="28"/>
        <v>157.84882896382766</v>
      </c>
      <c r="Y213" s="158">
        <f t="shared" si="29"/>
        <v>135.30952342903834</v>
      </c>
      <c r="Z213" s="158">
        <f t="shared" si="30"/>
        <v>96.839882501491715</v>
      </c>
      <c r="AA213" s="158">
        <f t="shared" si="31"/>
        <v>71.97073364411807</v>
      </c>
    </row>
    <row r="214" spans="1:27" ht="19.5" thickBot="1" x14ac:dyDescent="0.35">
      <c r="A214" s="142">
        <v>160</v>
      </c>
      <c r="B214" s="143" t="s">
        <v>276</v>
      </c>
      <c r="C214" s="142">
        <v>45</v>
      </c>
      <c r="D214" s="143" t="s">
        <v>277</v>
      </c>
      <c r="E214" s="142">
        <v>557434</v>
      </c>
      <c r="F214" s="143" t="s">
        <v>283</v>
      </c>
      <c r="G214" s="144">
        <v>3.7472367864044478</v>
      </c>
      <c r="H214" s="145">
        <v>9.0733524295441477</v>
      </c>
      <c r="I214" s="146">
        <v>6.5034587855291432</v>
      </c>
      <c r="J214" s="147">
        <v>0.82007811647622741</v>
      </c>
      <c r="K214" s="148">
        <v>86</v>
      </c>
      <c r="M214" s="149">
        <f t="shared" si="24"/>
        <v>0.71676470588235286</v>
      </c>
      <c r="N214" s="138">
        <f t="shared" si="25"/>
        <v>6.5034587855291432</v>
      </c>
      <c r="O214" s="149"/>
      <c r="V214" s="158">
        <f t="shared" si="26"/>
        <v>176.10329381758206</v>
      </c>
      <c r="W214" s="158">
        <f t="shared" si="27"/>
        <v>47.395069543018522</v>
      </c>
      <c r="X214" s="158">
        <f t="shared" si="28"/>
        <v>19.254174936443953</v>
      </c>
      <c r="Y214" s="158">
        <f t="shared" si="29"/>
        <v>11.105287509079975</v>
      </c>
      <c r="Z214" s="158">
        <f t="shared" si="30"/>
        <v>-2.8030723916201175</v>
      </c>
      <c r="AA214" s="158">
        <f t="shared" si="31"/>
        <v>-11.794294154877058</v>
      </c>
    </row>
    <row r="215" spans="1:27" ht="19.5" thickBot="1" x14ac:dyDescent="0.35">
      <c r="A215" s="142">
        <v>160</v>
      </c>
      <c r="B215" s="143" t="s">
        <v>276</v>
      </c>
      <c r="C215" s="142">
        <v>45</v>
      </c>
      <c r="D215" s="143" t="s">
        <v>277</v>
      </c>
      <c r="E215" s="142">
        <v>557436</v>
      </c>
      <c r="F215" s="143" t="s">
        <v>284</v>
      </c>
      <c r="G215" s="144">
        <v>4.8968438782934056</v>
      </c>
      <c r="H215" s="145">
        <v>8.9853793777338886</v>
      </c>
      <c r="I215" s="146">
        <v>6.217269889888823</v>
      </c>
      <c r="J215" s="147">
        <v>0.82799569492875313</v>
      </c>
      <c r="K215" s="148">
        <v>95</v>
      </c>
      <c r="M215" s="149">
        <f t="shared" si="24"/>
        <v>0.69193181818181815</v>
      </c>
      <c r="N215" s="138">
        <f t="shared" si="25"/>
        <v>6.217269889888823</v>
      </c>
      <c r="O215" s="149"/>
      <c r="V215" s="158">
        <f t="shared" si="26"/>
        <v>240.69039858792621</v>
      </c>
      <c r="W215" s="158">
        <f t="shared" si="27"/>
        <v>66.459679122700507</v>
      </c>
      <c r="X215" s="158">
        <f t="shared" si="28"/>
        <v>28.365700736056326</v>
      </c>
      <c r="Y215" s="158">
        <f t="shared" si="29"/>
        <v>17.334653362719603</v>
      </c>
      <c r="Z215" s="158">
        <f t="shared" si="30"/>
        <v>-1.4929201333680022</v>
      </c>
      <c r="AA215" s="158">
        <f t="shared" si="31"/>
        <v>-13.664225001515785</v>
      </c>
    </row>
    <row r="216" spans="1:27" ht="19.5" thickBot="1" x14ac:dyDescent="0.35">
      <c r="A216" s="142">
        <v>160</v>
      </c>
      <c r="B216" s="143" t="s">
        <v>276</v>
      </c>
      <c r="C216" s="142">
        <v>45</v>
      </c>
      <c r="D216" s="143" t="s">
        <v>277</v>
      </c>
      <c r="E216" s="142">
        <v>557437</v>
      </c>
      <c r="F216" s="143" t="s">
        <v>541</v>
      </c>
      <c r="G216" s="144">
        <v>3.1521611030053944</v>
      </c>
      <c r="H216" s="145">
        <v>1.9034560112677503</v>
      </c>
      <c r="I216" s="146">
        <v>1.5132475289578613</v>
      </c>
      <c r="J216" s="147">
        <v>0.95813514706149694</v>
      </c>
      <c r="K216" s="148">
        <v>254</v>
      </c>
      <c r="M216" s="149">
        <f t="shared" si="24"/>
        <v>0.79499999999999993</v>
      </c>
      <c r="N216" s="138">
        <f t="shared" si="25"/>
        <v>1.5132475289578613</v>
      </c>
      <c r="O216" s="149"/>
      <c r="V216" s="158">
        <f t="shared" si="26"/>
        <v>156.0435348632866</v>
      </c>
      <c r="W216" s="158">
        <f t="shared" si="27"/>
        <v>58.429323287698068</v>
      </c>
      <c r="X216" s="158">
        <f t="shared" si="28"/>
        <v>37.086854649542936</v>
      </c>
      <c r="Y216" s="158">
        <f t="shared" si="29"/>
        <v>30.906618491956824</v>
      </c>
      <c r="Z216" s="158">
        <f t="shared" si="30"/>
        <v>20.358313644551036</v>
      </c>
      <c r="AA216" s="158">
        <f t="shared" si="31"/>
        <v>13.53923872942106</v>
      </c>
    </row>
    <row r="217" spans="1:27" ht="19.5" thickBot="1" x14ac:dyDescent="0.35">
      <c r="A217" s="142">
        <v>160</v>
      </c>
      <c r="B217" s="143" t="s">
        <v>276</v>
      </c>
      <c r="C217" s="142">
        <v>45</v>
      </c>
      <c r="D217" s="143" t="s">
        <v>277</v>
      </c>
      <c r="E217" s="142">
        <v>557440</v>
      </c>
      <c r="F217" s="143" t="s">
        <v>285</v>
      </c>
      <c r="G217" s="144">
        <v>2.875057239081289</v>
      </c>
      <c r="H217" s="145">
        <v>2.0869149728362526</v>
      </c>
      <c r="I217" s="146">
        <v>1.3269301035617174</v>
      </c>
      <c r="J217" s="147">
        <v>0.96328972452805461</v>
      </c>
      <c r="K217" s="148">
        <v>260</v>
      </c>
      <c r="M217" s="149">
        <f t="shared" si="24"/>
        <v>0.63583333333333336</v>
      </c>
      <c r="N217" s="138">
        <f t="shared" si="25"/>
        <v>1.3269301035617174</v>
      </c>
      <c r="O217" s="149"/>
      <c r="V217" s="158">
        <f t="shared" si="26"/>
        <v>178.91133752014002</v>
      </c>
      <c r="W217" s="158">
        <f t="shared" si="27"/>
        <v>67.590881332254</v>
      </c>
      <c r="X217" s="158">
        <f t="shared" si="28"/>
        <v>43.251665693193971</v>
      </c>
      <c r="Y217" s="158">
        <f t="shared" si="29"/>
        <v>36.20364781437717</v>
      </c>
      <c r="Z217" s="158">
        <f t="shared" si="30"/>
        <v>24.174230287270312</v>
      </c>
      <c r="AA217" s="158">
        <f t="shared" si="31"/>
        <v>16.397672775008683</v>
      </c>
    </row>
    <row r="218" spans="1:27" ht="19.5" thickBot="1" x14ac:dyDescent="0.35">
      <c r="A218" s="142">
        <v>160</v>
      </c>
      <c r="B218" s="143" t="s">
        <v>276</v>
      </c>
      <c r="C218" s="142">
        <v>45</v>
      </c>
      <c r="D218" s="143" t="s">
        <v>277</v>
      </c>
      <c r="E218" s="142">
        <v>557441</v>
      </c>
      <c r="F218" s="143" t="s">
        <v>286</v>
      </c>
      <c r="G218" s="144">
        <v>2.5461804329391748</v>
      </c>
      <c r="H218" s="145">
        <v>6.2839222990691406</v>
      </c>
      <c r="I218" s="146">
        <v>4.3928544321930216</v>
      </c>
      <c r="J218" s="147">
        <v>0.87846918546718922</v>
      </c>
      <c r="K218" s="148">
        <v>157</v>
      </c>
      <c r="M218" s="149">
        <f t="shared" si="24"/>
        <v>0.69906250000000014</v>
      </c>
      <c r="N218" s="138">
        <f t="shared" si="25"/>
        <v>4.3928544321930216</v>
      </c>
      <c r="O218" s="149"/>
      <c r="V218" s="158">
        <f t="shared" si="26"/>
        <v>131.42483303427707</v>
      </c>
      <c r="W218" s="158">
        <f t="shared" si="27"/>
        <v>41.755292503240049</v>
      </c>
      <c r="X218" s="158">
        <f t="shared" si="28"/>
        <v>22.149854671070589</v>
      </c>
      <c r="Y218" s="158">
        <f t="shared" si="29"/>
        <v>16.47261846049161</v>
      </c>
      <c r="Z218" s="158">
        <f t="shared" si="30"/>
        <v>6.7828239748213486</v>
      </c>
      <c r="AA218" s="158">
        <f t="shared" si="31"/>
        <v>0.51874311388100702</v>
      </c>
    </row>
    <row r="219" spans="1:27" ht="19.5" thickBot="1" x14ac:dyDescent="0.35">
      <c r="A219" s="142">
        <v>160</v>
      </c>
      <c r="B219" s="143" t="s">
        <v>276</v>
      </c>
      <c r="C219" s="142">
        <v>45</v>
      </c>
      <c r="D219" s="143" t="s">
        <v>277</v>
      </c>
      <c r="E219" s="142">
        <v>557439</v>
      </c>
      <c r="F219" s="143" t="s">
        <v>287</v>
      </c>
      <c r="G219" s="144">
        <v>3.7911894120016649</v>
      </c>
      <c r="H219" s="145">
        <v>1.5826167853829629</v>
      </c>
      <c r="I219" s="146">
        <v>1.6050371898425548</v>
      </c>
      <c r="J219" s="147">
        <v>0.95559573392473196</v>
      </c>
      <c r="K219" s="148">
        <v>252</v>
      </c>
      <c r="M219" s="149">
        <f t="shared" si="24"/>
        <v>1.0141666666666667</v>
      </c>
      <c r="N219" s="138">
        <f t="shared" si="25"/>
        <v>1.6050371898425548</v>
      </c>
      <c r="O219" s="149"/>
      <c r="V219" s="158">
        <f t="shared" si="26"/>
        <v>146.7297184359193</v>
      </c>
      <c r="W219" s="158">
        <f t="shared" si="27"/>
        <v>54.697916685319882</v>
      </c>
      <c r="X219" s="158">
        <f t="shared" si="28"/>
        <v>34.575991702561701</v>
      </c>
      <c r="Y219" s="158">
        <f t="shared" si="29"/>
        <v>28.749193947949788</v>
      </c>
      <c r="Z219" s="158">
        <f t="shared" si="30"/>
        <v>18.804130776798697</v>
      </c>
      <c r="AA219" s="158">
        <f t="shared" si="31"/>
        <v>12.375028491566784</v>
      </c>
    </row>
    <row r="220" spans="1:27" ht="19.5" thickBot="1" x14ac:dyDescent="0.35">
      <c r="A220" s="142">
        <v>160</v>
      </c>
      <c r="B220" s="143" t="s">
        <v>276</v>
      </c>
      <c r="C220" s="142">
        <v>45</v>
      </c>
      <c r="D220" s="143" t="s">
        <v>277</v>
      </c>
      <c r="E220" s="142">
        <v>457443</v>
      </c>
      <c r="F220" s="143" t="s">
        <v>288</v>
      </c>
      <c r="G220" s="144">
        <v>4.0983728111111111</v>
      </c>
      <c r="H220" s="145">
        <v>8.0519761185545633</v>
      </c>
      <c r="I220" s="146">
        <v>5.4899837171962931</v>
      </c>
      <c r="J220" s="147">
        <v>0.84811648024729791</v>
      </c>
      <c r="K220" s="148">
        <v>115</v>
      </c>
      <c r="M220" s="149">
        <f t="shared" si="24"/>
        <v>0.68181818181818177</v>
      </c>
      <c r="N220" s="138">
        <f t="shared" si="25"/>
        <v>5.4899837171962931</v>
      </c>
      <c r="O220" s="149"/>
      <c r="V220" s="158">
        <f t="shared" si="26"/>
        <v>209.39972987890846</v>
      </c>
      <c r="W220" s="158">
        <f t="shared" si="27"/>
        <v>61.415765559700191</v>
      </c>
      <c r="X220" s="158">
        <f t="shared" si="28"/>
        <v>29.060403912519597</v>
      </c>
      <c r="Y220" s="158">
        <f t="shared" si="29"/>
        <v>19.69111400824891</v>
      </c>
      <c r="Z220" s="158">
        <f t="shared" si="30"/>
        <v>3.6997952958309956</v>
      </c>
      <c r="AA220" s="158">
        <f t="shared" si="31"/>
        <v>-6.637979528577489</v>
      </c>
    </row>
    <row r="221" spans="1:27" ht="19.5" thickBot="1" x14ac:dyDescent="0.35">
      <c r="A221" s="142">
        <v>160</v>
      </c>
      <c r="B221" s="143" t="s">
        <v>276</v>
      </c>
      <c r="C221" s="142">
        <v>45</v>
      </c>
      <c r="D221" s="143" t="s">
        <v>277</v>
      </c>
      <c r="E221" s="142">
        <v>557444</v>
      </c>
      <c r="F221" s="143" t="s">
        <v>542</v>
      </c>
      <c r="G221" s="144">
        <v>6.0225891789421091</v>
      </c>
      <c r="H221" s="145">
        <v>13.449364981296625</v>
      </c>
      <c r="I221" s="146">
        <v>8.6557456354937425</v>
      </c>
      <c r="J221" s="147">
        <v>0.76053387752591151</v>
      </c>
      <c r="K221" s="148">
        <v>46</v>
      </c>
      <c r="M221" s="149">
        <f t="shared" si="24"/>
        <v>0.64358024691358029</v>
      </c>
      <c r="N221" s="138">
        <f t="shared" si="25"/>
        <v>8.6557456354937425</v>
      </c>
      <c r="O221" s="149"/>
      <c r="V221" s="158">
        <f t="shared" si="26"/>
        <v>292.33231711790205</v>
      </c>
      <c r="W221" s="158">
        <f t="shared" si="27"/>
        <v>61.948320850168201</v>
      </c>
      <c r="X221" s="158">
        <f t="shared" si="28"/>
        <v>11.576933982289253</v>
      </c>
      <c r="Y221" s="158">
        <f t="shared" si="29"/>
        <v>-3.009338660608432</v>
      </c>
      <c r="Z221" s="158">
        <f t="shared" si="30"/>
        <v>-27.90490033518935</v>
      </c>
      <c r="AA221" s="158">
        <f t="shared" si="31"/>
        <v>-43.99892705977318</v>
      </c>
    </row>
    <row r="222" spans="1:27" ht="19.5" thickBot="1" x14ac:dyDescent="0.35">
      <c r="A222" s="142">
        <v>160</v>
      </c>
      <c r="B222" s="143" t="s">
        <v>276</v>
      </c>
      <c r="C222" s="142">
        <v>45</v>
      </c>
      <c r="D222" s="143" t="s">
        <v>277</v>
      </c>
      <c r="E222" s="142">
        <v>557445</v>
      </c>
      <c r="F222" s="143" t="s">
        <v>289</v>
      </c>
      <c r="G222" s="144">
        <v>3.0671238161600978</v>
      </c>
      <c r="H222" s="145">
        <v>12.715495799196741</v>
      </c>
      <c r="I222" s="146">
        <v>7.2168589619287147</v>
      </c>
      <c r="J222" s="147">
        <v>0.80034149513719344</v>
      </c>
      <c r="K222" s="148">
        <v>73</v>
      </c>
      <c r="M222" s="149">
        <f t="shared" si="24"/>
        <v>0.56756410256410261</v>
      </c>
      <c r="N222" s="138">
        <f t="shared" si="25"/>
        <v>7.2168589619287147</v>
      </c>
      <c r="O222" s="149"/>
      <c r="V222" s="158">
        <f t="shared" si="26"/>
        <v>177.65173550958056</v>
      </c>
      <c r="W222" s="158">
        <f t="shared" si="27"/>
        <v>44.609919943887412</v>
      </c>
      <c r="X222" s="158">
        <f t="shared" si="28"/>
        <v>15.521524612483493</v>
      </c>
      <c r="Y222" s="158">
        <f t="shared" si="29"/>
        <v>7.0982650710867148</v>
      </c>
      <c r="Z222" s="158">
        <f t="shared" si="30"/>
        <v>-7.2783877275947368</v>
      </c>
      <c r="AA222" s="158">
        <f t="shared" si="31"/>
        <v>-16.572342906291748</v>
      </c>
    </row>
    <row r="223" spans="1:27" ht="19.5" thickBot="1" x14ac:dyDescent="0.35">
      <c r="A223" s="142">
        <v>160</v>
      </c>
      <c r="B223" s="143" t="s">
        <v>276</v>
      </c>
      <c r="C223" s="142">
        <v>45</v>
      </c>
      <c r="D223" s="143" t="s">
        <v>277</v>
      </c>
      <c r="E223" s="142">
        <v>457446</v>
      </c>
      <c r="F223" s="143" t="s">
        <v>290</v>
      </c>
      <c r="G223" s="144">
        <v>7.3002462539154163</v>
      </c>
      <c r="H223" s="145">
        <v>4.794358817858793</v>
      </c>
      <c r="I223" s="146">
        <v>3.5101555630751879</v>
      </c>
      <c r="J223" s="147">
        <v>0.90288955136069937</v>
      </c>
      <c r="K223" s="148">
        <v>200</v>
      </c>
      <c r="M223" s="149">
        <f t="shared" si="24"/>
        <v>0.73214285714285721</v>
      </c>
      <c r="N223" s="138">
        <f t="shared" si="25"/>
        <v>3.5101555630751879</v>
      </c>
      <c r="O223" s="149"/>
      <c r="V223" s="158">
        <f t="shared" si="26"/>
        <v>369.78904316513712</v>
      </c>
      <c r="W223" s="158">
        <f t="shared" si="27"/>
        <v>124.31054688361404</v>
      </c>
      <c r="X223" s="158">
        <f t="shared" si="28"/>
        <v>70.638883468365066</v>
      </c>
      <c r="Y223" s="158">
        <f t="shared" si="29"/>
        <v>55.096934666636081</v>
      </c>
      <c r="Z223" s="158">
        <f t="shared" si="30"/>
        <v>28.570243824543255</v>
      </c>
      <c r="AA223" s="158">
        <f t="shared" si="31"/>
        <v>11.421754591487964</v>
      </c>
    </row>
    <row r="224" spans="1:27" ht="19.5" thickBot="1" x14ac:dyDescent="0.35">
      <c r="A224" s="142">
        <v>160</v>
      </c>
      <c r="B224" s="143" t="s">
        <v>276</v>
      </c>
      <c r="C224" s="142">
        <v>45</v>
      </c>
      <c r="D224" s="143" t="s">
        <v>277</v>
      </c>
      <c r="E224" s="142">
        <v>557447</v>
      </c>
      <c r="F224" s="143" t="s">
        <v>291</v>
      </c>
      <c r="G224" s="144">
        <v>2.9612506945259045</v>
      </c>
      <c r="H224" s="145">
        <v>3.7146466593775158</v>
      </c>
      <c r="I224" s="146">
        <v>3.0628950182321883</v>
      </c>
      <c r="J224" s="147">
        <v>0.91526326853302609</v>
      </c>
      <c r="K224" s="148">
        <v>211</v>
      </c>
      <c r="M224" s="149">
        <f t="shared" si="24"/>
        <v>0.82454545454545458</v>
      </c>
      <c r="N224" s="138">
        <f t="shared" si="25"/>
        <v>3.0628950182321883</v>
      </c>
      <c r="O224" s="149"/>
      <c r="V224" s="158">
        <f t="shared" si="26"/>
        <v>135.01572055705111</v>
      </c>
      <c r="W224" s="158">
        <f t="shared" si="27"/>
        <v>46.59941836772343</v>
      </c>
      <c r="X224" s="158">
        <f t="shared" si="28"/>
        <v>27.267989817320821</v>
      </c>
      <c r="Y224" s="158">
        <f t="shared" si="29"/>
        <v>21.670099726415284</v>
      </c>
      <c r="Z224" s="158">
        <f t="shared" si="30"/>
        <v>12.115731628577608</v>
      </c>
      <c r="AA224" s="158">
        <f t="shared" si="31"/>
        <v>5.9391987383752323</v>
      </c>
    </row>
    <row r="225" spans="1:27" ht="19.5" thickBot="1" x14ac:dyDescent="0.35">
      <c r="A225" s="142">
        <v>160</v>
      </c>
      <c r="B225" s="143" t="s">
        <v>276</v>
      </c>
      <c r="C225" s="142">
        <v>45</v>
      </c>
      <c r="D225" s="143" t="s">
        <v>277</v>
      </c>
      <c r="E225" s="142">
        <v>457453</v>
      </c>
      <c r="F225" s="143" t="s">
        <v>543</v>
      </c>
      <c r="G225" s="144">
        <v>7.7095109330981</v>
      </c>
      <c r="H225" s="145">
        <v>3.5021676776000024</v>
      </c>
      <c r="I225" s="146">
        <v>2.1758838071014828</v>
      </c>
      <c r="J225" s="147">
        <v>0.93980293781922941</v>
      </c>
      <c r="K225" s="148">
        <v>238</v>
      </c>
      <c r="M225" s="149">
        <f t="shared" si="24"/>
        <v>0.62129629629629624</v>
      </c>
      <c r="N225" s="138">
        <f t="shared" si="25"/>
        <v>2.1758838071014828</v>
      </c>
      <c r="O225" s="149"/>
      <c r="V225" s="158">
        <f t="shared" si="26"/>
        <v>479.00780902426283</v>
      </c>
      <c r="W225" s="158">
        <f t="shared" si="27"/>
        <v>173.51581175343654</v>
      </c>
      <c r="X225" s="158">
        <f t="shared" si="28"/>
        <v>106.72273658823694</v>
      </c>
      <c r="Y225" s="158">
        <f t="shared" si="29"/>
        <v>87.381160634162285</v>
      </c>
      <c r="Z225" s="158">
        <f t="shared" si="30"/>
        <v>54.369341313568583</v>
      </c>
      <c r="AA225" s="158">
        <f t="shared" si="31"/>
        <v>33.028465003264927</v>
      </c>
    </row>
    <row r="226" spans="1:27" ht="19.5" thickBot="1" x14ac:dyDescent="0.35">
      <c r="A226" s="142">
        <v>160</v>
      </c>
      <c r="B226" s="143" t="s">
        <v>276</v>
      </c>
      <c r="C226" s="142">
        <v>45</v>
      </c>
      <c r="D226" s="143" t="s">
        <v>277</v>
      </c>
      <c r="E226" s="142">
        <v>557459</v>
      </c>
      <c r="F226" s="143" t="s">
        <v>294</v>
      </c>
      <c r="G226" s="144">
        <v>2.8369629421676046</v>
      </c>
      <c r="H226" s="145">
        <v>8.1072613456228879</v>
      </c>
      <c r="I226" s="146">
        <v>4.3497219567385406</v>
      </c>
      <c r="J226" s="147">
        <v>0.87966246991485586</v>
      </c>
      <c r="K226" s="148">
        <v>164</v>
      </c>
      <c r="M226" s="149">
        <f t="shared" si="24"/>
        <v>0.53652173913043477</v>
      </c>
      <c r="N226" s="138">
        <f t="shared" si="25"/>
        <v>4.3497219567385406</v>
      </c>
      <c r="O226" s="149"/>
      <c r="V226" s="158">
        <f t="shared" si="26"/>
        <v>191.05575936857929</v>
      </c>
      <c r="W226" s="158">
        <f t="shared" si="27"/>
        <v>60.877604062617493</v>
      </c>
      <c r="X226" s="158">
        <f t="shared" si="28"/>
        <v>32.415322268342521</v>
      </c>
      <c r="Y226" s="158">
        <f t="shared" si="29"/>
        <v>24.173369284613624</v>
      </c>
      <c r="Z226" s="158">
        <f t="shared" si="30"/>
        <v>10.106166932864848</v>
      </c>
      <c r="AA226" s="158">
        <f t="shared" si="31"/>
        <v>1.0122596112103253</v>
      </c>
    </row>
    <row r="227" spans="1:27" ht="19.5" thickBot="1" x14ac:dyDescent="0.35">
      <c r="A227" s="142">
        <v>160</v>
      </c>
      <c r="B227" s="143" t="s">
        <v>276</v>
      </c>
      <c r="C227" s="142">
        <v>45</v>
      </c>
      <c r="D227" s="143" t="s">
        <v>277</v>
      </c>
      <c r="E227" s="142">
        <v>557559</v>
      </c>
      <c r="F227" s="143" t="s">
        <v>295</v>
      </c>
      <c r="G227" s="144">
        <v>2.9777762320543215</v>
      </c>
      <c r="H227" s="145">
        <v>7.3880635365346246</v>
      </c>
      <c r="I227" s="146">
        <v>5.8567194580529032</v>
      </c>
      <c r="J227" s="147">
        <v>0.83797052754329548</v>
      </c>
      <c r="K227" s="148">
        <v>104</v>
      </c>
      <c r="M227" s="149">
        <f t="shared" si="24"/>
        <v>0.79272727272727284</v>
      </c>
      <c r="N227" s="138">
        <f t="shared" si="25"/>
        <v>5.8567194580529032</v>
      </c>
      <c r="O227" s="149"/>
      <c r="V227" s="158">
        <f t="shared" si="26"/>
        <v>129.29291733749361</v>
      </c>
      <c r="W227" s="158">
        <f t="shared" si="27"/>
        <v>36.814575683671031</v>
      </c>
      <c r="X227" s="158">
        <f t="shared" si="28"/>
        <v>16.595018770824002</v>
      </c>
      <c r="Y227" s="158">
        <f t="shared" si="29"/>
        <v>10.739949292134616</v>
      </c>
      <c r="Z227" s="158">
        <f t="shared" si="30"/>
        <v>0.74663250145720983</v>
      </c>
      <c r="AA227" s="158">
        <f t="shared" si="31"/>
        <v>-5.7136638999133709</v>
      </c>
    </row>
    <row r="228" spans="1:27" ht="19.5" thickBot="1" x14ac:dyDescent="0.35">
      <c r="A228" s="142">
        <v>160</v>
      </c>
      <c r="B228" s="143" t="s">
        <v>276</v>
      </c>
      <c r="C228" s="142">
        <v>45</v>
      </c>
      <c r="D228" s="143" t="s">
        <v>277</v>
      </c>
      <c r="E228" s="142">
        <v>457574</v>
      </c>
      <c r="F228" s="143" t="s">
        <v>296</v>
      </c>
      <c r="G228" s="144">
        <v>3.3124110479673949</v>
      </c>
      <c r="H228" s="145">
        <v>12.981480672933458</v>
      </c>
      <c r="I228" s="146">
        <v>8.5979667340731378</v>
      </c>
      <c r="J228" s="147">
        <v>0.76213236367218518</v>
      </c>
      <c r="K228" s="148">
        <v>47</v>
      </c>
      <c r="M228" s="149">
        <f t="shared" si="24"/>
        <v>0.66232558139534892</v>
      </c>
      <c r="N228" s="138">
        <f t="shared" si="25"/>
        <v>8.5979667340731378</v>
      </c>
      <c r="O228" s="149"/>
      <c r="V228" s="158">
        <f t="shared" si="26"/>
        <v>156.56000645717782</v>
      </c>
      <c r="W228" s="158">
        <f t="shared" si="27"/>
        <v>33.435509543282933</v>
      </c>
      <c r="X228" s="158">
        <f t="shared" si="28"/>
        <v>6.5154466594211717</v>
      </c>
      <c r="Y228" s="158">
        <f t="shared" si="29"/>
        <v>-1.2799189479997639</v>
      </c>
      <c r="Z228" s="158">
        <f t="shared" si="30"/>
        <v>-14.584894798012479</v>
      </c>
      <c r="AA228" s="158">
        <f t="shared" si="31"/>
        <v>-23.186051891755842</v>
      </c>
    </row>
    <row r="229" spans="1:27" ht="19.5" thickBot="1" x14ac:dyDescent="0.35">
      <c r="A229" s="142">
        <v>160</v>
      </c>
      <c r="B229" s="143" t="s">
        <v>276</v>
      </c>
      <c r="C229" s="142">
        <v>45</v>
      </c>
      <c r="D229" s="143" t="s">
        <v>277</v>
      </c>
      <c r="E229" s="142">
        <v>557612</v>
      </c>
      <c r="F229" s="143" t="s">
        <v>297</v>
      </c>
      <c r="G229" s="144">
        <v>3.8271842644328</v>
      </c>
      <c r="H229" s="145">
        <v>-0.26128869970889756</v>
      </c>
      <c r="I229" s="146">
        <v>3.5273974460701178E-2</v>
      </c>
      <c r="J229" s="147">
        <v>0.99902412544868269</v>
      </c>
      <c r="K229" s="148">
        <v>285</v>
      </c>
      <c r="M229" s="149">
        <f t="shared" si="24"/>
        <v>-0.13500000000000004</v>
      </c>
      <c r="N229" s="138">
        <f t="shared" si="25"/>
        <v>3.5273974460701178E-2</v>
      </c>
      <c r="O229" s="149"/>
      <c r="V229" s="158">
        <f t="shared" si="26"/>
        <v>-1163.3203125108903</v>
      </c>
      <c r="W229" s="158">
        <f t="shared" si="27"/>
        <v>-465.38145571767484</v>
      </c>
      <c r="X229" s="158">
        <f t="shared" si="28"/>
        <v>-312.78340752338727</v>
      </c>
      <c r="Y229" s="158">
        <f t="shared" si="29"/>
        <v>-268.59489348516649</v>
      </c>
      <c r="Z229" s="158">
        <f t="shared" si="30"/>
        <v>-193.17481163976998</v>
      </c>
      <c r="AA229" s="158">
        <f t="shared" si="31"/>
        <v>-144.41861852164294</v>
      </c>
    </row>
    <row r="230" spans="1:27" ht="19.5" thickBot="1" x14ac:dyDescent="0.35">
      <c r="A230" s="142">
        <v>160</v>
      </c>
      <c r="B230" s="143" t="s">
        <v>276</v>
      </c>
      <c r="C230" s="142">
        <v>45</v>
      </c>
      <c r="D230" s="143" t="s">
        <v>277</v>
      </c>
      <c r="E230" s="142">
        <v>557712</v>
      </c>
      <c r="F230" s="143" t="s">
        <v>544</v>
      </c>
      <c r="G230" s="144">
        <v>5.7046753832273573</v>
      </c>
      <c r="H230" s="145">
        <v>6.3106132394221168</v>
      </c>
      <c r="I230" s="146">
        <v>4.0720984875493276</v>
      </c>
      <c r="J230" s="147">
        <v>0.88734308097647629</v>
      </c>
      <c r="K230" s="148">
        <v>179</v>
      </c>
      <c r="M230" s="149">
        <f t="shared" si="24"/>
        <v>0.64527777777777784</v>
      </c>
      <c r="N230" s="138">
        <f t="shared" si="25"/>
        <v>4.0720984875493276</v>
      </c>
      <c r="O230" s="149"/>
      <c r="V230" s="158">
        <f t="shared" si="26"/>
        <v>322.22076621534137</v>
      </c>
      <c r="W230" s="158">
        <f t="shared" si="27"/>
        <v>104.57210436262653</v>
      </c>
      <c r="X230" s="158">
        <f t="shared" si="28"/>
        <v>56.985183721148317</v>
      </c>
      <c r="Y230" s="158">
        <f t="shared" si="29"/>
        <v>43.20522168569434</v>
      </c>
      <c r="Z230" s="158">
        <f t="shared" si="30"/>
        <v>19.685855009515411</v>
      </c>
      <c r="AA230" s="158">
        <f t="shared" si="31"/>
        <v>4.4814856211279643</v>
      </c>
    </row>
    <row r="231" spans="1:27" ht="19.5" thickBot="1" x14ac:dyDescent="0.35">
      <c r="A231" s="142">
        <v>160</v>
      </c>
      <c r="B231" s="143" t="s">
        <v>276</v>
      </c>
      <c r="C231" s="142">
        <v>42</v>
      </c>
      <c r="D231" s="143" t="s">
        <v>300</v>
      </c>
      <c r="E231" s="142">
        <v>457163</v>
      </c>
      <c r="F231" s="143" t="s">
        <v>301</v>
      </c>
      <c r="G231" s="144">
        <v>2.456290679625579</v>
      </c>
      <c r="H231" s="145">
        <v>9.363712605670095</v>
      </c>
      <c r="I231" s="146">
        <v>7.0451759409183046</v>
      </c>
      <c r="J231" s="147">
        <v>0.80509120348899799</v>
      </c>
      <c r="K231" s="148">
        <v>78</v>
      </c>
      <c r="M231" s="149">
        <f t="shared" si="24"/>
        <v>0.75239130434782608</v>
      </c>
      <c r="N231" s="138">
        <f t="shared" si="25"/>
        <v>7.0451759409183046</v>
      </c>
      <c r="O231" s="149"/>
      <c r="V231" s="158">
        <f t="shared" si="26"/>
        <v>107.9589881600768</v>
      </c>
      <c r="W231" s="158">
        <f t="shared" si="27"/>
        <v>27.586434632583845</v>
      </c>
      <c r="X231" s="158">
        <f t="shared" si="28"/>
        <v>10.01369931728946</v>
      </c>
      <c r="Y231" s="158">
        <f t="shared" si="29"/>
        <v>4.9250820619680225</v>
      </c>
      <c r="Z231" s="158">
        <f t="shared" si="30"/>
        <v>-3.7600692319697204</v>
      </c>
      <c r="AA231" s="158">
        <f t="shared" si="31"/>
        <v>-9.3746867633510771</v>
      </c>
    </row>
    <row r="232" spans="1:27" ht="19.5" thickBot="1" x14ac:dyDescent="0.35">
      <c r="A232" s="142">
        <v>160</v>
      </c>
      <c r="B232" s="143" t="s">
        <v>276</v>
      </c>
      <c r="C232" s="142">
        <v>42</v>
      </c>
      <c r="D232" s="143" t="s">
        <v>300</v>
      </c>
      <c r="E232" s="142">
        <v>457165</v>
      </c>
      <c r="F232" s="143" t="s">
        <v>302</v>
      </c>
      <c r="G232" s="144">
        <v>3.326340992863813</v>
      </c>
      <c r="H232" s="145">
        <v>11.123333440371324</v>
      </c>
      <c r="I232" s="146">
        <v>8.1997005293548053</v>
      </c>
      <c r="J232" s="147">
        <v>0.77315062457917061</v>
      </c>
      <c r="K232" s="148">
        <v>52</v>
      </c>
      <c r="M232" s="149">
        <f t="shared" si="24"/>
        <v>0.73716216216216202</v>
      </c>
      <c r="N232" s="138">
        <f t="shared" si="25"/>
        <v>8.1997005293548053</v>
      </c>
      <c r="O232" s="149"/>
      <c r="V232" s="158">
        <f t="shared" si="26"/>
        <v>143.29979697862754</v>
      </c>
      <c r="W232" s="158">
        <f t="shared" si="27"/>
        <v>32.209658881973809</v>
      </c>
      <c r="X232" s="158">
        <f t="shared" si="28"/>
        <v>7.9208002202389327</v>
      </c>
      <c r="Y232" s="158">
        <f t="shared" si="29"/>
        <v>0.88736444142790238</v>
      </c>
      <c r="Z232" s="158">
        <f t="shared" si="30"/>
        <v>-11.1171646457789</v>
      </c>
      <c r="AA232" s="158">
        <f t="shared" si="31"/>
        <v>-18.877632735270293</v>
      </c>
    </row>
    <row r="233" spans="1:27" ht="19.5" thickBot="1" x14ac:dyDescent="0.35">
      <c r="A233" s="142">
        <v>160</v>
      </c>
      <c r="B233" s="143" t="s">
        <v>276</v>
      </c>
      <c r="C233" s="142">
        <v>42</v>
      </c>
      <c r="D233" s="143" t="s">
        <v>300</v>
      </c>
      <c r="E233" s="142">
        <v>557210</v>
      </c>
      <c r="F233" s="143" t="s">
        <v>303</v>
      </c>
      <c r="G233" s="144">
        <v>2.2747145523264414</v>
      </c>
      <c r="H233" s="145">
        <v>6.1546183830765235</v>
      </c>
      <c r="I233" s="146">
        <v>3.4641709184745002</v>
      </c>
      <c r="J233" s="147">
        <v>0.90416174268881799</v>
      </c>
      <c r="K233" s="148">
        <v>201</v>
      </c>
      <c r="M233" s="149">
        <f t="shared" si="24"/>
        <v>0.56285714285714283</v>
      </c>
      <c r="N233" s="138">
        <f t="shared" si="25"/>
        <v>3.4641709184745002</v>
      </c>
      <c r="O233" s="149"/>
      <c r="V233" s="158">
        <f t="shared" si="26"/>
        <v>150.09028507533344</v>
      </c>
      <c r="W233" s="158">
        <f t="shared" si="27"/>
        <v>50.595458796107167</v>
      </c>
      <c r="X233" s="158">
        <f t="shared" si="28"/>
        <v>28.841810682289715</v>
      </c>
      <c r="Y233" s="158">
        <f t="shared" si="29"/>
        <v>22.542507405251325</v>
      </c>
      <c r="Z233" s="158">
        <f t="shared" si="30"/>
        <v>11.79098115315157</v>
      </c>
      <c r="AA233" s="158">
        <f t="shared" si="31"/>
        <v>4.8405313865157753</v>
      </c>
    </row>
    <row r="234" spans="1:27" ht="19.5" thickBot="1" x14ac:dyDescent="0.35">
      <c r="A234" s="142">
        <v>160</v>
      </c>
      <c r="B234" s="143" t="s">
        <v>276</v>
      </c>
      <c r="C234" s="142">
        <v>42</v>
      </c>
      <c r="D234" s="143" t="s">
        <v>300</v>
      </c>
      <c r="E234" s="142">
        <v>557250</v>
      </c>
      <c r="F234" s="143" t="s">
        <v>304</v>
      </c>
      <c r="G234" s="144">
        <v>2.9376340331368493</v>
      </c>
      <c r="H234" s="145">
        <v>7.8294299904471956</v>
      </c>
      <c r="I234" s="146">
        <v>5.6525080431032908</v>
      </c>
      <c r="J234" s="147">
        <v>0.84362015240084731</v>
      </c>
      <c r="K234" s="148">
        <v>106</v>
      </c>
      <c r="M234" s="149">
        <f t="shared" si="24"/>
        <v>0.7219565217391305</v>
      </c>
      <c r="N234" s="138">
        <f t="shared" si="25"/>
        <v>5.6525080431032908</v>
      </c>
      <c r="O234" s="149"/>
      <c r="V234" s="158">
        <f t="shared" si="26"/>
        <v>140.99747130225828</v>
      </c>
      <c r="W234" s="158">
        <f t="shared" si="27"/>
        <v>40.82268586114099</v>
      </c>
      <c r="X234" s="158">
        <f t="shared" si="28"/>
        <v>18.920370797566463</v>
      </c>
      <c r="Y234" s="158">
        <f t="shared" si="29"/>
        <v>12.578017352625558</v>
      </c>
      <c r="Z234" s="158">
        <f t="shared" si="30"/>
        <v>1.7530139253517913</v>
      </c>
      <c r="AA234" s="158">
        <f t="shared" si="31"/>
        <v>-5.2449360196834709</v>
      </c>
    </row>
    <row r="235" spans="1:27" ht="19.5" thickBot="1" x14ac:dyDescent="0.35">
      <c r="A235" s="142">
        <v>160</v>
      </c>
      <c r="B235" s="143" t="s">
        <v>276</v>
      </c>
      <c r="C235" s="142">
        <v>42</v>
      </c>
      <c r="D235" s="143" t="s">
        <v>300</v>
      </c>
      <c r="E235" s="142">
        <v>457258</v>
      </c>
      <c r="F235" s="143" t="s">
        <v>305</v>
      </c>
      <c r="G235" s="144">
        <v>3.2454949073058987</v>
      </c>
      <c r="H235" s="145">
        <v>2.156835921770321</v>
      </c>
      <c r="I235" s="146">
        <v>1.4835949947605851</v>
      </c>
      <c r="J235" s="147">
        <v>0.95895550127299711</v>
      </c>
      <c r="K235" s="148">
        <v>256</v>
      </c>
      <c r="M235" s="149">
        <f t="shared" si="24"/>
        <v>0.68785714285714283</v>
      </c>
      <c r="N235" s="138">
        <f t="shared" si="25"/>
        <v>1.4835949947605851</v>
      </c>
      <c r="O235" s="149"/>
      <c r="V235" s="158">
        <f t="shared" si="26"/>
        <v>185.84841721416987</v>
      </c>
      <c r="W235" s="158">
        <f t="shared" si="27"/>
        <v>69.688991982761394</v>
      </c>
      <c r="X235" s="158">
        <f t="shared" si="28"/>
        <v>44.291779322720359</v>
      </c>
      <c r="Y235" s="158">
        <f t="shared" si="29"/>
        <v>36.937392412535004</v>
      </c>
      <c r="Z235" s="158">
        <f t="shared" si="30"/>
        <v>24.385070281740294</v>
      </c>
      <c r="AA235" s="158">
        <f t="shared" si="31"/>
        <v>16.270474978800792</v>
      </c>
    </row>
    <row r="236" spans="1:27" ht="19.5" thickBot="1" x14ac:dyDescent="0.35">
      <c r="A236" s="142">
        <v>160</v>
      </c>
      <c r="B236" s="143" t="s">
        <v>276</v>
      </c>
      <c r="C236" s="142">
        <v>42</v>
      </c>
      <c r="D236" s="143" t="s">
        <v>300</v>
      </c>
      <c r="E236" s="142">
        <v>557305</v>
      </c>
      <c r="F236" s="143" t="s">
        <v>306</v>
      </c>
      <c r="G236" s="144">
        <v>2.8560806017217275</v>
      </c>
      <c r="H236" s="145">
        <v>16.105988035586208</v>
      </c>
      <c r="I236" s="146">
        <v>10.07149447486168</v>
      </c>
      <c r="J236" s="147">
        <v>0.72136638124801378</v>
      </c>
      <c r="K236" s="148">
        <v>26</v>
      </c>
      <c r="M236" s="149">
        <f t="shared" si="24"/>
        <v>0.62532608695652181</v>
      </c>
      <c r="N236" s="138">
        <f t="shared" si="25"/>
        <v>10.07149447486168</v>
      </c>
      <c r="O236" s="149"/>
      <c r="V236" s="158">
        <f t="shared" si="26"/>
        <v>135.33107842329537</v>
      </c>
      <c r="W236" s="158">
        <f t="shared" si="27"/>
        <v>22.887233701861724</v>
      </c>
      <c r="X236" s="158">
        <f t="shared" si="28"/>
        <v>-1.6976007273181977</v>
      </c>
      <c r="Y236" s="158">
        <f t="shared" si="29"/>
        <v>-8.8167435614256817</v>
      </c>
      <c r="Z236" s="158">
        <f t="shared" si="30"/>
        <v>-20.967555755586371</v>
      </c>
      <c r="AA236" s="158">
        <f t="shared" si="31"/>
        <v>-28.822590268741738</v>
      </c>
    </row>
    <row r="237" spans="1:27" ht="19.5" thickBot="1" x14ac:dyDescent="0.35">
      <c r="A237" s="142">
        <v>160</v>
      </c>
      <c r="B237" s="143" t="s">
        <v>276</v>
      </c>
      <c r="C237" s="142">
        <v>42</v>
      </c>
      <c r="D237" s="143" t="s">
        <v>300</v>
      </c>
      <c r="E237" s="142">
        <v>457308</v>
      </c>
      <c r="F237" s="143" t="s">
        <v>307</v>
      </c>
      <c r="G237" s="144">
        <v>9.2014397202331395</v>
      </c>
      <c r="H237" s="145">
        <v>9.9984353315601542</v>
      </c>
      <c r="I237" s="146">
        <v>6.1979431191182126</v>
      </c>
      <c r="J237" s="147">
        <v>0.82853038102643661</v>
      </c>
      <c r="K237" s="148">
        <v>96</v>
      </c>
      <c r="M237" s="149">
        <f t="shared" si="24"/>
        <v>0.61989130434782602</v>
      </c>
      <c r="N237" s="138">
        <f t="shared" si="25"/>
        <v>6.1979431191182126</v>
      </c>
      <c r="O237" s="149"/>
      <c r="V237" s="158">
        <f t="shared" si="26"/>
        <v>505.1570406911685</v>
      </c>
      <c r="W237" s="158">
        <f t="shared" si="27"/>
        <v>139.72046307854842</v>
      </c>
      <c r="X237" s="158">
        <f t="shared" si="28"/>
        <v>59.821045042552626</v>
      </c>
      <c r="Y237" s="158">
        <f t="shared" si="29"/>
        <v>36.684205500318967</v>
      </c>
      <c r="Z237" s="158">
        <f t="shared" si="30"/>
        <v>-2.8052946537198826</v>
      </c>
      <c r="AA237" s="158">
        <f t="shared" si="31"/>
        <v>-28.333743424107261</v>
      </c>
    </row>
    <row r="238" spans="1:27" ht="19.5" thickBot="1" x14ac:dyDescent="0.35">
      <c r="A238" s="142">
        <v>160</v>
      </c>
      <c r="B238" s="143" t="s">
        <v>276</v>
      </c>
      <c r="C238" s="142">
        <v>42</v>
      </c>
      <c r="D238" s="143" t="s">
        <v>300</v>
      </c>
      <c r="E238" s="142">
        <v>457345</v>
      </c>
      <c r="F238" s="143" t="s">
        <v>308</v>
      </c>
      <c r="G238" s="144">
        <v>2.4944492773355069</v>
      </c>
      <c r="H238" s="145">
        <v>2.0044504594380226</v>
      </c>
      <c r="I238" s="146">
        <v>1.791978710737592</v>
      </c>
      <c r="J238" s="147">
        <v>0.95042389050149456</v>
      </c>
      <c r="K238" s="148">
        <v>246</v>
      </c>
      <c r="M238" s="149">
        <f t="shared" si="24"/>
        <v>0.89399999999999991</v>
      </c>
      <c r="N238" s="138">
        <f t="shared" si="25"/>
        <v>1.791978710737592</v>
      </c>
      <c r="O238" s="149"/>
      <c r="V238" s="158">
        <f t="shared" si="26"/>
        <v>108.92617020802277</v>
      </c>
      <c r="W238" s="158">
        <f t="shared" si="27"/>
        <v>40.233731893503233</v>
      </c>
      <c r="X238" s="158">
        <f t="shared" si="28"/>
        <v>25.214748625162468</v>
      </c>
      <c r="Y238" s="158">
        <f t="shared" si="29"/>
        <v>20.865633018205955</v>
      </c>
      <c r="Z238" s="158">
        <f t="shared" si="30"/>
        <v>13.442648512593491</v>
      </c>
      <c r="AA238" s="158">
        <f t="shared" si="31"/>
        <v>8.6439734486974054</v>
      </c>
    </row>
    <row r="239" spans="1:27" ht="19.5" thickBot="1" x14ac:dyDescent="0.35">
      <c r="A239" s="142">
        <v>160</v>
      </c>
      <c r="B239" s="143" t="s">
        <v>276</v>
      </c>
      <c r="C239" s="142">
        <v>42</v>
      </c>
      <c r="D239" s="143" t="s">
        <v>300</v>
      </c>
      <c r="E239" s="142">
        <v>557353</v>
      </c>
      <c r="F239" s="143" t="s">
        <v>309</v>
      </c>
      <c r="G239" s="144">
        <v>2.600180563864698</v>
      </c>
      <c r="H239" s="145">
        <v>5.3842414617512304</v>
      </c>
      <c r="I239" s="146">
        <v>3.9035750597696421</v>
      </c>
      <c r="J239" s="147">
        <v>0.8920053773858071</v>
      </c>
      <c r="K239" s="148">
        <v>185</v>
      </c>
      <c r="M239" s="149">
        <f t="shared" si="24"/>
        <v>0.72499999999999998</v>
      </c>
      <c r="N239" s="138">
        <f t="shared" si="25"/>
        <v>3.9035750597696421</v>
      </c>
      <c r="O239" s="149"/>
      <c r="V239" s="158">
        <f t="shared" si="26"/>
        <v>131.40464123779191</v>
      </c>
      <c r="W239" s="158">
        <f t="shared" si="27"/>
        <v>43.109404574529805</v>
      </c>
      <c r="X239" s="158">
        <f t="shared" si="28"/>
        <v>23.804445911569921</v>
      </c>
      <c r="Y239" s="158">
        <f t="shared" si="29"/>
        <v>18.214220826912463</v>
      </c>
      <c r="Z239" s="158">
        <f t="shared" si="30"/>
        <v>8.6729352101483705</v>
      </c>
      <c r="AA239" s="158">
        <f t="shared" si="31"/>
        <v>2.5048596426918901</v>
      </c>
    </row>
    <row r="240" spans="1:27" ht="19.5" thickBot="1" x14ac:dyDescent="0.35">
      <c r="A240" s="142">
        <v>160</v>
      </c>
      <c r="B240" s="143" t="s">
        <v>276</v>
      </c>
      <c r="C240" s="142">
        <v>42</v>
      </c>
      <c r="D240" s="143" t="s">
        <v>300</v>
      </c>
      <c r="E240" s="142">
        <v>457435</v>
      </c>
      <c r="F240" s="143" t="s">
        <v>310</v>
      </c>
      <c r="G240" s="144">
        <v>3.3634437715401972</v>
      </c>
      <c r="H240" s="145">
        <v>3.8650861685275046</v>
      </c>
      <c r="I240" s="146">
        <v>3.0831495052023246</v>
      </c>
      <c r="J240" s="147">
        <v>0.91470291663941794</v>
      </c>
      <c r="K240" s="148">
        <v>210</v>
      </c>
      <c r="M240" s="149">
        <f t="shared" si="24"/>
        <v>0.79769230769230759</v>
      </c>
      <c r="N240" s="138">
        <f t="shared" si="25"/>
        <v>3.0831495052023246</v>
      </c>
      <c r="O240" s="149"/>
      <c r="V240" s="158">
        <f t="shared" si="26"/>
        <v>158.41874294762624</v>
      </c>
      <c r="W240" s="158">
        <f t="shared" si="27"/>
        <v>54.613200665137761</v>
      </c>
      <c r="X240" s="158">
        <f t="shared" si="28"/>
        <v>31.917053302259891</v>
      </c>
      <c r="Y240" s="158">
        <f t="shared" si="29"/>
        <v>25.344826211378919</v>
      </c>
      <c r="Z240" s="158">
        <f t="shared" si="30"/>
        <v>14.12747899141949</v>
      </c>
      <c r="AA240" s="158">
        <f t="shared" si="31"/>
        <v>6.8758938174528446</v>
      </c>
    </row>
    <row r="241" spans="1:27" ht="19.5" thickBot="1" x14ac:dyDescent="0.35">
      <c r="A241" s="142">
        <v>160</v>
      </c>
      <c r="B241" s="143" t="s">
        <v>276</v>
      </c>
      <c r="C241" s="142">
        <v>42</v>
      </c>
      <c r="D241" s="143" t="s">
        <v>300</v>
      </c>
      <c r="E241" s="142">
        <v>557458</v>
      </c>
      <c r="F241" s="143" t="s">
        <v>311</v>
      </c>
      <c r="G241" s="144">
        <v>2.3177117404141168</v>
      </c>
      <c r="H241" s="145">
        <v>19.847161835483888</v>
      </c>
      <c r="I241" s="146">
        <v>13.051666207030166</v>
      </c>
      <c r="J241" s="147">
        <v>0.63891823650553414</v>
      </c>
      <c r="K241" s="148">
        <v>12</v>
      </c>
      <c r="M241" s="149">
        <f t="shared" si="24"/>
        <v>0.65760869565217395</v>
      </c>
      <c r="N241" s="138">
        <f t="shared" si="25"/>
        <v>13.051666207030166</v>
      </c>
      <c r="O241" s="149"/>
      <c r="V241" s="158">
        <f t="shared" si="26"/>
        <v>92.494282744183835</v>
      </c>
      <c r="W241" s="158">
        <f t="shared" si="27"/>
        <v>5.7254715533088731</v>
      </c>
      <c r="X241" s="158">
        <f t="shared" si="28"/>
        <v>-13.245747920991198</v>
      </c>
      <c r="Y241" s="158">
        <f t="shared" si="29"/>
        <v>-18.739330623929451</v>
      </c>
      <c r="Z241" s="158">
        <f t="shared" si="30"/>
        <v>-28.115668934868946</v>
      </c>
      <c r="AA241" s="158">
        <f t="shared" si="31"/>
        <v>-34.17711238922876</v>
      </c>
    </row>
    <row r="242" spans="1:27" ht="19.5" thickBot="1" x14ac:dyDescent="0.35">
      <c r="A242" s="142">
        <v>160</v>
      </c>
      <c r="B242" s="143" t="s">
        <v>276</v>
      </c>
      <c r="C242" s="142">
        <v>42</v>
      </c>
      <c r="D242" s="143" t="s">
        <v>300</v>
      </c>
      <c r="E242" s="142">
        <v>557503</v>
      </c>
      <c r="F242" s="143" t="s">
        <v>312</v>
      </c>
      <c r="G242" s="144">
        <v>2.7902735090423261</v>
      </c>
      <c r="H242" s="145">
        <v>10.751634168758088</v>
      </c>
      <c r="I242" s="146">
        <v>7.3648694055992898</v>
      </c>
      <c r="J242" s="147">
        <v>0.79624670209173676</v>
      </c>
      <c r="K242" s="148">
        <v>66</v>
      </c>
      <c r="M242" s="149">
        <f t="shared" si="24"/>
        <v>0.68499999999999994</v>
      </c>
      <c r="N242" s="138">
        <f t="shared" si="25"/>
        <v>7.3648694055992898</v>
      </c>
      <c r="O242" s="149"/>
      <c r="V242" s="158">
        <f t="shared" si="26"/>
        <v>133.22372797699245</v>
      </c>
      <c r="W242" s="158">
        <f t="shared" si="27"/>
        <v>32.940575402945228</v>
      </c>
      <c r="X242" s="158">
        <f t="shared" si="28"/>
        <v>11.014566841276178</v>
      </c>
      <c r="Y242" s="158">
        <f t="shared" si="29"/>
        <v>4.6653523618361232</v>
      </c>
      <c r="Z242" s="158">
        <f t="shared" si="30"/>
        <v>-6.1713613434303038</v>
      </c>
      <c r="AA242" s="158">
        <f t="shared" si="31"/>
        <v>-13.176881534496955</v>
      </c>
    </row>
    <row r="243" spans="1:27" ht="19.5" thickBot="1" x14ac:dyDescent="0.35">
      <c r="A243" s="142">
        <v>160</v>
      </c>
      <c r="B243" s="143" t="s">
        <v>276</v>
      </c>
      <c r="C243" s="142">
        <v>42</v>
      </c>
      <c r="D243" s="143" t="s">
        <v>300</v>
      </c>
      <c r="E243" s="142">
        <v>557523</v>
      </c>
      <c r="F243" s="143" t="s">
        <v>313</v>
      </c>
      <c r="G243" s="144">
        <v>3.5784199740302469</v>
      </c>
      <c r="H243" s="145">
        <v>2.7945294494702244</v>
      </c>
      <c r="I243" s="146">
        <v>2.0120612036185617</v>
      </c>
      <c r="J243" s="147">
        <v>0.94433518325269028</v>
      </c>
      <c r="K243" s="148">
        <v>240</v>
      </c>
      <c r="M243" s="149">
        <f t="shared" si="24"/>
        <v>0.72000000000000008</v>
      </c>
      <c r="N243" s="138">
        <f t="shared" si="25"/>
        <v>2.0120612036185617</v>
      </c>
      <c r="O243" s="149"/>
      <c r="V243" s="158">
        <f t="shared" si="26"/>
        <v>192.78032795087091</v>
      </c>
      <c r="W243" s="158">
        <f t="shared" si="27"/>
        <v>70.4228302496129</v>
      </c>
      <c r="X243" s="158">
        <f t="shared" si="28"/>
        <v>43.670464839069524</v>
      </c>
      <c r="Y243" s="158">
        <f t="shared" si="29"/>
        <v>35.923660155209475</v>
      </c>
      <c r="Z243" s="158">
        <f t="shared" si="30"/>
        <v>22.701567129142411</v>
      </c>
      <c r="AA243" s="158">
        <f t="shared" si="31"/>
        <v>14.153990605342665</v>
      </c>
    </row>
    <row r="244" spans="1:27" ht="19.5" thickBot="1" x14ac:dyDescent="0.35">
      <c r="A244" s="142">
        <v>160</v>
      </c>
      <c r="B244" s="143" t="s">
        <v>276</v>
      </c>
      <c r="C244" s="142">
        <v>42</v>
      </c>
      <c r="D244" s="143" t="s">
        <v>300</v>
      </c>
      <c r="E244" s="142">
        <v>457543</v>
      </c>
      <c r="F244" s="143" t="s">
        <v>314</v>
      </c>
      <c r="G244" s="144">
        <v>3.0802030008650325</v>
      </c>
      <c r="H244" s="145">
        <v>3.2465392693895949</v>
      </c>
      <c r="I244" s="146">
        <v>1.8002060248765304</v>
      </c>
      <c r="J244" s="147">
        <v>0.95019627717987065</v>
      </c>
      <c r="K244" s="148">
        <v>245</v>
      </c>
      <c r="M244" s="149">
        <f t="shared" si="24"/>
        <v>0.55449999999999999</v>
      </c>
      <c r="N244" s="138">
        <f t="shared" si="25"/>
        <v>1.8002060248765304</v>
      </c>
      <c r="O244" s="149"/>
      <c r="V244" s="158">
        <f t="shared" si="26"/>
        <v>216.80477595921658</v>
      </c>
      <c r="W244" s="158">
        <f t="shared" si="27"/>
        <v>80.047776652187849</v>
      </c>
      <c r="X244" s="158">
        <f t="shared" si="28"/>
        <v>50.147089839814065</v>
      </c>
      <c r="Y244" s="158">
        <f t="shared" si="29"/>
        <v>41.488611342901791</v>
      </c>
      <c r="Z244" s="158">
        <f t="shared" si="30"/>
        <v>26.710491482865372</v>
      </c>
      <c r="AA244" s="158">
        <f t="shared" si="31"/>
        <v>17.157003231609323</v>
      </c>
    </row>
    <row r="245" spans="1:27" ht="19.5" thickBot="1" x14ac:dyDescent="0.35">
      <c r="A245" s="142">
        <v>160</v>
      </c>
      <c r="B245" s="143" t="s">
        <v>276</v>
      </c>
      <c r="C245" s="142">
        <v>42</v>
      </c>
      <c r="D245" s="143" t="s">
        <v>300</v>
      </c>
      <c r="E245" s="142">
        <v>457583</v>
      </c>
      <c r="F245" s="143" t="s">
        <v>315</v>
      </c>
      <c r="G245" s="144">
        <v>6.0121721622273636</v>
      </c>
      <c r="H245" s="145">
        <v>6.6531694237413479</v>
      </c>
      <c r="I245" s="146">
        <v>4.3403614028132615</v>
      </c>
      <c r="J245" s="147">
        <v>0.87992143495924269</v>
      </c>
      <c r="K245" s="148">
        <v>165</v>
      </c>
      <c r="M245" s="149">
        <f t="shared" si="24"/>
        <v>0.65237499999999993</v>
      </c>
      <c r="N245" s="138">
        <f t="shared" si="25"/>
        <v>4.3403614028132615</v>
      </c>
      <c r="O245" s="149"/>
      <c r="V245" s="158">
        <f t="shared" si="26"/>
        <v>333.08549988258176</v>
      </c>
      <c r="W245" s="158">
        <f t="shared" si="27"/>
        <v>106.20045391661506</v>
      </c>
      <c r="X245" s="158">
        <f t="shared" si="28"/>
        <v>56.594081034677089</v>
      </c>
      <c r="Y245" s="158">
        <f t="shared" si="29"/>
        <v>42.229336987047859</v>
      </c>
      <c r="Z245" s="158">
        <f t="shared" si="30"/>
        <v>17.711875937706154</v>
      </c>
      <c r="AA245" s="158">
        <f t="shared" si="31"/>
        <v>1.8622767800405979</v>
      </c>
    </row>
    <row r="246" spans="1:27" ht="19.5" thickBot="1" x14ac:dyDescent="0.35">
      <c r="A246" s="142">
        <v>160</v>
      </c>
      <c r="B246" s="143" t="s">
        <v>276</v>
      </c>
      <c r="C246" s="142">
        <v>42</v>
      </c>
      <c r="D246" s="143" t="s">
        <v>300</v>
      </c>
      <c r="E246" s="142">
        <v>457614</v>
      </c>
      <c r="F246" s="143" t="s">
        <v>316</v>
      </c>
      <c r="G246" s="144">
        <v>8.556177349674952</v>
      </c>
      <c r="H246" s="145">
        <v>3.2724894372442757</v>
      </c>
      <c r="I246" s="146">
        <v>2.5648135964402008</v>
      </c>
      <c r="J246" s="147">
        <v>0.92904297415004589</v>
      </c>
      <c r="K246" s="148">
        <v>228</v>
      </c>
      <c r="M246" s="149">
        <f t="shared" si="24"/>
        <v>0.78374999999999995</v>
      </c>
      <c r="N246" s="138">
        <f t="shared" si="25"/>
        <v>2.5648135964402008</v>
      </c>
      <c r="O246" s="149"/>
      <c r="V246" s="158">
        <f t="shared" si="26"/>
        <v>416.59663598244941</v>
      </c>
      <c r="W246" s="158">
        <f t="shared" si="27"/>
        <v>147.83084012613901</v>
      </c>
      <c r="X246" s="158">
        <f t="shared" si="28"/>
        <v>89.067618291065543</v>
      </c>
      <c r="Y246" s="158">
        <f t="shared" si="29"/>
        <v>72.051283654306857</v>
      </c>
      <c r="Z246" s="158">
        <f t="shared" si="30"/>
        <v>43.008140227873859</v>
      </c>
      <c r="AA246" s="158">
        <f t="shared" si="31"/>
        <v>24.232860819408693</v>
      </c>
    </row>
    <row r="247" spans="1:27" ht="19.5" thickBot="1" x14ac:dyDescent="0.35">
      <c r="A247" s="142">
        <v>160</v>
      </c>
      <c r="B247" s="143" t="s">
        <v>276</v>
      </c>
      <c r="C247" s="142">
        <v>42</v>
      </c>
      <c r="D247" s="143" t="s">
        <v>300</v>
      </c>
      <c r="E247" s="142">
        <v>457617</v>
      </c>
      <c r="F247" s="143" t="s">
        <v>545</v>
      </c>
      <c r="G247" s="144">
        <v>7.6637250357256459</v>
      </c>
      <c r="H247" s="145">
        <v>5.4803636357268131</v>
      </c>
      <c r="I247" s="146">
        <v>3.7794936359244558</v>
      </c>
      <c r="J247" s="147">
        <v>0.89543816049780489</v>
      </c>
      <c r="K247" s="148">
        <v>193</v>
      </c>
      <c r="M247" s="149">
        <f t="shared" si="24"/>
        <v>0.68964285714285711</v>
      </c>
      <c r="N247" s="138">
        <f t="shared" si="25"/>
        <v>3.7794936359244558</v>
      </c>
      <c r="O247" s="149"/>
      <c r="V247" s="158">
        <f t="shared" si="26"/>
        <v>408.72292893803683</v>
      </c>
      <c r="W247" s="158">
        <f t="shared" si="27"/>
        <v>135.14097568979693</v>
      </c>
      <c r="X247" s="158">
        <f t="shared" si="28"/>
        <v>75.324744396012846</v>
      </c>
      <c r="Y247" s="158">
        <f t="shared" si="29"/>
        <v>58.003484999080484</v>
      </c>
      <c r="Z247" s="158">
        <f t="shared" si="30"/>
        <v>28.439902022471749</v>
      </c>
      <c r="AA247" s="158">
        <f t="shared" si="31"/>
        <v>9.3281783859733167</v>
      </c>
    </row>
    <row r="248" spans="1:27" ht="19.5" thickBot="1" x14ac:dyDescent="0.35">
      <c r="A248" s="142">
        <v>160</v>
      </c>
      <c r="B248" s="143" t="s">
        <v>276</v>
      </c>
      <c r="C248" s="142">
        <v>42</v>
      </c>
      <c r="D248" s="143" t="s">
        <v>300</v>
      </c>
      <c r="E248" s="142">
        <v>557668</v>
      </c>
      <c r="F248" s="143" t="s">
        <v>318</v>
      </c>
      <c r="G248" s="144">
        <v>4.1744710626853223</v>
      </c>
      <c r="H248" s="145">
        <v>2.8746156865873038</v>
      </c>
      <c r="I248" s="146">
        <v>1.9523431538072107</v>
      </c>
      <c r="J248" s="147">
        <v>0.94598731704130334</v>
      </c>
      <c r="K248" s="148">
        <v>241</v>
      </c>
      <c r="M248" s="149">
        <f t="shared" si="24"/>
        <v>0.6791666666666667</v>
      </c>
      <c r="N248" s="138">
        <f t="shared" si="25"/>
        <v>1.9523431538072107</v>
      </c>
      <c r="O248" s="149"/>
      <c r="V248" s="158">
        <f t="shared" si="26"/>
        <v>238.82959230941546</v>
      </c>
      <c r="W248" s="158">
        <f t="shared" si="27"/>
        <v>87.509406439554155</v>
      </c>
      <c r="X248" s="158">
        <f t="shared" si="28"/>
        <v>54.424609982979916</v>
      </c>
      <c r="Y248" s="158">
        <f t="shared" si="29"/>
        <v>44.844094308155341</v>
      </c>
      <c r="Z248" s="158">
        <f t="shared" si="30"/>
        <v>28.492259627962358</v>
      </c>
      <c r="AA248" s="158">
        <f t="shared" si="31"/>
        <v>17.921425043912649</v>
      </c>
    </row>
    <row r="249" spans="1:27" ht="19.5" thickBot="1" x14ac:dyDescent="0.35">
      <c r="A249" s="142">
        <v>160</v>
      </c>
      <c r="B249" s="143" t="s">
        <v>276</v>
      </c>
      <c r="C249" s="142">
        <v>44</v>
      </c>
      <c r="D249" s="143" t="s">
        <v>319</v>
      </c>
      <c r="E249" s="142">
        <v>557113</v>
      </c>
      <c r="F249" s="143" t="s">
        <v>320</v>
      </c>
      <c r="G249" s="144">
        <v>2.5533062174516035</v>
      </c>
      <c r="H249" s="145">
        <v>8.2246304248456426</v>
      </c>
      <c r="I249" s="146">
        <v>5.5163771206643268</v>
      </c>
      <c r="J249" s="147">
        <v>0.84738629173973978</v>
      </c>
      <c r="K249" s="148">
        <v>113</v>
      </c>
      <c r="M249" s="149">
        <f t="shared" si="24"/>
        <v>0.6707142857142856</v>
      </c>
      <c r="N249" s="138">
        <f t="shared" si="25"/>
        <v>5.5163771206643268</v>
      </c>
      <c r="O249" s="149"/>
      <c r="V249" s="158">
        <f t="shared" si="26"/>
        <v>132.50263397782237</v>
      </c>
      <c r="W249" s="158">
        <f t="shared" si="27"/>
        <v>38.781589478150671</v>
      </c>
      <c r="X249" s="158">
        <f t="shared" si="28"/>
        <v>18.290326774866116</v>
      </c>
      <c r="Y249" s="158">
        <f t="shared" si="29"/>
        <v>12.356578209012211</v>
      </c>
      <c r="Z249" s="158">
        <f t="shared" si="30"/>
        <v>2.2289735083965594</v>
      </c>
      <c r="AA249" s="158">
        <f t="shared" si="31"/>
        <v>-4.3181348813752027</v>
      </c>
    </row>
    <row r="250" spans="1:27" ht="19.5" thickBot="1" x14ac:dyDescent="0.35">
      <c r="A250" s="142">
        <v>160</v>
      </c>
      <c r="B250" s="143" t="s">
        <v>276</v>
      </c>
      <c r="C250" s="142">
        <v>44</v>
      </c>
      <c r="D250" s="143" t="s">
        <v>319</v>
      </c>
      <c r="E250" s="142">
        <v>457180</v>
      </c>
      <c r="F250" s="143" t="s">
        <v>321</v>
      </c>
      <c r="G250" s="144">
        <v>2.251466510688148</v>
      </c>
      <c r="H250" s="145">
        <v>7.1064792321115586</v>
      </c>
      <c r="I250" s="146">
        <v>4.3127445839877021</v>
      </c>
      <c r="J250" s="147">
        <v>0.88068546994799146</v>
      </c>
      <c r="K250" s="148">
        <v>167</v>
      </c>
      <c r="M250" s="149">
        <f t="shared" si="24"/>
        <v>0.60687499999999994</v>
      </c>
      <c r="N250" s="138">
        <f t="shared" si="25"/>
        <v>4.3127445839877021</v>
      </c>
      <c r="O250" s="149"/>
      <c r="V250" s="158">
        <f t="shared" si="26"/>
        <v>134.20379800334231</v>
      </c>
      <c r="W250" s="158">
        <f t="shared" si="27"/>
        <v>42.86863291683018</v>
      </c>
      <c r="X250" s="158">
        <f t="shared" si="28"/>
        <v>22.899021269553465</v>
      </c>
      <c r="Y250" s="158">
        <f t="shared" si="29"/>
        <v>17.116329583418668</v>
      </c>
      <c r="Z250" s="158">
        <f t="shared" si="30"/>
        <v>7.2465457776597928</v>
      </c>
      <c r="AA250" s="158">
        <f t="shared" si="31"/>
        <v>0.86610871775072318</v>
      </c>
    </row>
    <row r="251" spans="1:27" ht="19.5" thickBot="1" x14ac:dyDescent="0.35">
      <c r="A251" s="142">
        <v>160</v>
      </c>
      <c r="B251" s="143" t="s">
        <v>276</v>
      </c>
      <c r="C251" s="142">
        <v>44</v>
      </c>
      <c r="D251" s="143" t="s">
        <v>319</v>
      </c>
      <c r="E251" s="142">
        <v>557182</v>
      </c>
      <c r="F251" s="143" t="s">
        <v>322</v>
      </c>
      <c r="G251" s="144">
        <v>2.8395425426615799</v>
      </c>
      <c r="H251" s="145">
        <v>0.35216940228078886</v>
      </c>
      <c r="I251" s="146">
        <v>0.53529749146679906</v>
      </c>
      <c r="J251" s="147">
        <v>0.98519069066378029</v>
      </c>
      <c r="K251" s="148">
        <v>274</v>
      </c>
      <c r="M251" s="149">
        <f t="shared" si="24"/>
        <v>1.52</v>
      </c>
      <c r="N251" s="138">
        <f t="shared" si="25"/>
        <v>0.53529749146679906</v>
      </c>
      <c r="O251" s="149"/>
      <c r="V251" s="158">
        <f t="shared" si="26"/>
        <v>75.596697343352986</v>
      </c>
      <c r="W251" s="158">
        <f t="shared" si="27"/>
        <v>29.605304142172951</v>
      </c>
      <c r="X251" s="158">
        <f t="shared" si="28"/>
        <v>19.549700033122118</v>
      </c>
      <c r="Y251" s="158">
        <f t="shared" si="29"/>
        <v>16.637852807069475</v>
      </c>
      <c r="Z251" s="158">
        <f t="shared" si="30"/>
        <v>11.667969549166125</v>
      </c>
      <c r="AA251" s="158">
        <f t="shared" si="31"/>
        <v>8.4551304489169539</v>
      </c>
    </row>
    <row r="252" spans="1:27" ht="19.5" thickBot="1" x14ac:dyDescent="0.35">
      <c r="A252" s="142">
        <v>160</v>
      </c>
      <c r="B252" s="143" t="s">
        <v>276</v>
      </c>
      <c r="C252" s="142">
        <v>44</v>
      </c>
      <c r="D252" s="143" t="s">
        <v>319</v>
      </c>
      <c r="E252" s="142">
        <v>457192</v>
      </c>
      <c r="F252" s="143" t="s">
        <v>323</v>
      </c>
      <c r="G252" s="144">
        <v>2.5984562648251952</v>
      </c>
      <c r="H252" s="145">
        <v>2.6939071843377391</v>
      </c>
      <c r="I252" s="146">
        <v>1.7183279397240006</v>
      </c>
      <c r="J252" s="147">
        <v>0.95246148094078975</v>
      </c>
      <c r="K252" s="148">
        <v>249</v>
      </c>
      <c r="M252" s="149">
        <f t="shared" si="24"/>
        <v>0.63785714285714279</v>
      </c>
      <c r="N252" s="138">
        <f t="shared" si="25"/>
        <v>1.7183279397240006</v>
      </c>
      <c r="O252" s="149"/>
      <c r="V252" s="158">
        <f t="shared" si="26"/>
        <v>159.37387814733182</v>
      </c>
      <c r="W252" s="158">
        <f t="shared" si="27"/>
        <v>59.082462356662411</v>
      </c>
      <c r="X252" s="158">
        <f t="shared" si="28"/>
        <v>37.154647117064364</v>
      </c>
      <c r="Y252" s="158">
        <f t="shared" si="29"/>
        <v>30.804909469641679</v>
      </c>
      <c r="Z252" s="158">
        <f t="shared" si="30"/>
        <v>19.967302831609167</v>
      </c>
      <c r="AA252" s="158">
        <f t="shared" si="31"/>
        <v>12.961205393722848</v>
      </c>
    </row>
    <row r="253" spans="1:27" ht="19.5" thickBot="1" x14ac:dyDescent="0.35">
      <c r="A253" s="142">
        <v>160</v>
      </c>
      <c r="B253" s="143" t="s">
        <v>276</v>
      </c>
      <c r="C253" s="142">
        <v>44</v>
      </c>
      <c r="D253" s="143" t="s">
        <v>319</v>
      </c>
      <c r="E253" s="142">
        <v>557303</v>
      </c>
      <c r="F253" s="143" t="s">
        <v>324</v>
      </c>
      <c r="G253" s="144">
        <v>3.4220960403097598</v>
      </c>
      <c r="H253" s="145">
        <v>0.58443713339470305</v>
      </c>
      <c r="I253" s="146">
        <v>0.45732205688135508</v>
      </c>
      <c r="J253" s="147">
        <v>0.98734792537870075</v>
      </c>
      <c r="K253" s="148">
        <v>275</v>
      </c>
      <c r="M253" s="149">
        <f t="shared" si="24"/>
        <v>0.78249999999999986</v>
      </c>
      <c r="N253" s="138">
        <f t="shared" si="25"/>
        <v>0.45732205688135508</v>
      </c>
      <c r="O253" s="149"/>
      <c r="V253" s="158">
        <f t="shared" si="26"/>
        <v>177.36004764793432</v>
      </c>
      <c r="W253" s="158">
        <f t="shared" si="27"/>
        <v>69.693789092459085</v>
      </c>
      <c r="X253" s="158">
        <f t="shared" si="28"/>
        <v>46.15353087064927</v>
      </c>
      <c r="Y253" s="158">
        <f t="shared" si="29"/>
        <v>39.336870741593131</v>
      </c>
      <c r="Z253" s="158">
        <f t="shared" si="30"/>
        <v>27.702330046221874</v>
      </c>
      <c r="AA253" s="158">
        <f t="shared" si="31"/>
        <v>20.181045275581521</v>
      </c>
    </row>
    <row r="254" spans="1:27" ht="19.5" thickBot="1" x14ac:dyDescent="0.35">
      <c r="A254" s="142">
        <v>160</v>
      </c>
      <c r="B254" s="143" t="s">
        <v>276</v>
      </c>
      <c r="C254" s="142">
        <v>44</v>
      </c>
      <c r="D254" s="143" t="s">
        <v>319</v>
      </c>
      <c r="E254" s="142">
        <v>457306</v>
      </c>
      <c r="F254" s="143" t="s">
        <v>325</v>
      </c>
      <c r="G254" s="144">
        <v>2.6425147732690633</v>
      </c>
      <c r="H254" s="145">
        <v>4.9195562240576081</v>
      </c>
      <c r="I254" s="146">
        <v>2.671697457065132</v>
      </c>
      <c r="J254" s="147">
        <v>0.9260859713987224</v>
      </c>
      <c r="K254" s="148">
        <v>225</v>
      </c>
      <c r="M254" s="149">
        <f t="shared" si="24"/>
        <v>0.54307692307692312</v>
      </c>
      <c r="N254" s="138">
        <f t="shared" si="25"/>
        <v>2.671697457065132</v>
      </c>
      <c r="O254" s="149"/>
      <c r="V254" s="158">
        <f t="shared" si="26"/>
        <v>185.09091907805356</v>
      </c>
      <c r="W254" s="158">
        <f t="shared" si="27"/>
        <v>65.298909889600367</v>
      </c>
      <c r="X254" s="158">
        <f t="shared" si="28"/>
        <v>39.107465447861685</v>
      </c>
      <c r="Y254" s="158">
        <f t="shared" si="29"/>
        <v>31.523089211794105</v>
      </c>
      <c r="Z254" s="158">
        <f t="shared" si="30"/>
        <v>18.578225848076251</v>
      </c>
      <c r="AA254" s="158">
        <f t="shared" si="31"/>
        <v>10.20986767865695</v>
      </c>
    </row>
    <row r="255" spans="1:27" ht="19.5" thickBot="1" x14ac:dyDescent="0.35">
      <c r="A255" s="142">
        <v>160</v>
      </c>
      <c r="B255" s="143" t="s">
        <v>276</v>
      </c>
      <c r="C255" s="142">
        <v>44</v>
      </c>
      <c r="D255" s="143" t="s">
        <v>319</v>
      </c>
      <c r="E255" s="142">
        <v>557307</v>
      </c>
      <c r="F255" s="143" t="s">
        <v>326</v>
      </c>
      <c r="G255" s="144">
        <v>3.049660826332139</v>
      </c>
      <c r="H255" s="145">
        <v>13.772023313987303</v>
      </c>
      <c r="I255" s="146">
        <v>8.9518151540917472</v>
      </c>
      <c r="J255" s="147">
        <v>0.75234294602363783</v>
      </c>
      <c r="K255" s="148">
        <v>37</v>
      </c>
      <c r="M255" s="149">
        <f t="shared" si="24"/>
        <v>0.65</v>
      </c>
      <c r="N255" s="138">
        <f t="shared" si="25"/>
        <v>8.9518151540917472</v>
      </c>
      <c r="O255" s="149"/>
      <c r="V255" s="158">
        <f t="shared" si="26"/>
        <v>144.9879032023743</v>
      </c>
      <c r="W255" s="158">
        <f t="shared" si="27"/>
        <v>29.480463269046709</v>
      </c>
      <c r="X255" s="158">
        <f t="shared" si="28"/>
        <v>4.22580132526131</v>
      </c>
      <c r="Y255" s="158">
        <f t="shared" si="29"/>
        <v>-3.0873065227016943</v>
      </c>
      <c r="Z255" s="158">
        <f t="shared" si="30"/>
        <v>-15.569174366470193</v>
      </c>
      <c r="AA255" s="158">
        <f t="shared" si="31"/>
        <v>-23.638223672372838</v>
      </c>
    </row>
    <row r="256" spans="1:27" ht="19.5" thickBot="1" x14ac:dyDescent="0.35">
      <c r="A256" s="142">
        <v>160</v>
      </c>
      <c r="B256" s="143" t="s">
        <v>276</v>
      </c>
      <c r="C256" s="142">
        <v>44</v>
      </c>
      <c r="D256" s="143" t="s">
        <v>319</v>
      </c>
      <c r="E256" s="142">
        <v>557347</v>
      </c>
      <c r="F256" s="143" t="s">
        <v>327</v>
      </c>
      <c r="G256" s="144">
        <v>2.8493458840345491</v>
      </c>
      <c r="H256" s="145">
        <v>5.9662816280937934</v>
      </c>
      <c r="I256" s="146">
        <v>3.6955850319898613</v>
      </c>
      <c r="J256" s="147">
        <v>0.8977595397148691</v>
      </c>
      <c r="K256" s="148">
        <v>195</v>
      </c>
      <c r="M256" s="149">
        <f t="shared" si="24"/>
        <v>0.61941176470588233</v>
      </c>
      <c r="N256" s="138">
        <f t="shared" si="25"/>
        <v>3.6955850319898613</v>
      </c>
      <c r="O256" s="149"/>
      <c r="V256" s="158">
        <f t="shared" si="26"/>
        <v>169.63032021620634</v>
      </c>
      <c r="W256" s="158">
        <f t="shared" si="27"/>
        <v>56.380506630187682</v>
      </c>
      <c r="X256" s="158">
        <f t="shared" si="28"/>
        <v>31.619454364095603</v>
      </c>
      <c r="Y256" s="158">
        <f t="shared" si="29"/>
        <v>24.449283325811724</v>
      </c>
      <c r="Z256" s="158">
        <f t="shared" si="30"/>
        <v>12.21137720194616</v>
      </c>
      <c r="AA256" s="158">
        <f t="shared" si="31"/>
        <v>4.3000398003265268</v>
      </c>
    </row>
    <row r="257" spans="1:27" ht="19.5" thickBot="1" x14ac:dyDescent="0.35">
      <c r="A257" s="142">
        <v>160</v>
      </c>
      <c r="B257" s="143" t="s">
        <v>276</v>
      </c>
      <c r="C257" s="142">
        <v>44</v>
      </c>
      <c r="D257" s="143" t="s">
        <v>319</v>
      </c>
      <c r="E257" s="142">
        <v>457348</v>
      </c>
      <c r="F257" s="143" t="s">
        <v>328</v>
      </c>
      <c r="G257" s="144">
        <v>7.8533208781537667</v>
      </c>
      <c r="H257" s="145">
        <v>6.6214026915228574</v>
      </c>
      <c r="I257" s="146">
        <v>5.0360860855717116</v>
      </c>
      <c r="J257" s="147">
        <v>0.8606738161976063</v>
      </c>
      <c r="K257" s="148">
        <v>132</v>
      </c>
      <c r="M257" s="149">
        <f t="shared" si="24"/>
        <v>0.76057692307692304</v>
      </c>
      <c r="N257" s="138">
        <f t="shared" si="25"/>
        <v>5.0360860855717116</v>
      </c>
      <c r="O257" s="149"/>
      <c r="V257" s="158">
        <f t="shared" si="26"/>
        <v>365.02828715950807</v>
      </c>
      <c r="W257" s="158">
        <f t="shared" si="27"/>
        <v>110.82452583585271</v>
      </c>
      <c r="X257" s="158">
        <f t="shared" si="28"/>
        <v>55.245161763951963</v>
      </c>
      <c r="Y257" s="158">
        <f t="shared" si="29"/>
        <v>39.150791366765532</v>
      </c>
      <c r="Z257" s="158">
        <f t="shared" si="30"/>
        <v>11.681238270772788</v>
      </c>
      <c r="AA257" s="158">
        <f t="shared" si="31"/>
        <v>-6.076775282730364</v>
      </c>
    </row>
    <row r="258" spans="1:27" ht="19.5" thickBot="1" x14ac:dyDescent="0.35">
      <c r="A258" s="142">
        <v>160</v>
      </c>
      <c r="B258" s="143" t="s">
        <v>276</v>
      </c>
      <c r="C258" s="142">
        <v>44</v>
      </c>
      <c r="D258" s="143" t="s">
        <v>319</v>
      </c>
      <c r="E258" s="142">
        <v>457350</v>
      </c>
      <c r="F258" s="143" t="s">
        <v>329</v>
      </c>
      <c r="G258" s="144">
        <v>8.9100383937324263</v>
      </c>
      <c r="H258" s="145">
        <v>11.223296194811331</v>
      </c>
      <c r="I258" s="146">
        <v>6.7092864652582138</v>
      </c>
      <c r="J258" s="147">
        <v>0.81438377673495255</v>
      </c>
      <c r="K258" s="148">
        <v>83</v>
      </c>
      <c r="M258" s="149">
        <f t="shared" si="24"/>
        <v>0.5978</v>
      </c>
      <c r="N258" s="138">
        <f t="shared" si="25"/>
        <v>6.7092864652582138</v>
      </c>
      <c r="O258" s="149"/>
      <c r="V258" s="158">
        <f t="shared" si="26"/>
        <v>498.57501335140398</v>
      </c>
      <c r="W258" s="158">
        <f t="shared" si="27"/>
        <v>131.6346906041716</v>
      </c>
      <c r="X258" s="158">
        <f t="shared" si="28"/>
        <v>51.406492231202151</v>
      </c>
      <c r="Y258" s="158">
        <f t="shared" si="29"/>
        <v>28.174446264589101</v>
      </c>
      <c r="Z258" s="158">
        <f t="shared" si="30"/>
        <v>-11.477550331685618</v>
      </c>
      <c r="AA258" s="158">
        <f t="shared" si="31"/>
        <v>-37.11104682576682</v>
      </c>
    </row>
    <row r="259" spans="1:27" ht="19.5" thickBot="1" x14ac:dyDescent="0.35">
      <c r="A259" s="142">
        <v>160</v>
      </c>
      <c r="B259" s="143" t="s">
        <v>276</v>
      </c>
      <c r="C259" s="142">
        <v>44</v>
      </c>
      <c r="D259" s="143" t="s">
        <v>319</v>
      </c>
      <c r="E259" s="142">
        <v>557352</v>
      </c>
      <c r="F259" s="143" t="s">
        <v>330</v>
      </c>
      <c r="G259" s="144">
        <v>3.7235578407680481</v>
      </c>
      <c r="H259" s="145">
        <v>11.816655435900048</v>
      </c>
      <c r="I259" s="146">
        <v>7.6606840070238373</v>
      </c>
      <c r="J259" s="147">
        <v>0.78806282301794806</v>
      </c>
      <c r="K259" s="148">
        <v>61</v>
      </c>
      <c r="M259" s="149">
        <f t="shared" si="24"/>
        <v>0.64829545454545456</v>
      </c>
      <c r="N259" s="138">
        <f t="shared" si="25"/>
        <v>7.6606840070238373</v>
      </c>
      <c r="O259" s="149"/>
      <c r="V259" s="158">
        <f t="shared" si="26"/>
        <v>185.91896764876836</v>
      </c>
      <c r="W259" s="158">
        <f t="shared" si="27"/>
        <v>44.516528254110355</v>
      </c>
      <c r="X259" s="158">
        <f t="shared" si="28"/>
        <v>13.600157784814542</v>
      </c>
      <c r="Y259" s="158">
        <f t="shared" si="29"/>
        <v>4.6475631306946195</v>
      </c>
      <c r="Z259" s="158">
        <f t="shared" si="30"/>
        <v>-10.632548369736583</v>
      </c>
      <c r="AA259" s="158">
        <f t="shared" si="31"/>
        <v>-20.510554982202375</v>
      </c>
    </row>
    <row r="260" spans="1:27" ht="19.5" thickBot="1" x14ac:dyDescent="0.35">
      <c r="A260" s="142">
        <v>160</v>
      </c>
      <c r="B260" s="143" t="s">
        <v>276</v>
      </c>
      <c r="C260" s="142">
        <v>44</v>
      </c>
      <c r="D260" s="143" t="s">
        <v>319</v>
      </c>
      <c r="E260" s="142">
        <v>457449</v>
      </c>
      <c r="F260" s="143" t="s">
        <v>331</v>
      </c>
      <c r="G260" s="144">
        <v>2.4875433198240544</v>
      </c>
      <c r="H260" s="145">
        <v>9.6480731847908228</v>
      </c>
      <c r="I260" s="146">
        <v>7.0772636840934346</v>
      </c>
      <c r="J260" s="147">
        <v>0.80420347783708135</v>
      </c>
      <c r="K260" s="148">
        <v>77</v>
      </c>
      <c r="M260" s="149">
        <f t="shared" si="24"/>
        <v>0.73354166666666665</v>
      </c>
      <c r="N260" s="138">
        <f t="shared" si="25"/>
        <v>7.0772636840934346</v>
      </c>
      <c r="O260" s="149"/>
      <c r="V260" s="158">
        <f t="shared" si="26"/>
        <v>112.01844588730542</v>
      </c>
      <c r="W260" s="158">
        <f t="shared" si="27"/>
        <v>28.531679785922968</v>
      </c>
      <c r="X260" s="158">
        <f t="shared" si="28"/>
        <v>10.278049925480136</v>
      </c>
      <c r="Y260" s="158">
        <f t="shared" si="29"/>
        <v>4.9922629257034323</v>
      </c>
      <c r="Z260" s="158">
        <f t="shared" si="30"/>
        <v>-4.0294137886498946</v>
      </c>
      <c r="AA260" s="158">
        <f t="shared" si="31"/>
        <v>-9.8615821100260881</v>
      </c>
    </row>
    <row r="261" spans="1:27" ht="19.5" thickBot="1" x14ac:dyDescent="0.35">
      <c r="A261" s="142">
        <v>160</v>
      </c>
      <c r="B261" s="143" t="s">
        <v>276</v>
      </c>
      <c r="C261" s="142">
        <v>44</v>
      </c>
      <c r="D261" s="143" t="s">
        <v>319</v>
      </c>
      <c r="E261" s="142">
        <v>557508</v>
      </c>
      <c r="F261" s="143" t="s">
        <v>332</v>
      </c>
      <c r="G261" s="144">
        <v>2.6455275505029943</v>
      </c>
      <c r="H261" s="145">
        <v>25.703758022505248</v>
      </c>
      <c r="I261" s="146">
        <v>16.314326415460684</v>
      </c>
      <c r="J261" s="147">
        <v>0.54865488751575175</v>
      </c>
      <c r="K261" s="148">
        <v>6</v>
      </c>
      <c r="M261" s="149">
        <f t="shared" si="24"/>
        <v>0.63470588235294123</v>
      </c>
      <c r="N261" s="138">
        <f t="shared" si="25"/>
        <v>16.314326415460684</v>
      </c>
      <c r="O261" s="149"/>
      <c r="V261" s="158">
        <f t="shared" si="26"/>
        <v>93.932687686594022</v>
      </c>
      <c r="W261" s="158">
        <f t="shared" si="27"/>
        <v>-8.682475282686152</v>
      </c>
      <c r="X261" s="158">
        <f t="shared" si="28"/>
        <v>-31.118356924522129</v>
      </c>
      <c r="Y261" s="158">
        <f t="shared" si="29"/>
        <v>-37.615217681403301</v>
      </c>
      <c r="Z261" s="158">
        <f t="shared" si="30"/>
        <v>-48.703931133009824</v>
      </c>
      <c r="AA261" s="158">
        <f t="shared" si="31"/>
        <v>-55.872359504466182</v>
      </c>
    </row>
    <row r="262" spans="1:27" ht="19.5" thickBot="1" x14ac:dyDescent="0.35">
      <c r="A262" s="142">
        <v>160</v>
      </c>
      <c r="B262" s="143" t="s">
        <v>276</v>
      </c>
      <c r="C262" s="142">
        <v>44</v>
      </c>
      <c r="D262" s="143" t="s">
        <v>319</v>
      </c>
      <c r="E262" s="142">
        <v>557622</v>
      </c>
      <c r="F262" s="143" t="s">
        <v>333</v>
      </c>
      <c r="G262" s="144">
        <v>2.5458872462458033</v>
      </c>
      <c r="H262" s="145">
        <v>5.8918555887025965</v>
      </c>
      <c r="I262" s="146">
        <v>4.1714337568014379</v>
      </c>
      <c r="J262" s="147">
        <v>0.88459491429570192</v>
      </c>
      <c r="K262" s="148">
        <v>175</v>
      </c>
      <c r="M262" s="149">
        <f t="shared" ref="M262:M297" si="32">IF(ISERROR(I262/H262),$O$3,(I262/H262))</f>
        <v>0.70799999999999996</v>
      </c>
      <c r="N262" s="138">
        <f t="shared" ref="N262:N297" si="33">I262</f>
        <v>4.1714337568014379</v>
      </c>
      <c r="O262" s="149"/>
      <c r="V262" s="158">
        <f t="shared" ref="V262:V297" si="34">(((($O$5-N262))/M262)*G262)+((((($O$5-N262)/$T$2))*$T$3/M262)*G262)</f>
        <v>130.65561461825655</v>
      </c>
      <c r="W262" s="158">
        <f t="shared" ref="W262:W297" si="35">(((($P$5-N262))/M262)*G262)+((((($P$5-N262)/$T$2))*$T$3/M262)*G262)</f>
        <v>42.128220279868842</v>
      </c>
      <c r="X262" s="158">
        <f t="shared" ref="X262:X297" si="36">(((($Q$5-N262))/M262)*G262)+((((($Q$5-N262)/$T$2))*$T$3/M262)*G262)</f>
        <v>22.772502431125467</v>
      </c>
      <c r="Y262" s="158">
        <f t="shared" ref="Y262:Y297" si="37">(((($R$5-N262))/M262)*G262)+((((($R$5-N262)/$T$2))*$T$3/M262)*G262)</f>
        <v>17.167578777121253</v>
      </c>
      <c r="Z262" s="158">
        <f t="shared" ref="Z262:Z297" si="38">(((($S$5-N262))/M262)*G262)+((((($S$5-N262)/$T$2))*$T$3/M262)*G262)</f>
        <v>7.6012059328893367</v>
      </c>
      <c r="AA262" s="158">
        <f t="shared" ref="AA262:AA297" si="39">(((($T$5-N262))/M262)*G262)+((((($T$5-N262)/$T$2))*$T$3/M262)*G262)</f>
        <v>1.4169124341168007</v>
      </c>
    </row>
    <row r="263" spans="1:27" ht="19.5" thickBot="1" x14ac:dyDescent="0.35">
      <c r="A263" s="142">
        <v>160</v>
      </c>
      <c r="B263" s="143" t="s">
        <v>276</v>
      </c>
      <c r="C263" s="142">
        <v>44</v>
      </c>
      <c r="D263" s="143" t="s">
        <v>319</v>
      </c>
      <c r="E263" s="142">
        <v>557628</v>
      </c>
      <c r="F263" s="143" t="s">
        <v>334</v>
      </c>
      <c r="G263" s="144">
        <v>2.3152426595163873</v>
      </c>
      <c r="H263" s="145">
        <v>9.0703235419765988</v>
      </c>
      <c r="I263" s="146">
        <v>6.2714808490238196</v>
      </c>
      <c r="J263" s="147">
        <v>0.82649591793364063</v>
      </c>
      <c r="K263" s="148">
        <v>92</v>
      </c>
      <c r="M263" s="149">
        <f t="shared" si="32"/>
        <v>0.69142857142857139</v>
      </c>
      <c r="N263" s="138">
        <f t="shared" si="33"/>
        <v>6.2714808490238196</v>
      </c>
      <c r="O263" s="149"/>
      <c r="V263" s="158">
        <f t="shared" si="34"/>
        <v>113.67570034493366</v>
      </c>
      <c r="W263" s="158">
        <f t="shared" si="35"/>
        <v>31.238930138862589</v>
      </c>
      <c r="X263" s="158">
        <f t="shared" si="36"/>
        <v>13.214872428869601</v>
      </c>
      <c r="Y263" s="158">
        <f t="shared" si="37"/>
        <v>7.995563685617002</v>
      </c>
      <c r="Z263" s="158">
        <f t="shared" si="38"/>
        <v>-0.91264925523964957</v>
      </c>
      <c r="AA263" s="158">
        <f t="shared" si="39"/>
        <v>-6.6714675945267814</v>
      </c>
    </row>
    <row r="264" spans="1:27" ht="19.5" thickBot="1" x14ac:dyDescent="0.35">
      <c r="A264" s="142">
        <v>160</v>
      </c>
      <c r="B264" s="143" t="s">
        <v>276</v>
      </c>
      <c r="C264" s="142">
        <v>44</v>
      </c>
      <c r="D264" s="143" t="s">
        <v>319</v>
      </c>
      <c r="E264" s="142">
        <v>457632</v>
      </c>
      <c r="F264" s="143" t="s">
        <v>335</v>
      </c>
      <c r="G264" s="144">
        <v>8.7242769703991669</v>
      </c>
      <c r="H264" s="145">
        <v>7.2212287864947875</v>
      </c>
      <c r="I264" s="146">
        <v>4.8456737610963039</v>
      </c>
      <c r="J264" s="147">
        <v>0.86594168137451577</v>
      </c>
      <c r="K264" s="148">
        <v>137</v>
      </c>
      <c r="M264" s="149">
        <f t="shared" si="32"/>
        <v>0.67103174603174609</v>
      </c>
      <c r="N264" s="138">
        <f t="shared" si="33"/>
        <v>4.8456737610963039</v>
      </c>
      <c r="O264" s="149"/>
      <c r="V264" s="158">
        <f t="shared" si="34"/>
        <v>462.4371902090013</v>
      </c>
      <c r="W264" s="158">
        <f t="shared" si="35"/>
        <v>142.35747513190705</v>
      </c>
      <c r="X264" s="158">
        <f t="shared" si="36"/>
        <v>72.374926786960046</v>
      </c>
      <c r="Y264" s="158">
        <f t="shared" si="37"/>
        <v>52.109760511478683</v>
      </c>
      <c r="Z264" s="158">
        <f t="shared" si="38"/>
        <v>17.521575496128673</v>
      </c>
      <c r="AA264" s="158">
        <f t="shared" si="39"/>
        <v>-4.8383608358265171</v>
      </c>
    </row>
    <row r="265" spans="1:27" ht="19.5" thickBot="1" x14ac:dyDescent="0.35">
      <c r="A265" s="142">
        <v>160</v>
      </c>
      <c r="B265" s="143" t="s">
        <v>276</v>
      </c>
      <c r="C265" s="142">
        <v>44</v>
      </c>
      <c r="D265" s="143" t="s">
        <v>319</v>
      </c>
      <c r="E265" s="142">
        <v>557633</v>
      </c>
      <c r="F265" s="143" t="s">
        <v>336</v>
      </c>
      <c r="G265" s="144">
        <v>1.953744093309282</v>
      </c>
      <c r="H265" s="145">
        <v>14.843295035062321</v>
      </c>
      <c r="I265" s="146">
        <v>8.9801934962127046</v>
      </c>
      <c r="J265" s="147">
        <v>0.75155784306011231</v>
      </c>
      <c r="K265" s="148">
        <v>36</v>
      </c>
      <c r="M265" s="149">
        <f t="shared" si="32"/>
        <v>0.60500000000000009</v>
      </c>
      <c r="N265" s="138">
        <f t="shared" si="33"/>
        <v>8.9801934962127046</v>
      </c>
      <c r="O265" s="149"/>
      <c r="V265" s="158">
        <f t="shared" si="34"/>
        <v>99.69019511788099</v>
      </c>
      <c r="W265" s="158">
        <f t="shared" si="35"/>
        <v>20.187092519803045</v>
      </c>
      <c r="X265" s="158">
        <f t="shared" si="36"/>
        <v>2.8044548234305231</v>
      </c>
      <c r="Y265" s="158">
        <f t="shared" si="37"/>
        <v>-2.2291149958210505</v>
      </c>
      <c r="Z265" s="158">
        <f t="shared" si="38"/>
        <v>-10.820312414546393</v>
      </c>
      <c r="AA265" s="158">
        <f t="shared" si="39"/>
        <v>-16.374192365538452</v>
      </c>
    </row>
    <row r="266" spans="1:27" ht="19.5" thickBot="1" x14ac:dyDescent="0.35">
      <c r="A266" s="142">
        <v>160</v>
      </c>
      <c r="B266" s="143" t="s">
        <v>276</v>
      </c>
      <c r="C266" s="142">
        <v>44</v>
      </c>
      <c r="D266" s="143" t="s">
        <v>319</v>
      </c>
      <c r="E266" s="142">
        <v>457634</v>
      </c>
      <c r="F266" s="143" t="s">
        <v>337</v>
      </c>
      <c r="G266" s="144">
        <v>1.6595588506878931</v>
      </c>
      <c r="H266" s="145">
        <v>-2.4102790921466783</v>
      </c>
      <c r="I266" s="146">
        <v>-1.9884802510210096</v>
      </c>
      <c r="J266" s="147">
        <v>1.0550124362915316</v>
      </c>
      <c r="K266" s="148">
        <v>292</v>
      </c>
      <c r="M266" s="149">
        <f t="shared" si="32"/>
        <v>0.82499999999999996</v>
      </c>
      <c r="N266" s="138">
        <f t="shared" si="33"/>
        <v>-1.9884802510210096</v>
      </c>
      <c r="O266" s="149"/>
      <c r="V266" s="158">
        <f t="shared" si="34"/>
        <v>87.171399729311929</v>
      </c>
      <c r="W266" s="158">
        <f t="shared" si="35"/>
        <v>37.647996322083927</v>
      </c>
      <c r="X266" s="158">
        <f t="shared" si="36"/>
        <v>26.820149976626251</v>
      </c>
      <c r="Y266" s="158">
        <f t="shared" si="37"/>
        <v>23.684681037791783</v>
      </c>
      <c r="Z266" s="158">
        <f t="shared" si="38"/>
        <v>18.333124663072933</v>
      </c>
      <c r="AA266" s="158">
        <f t="shared" si="39"/>
        <v>14.873548516984956</v>
      </c>
    </row>
    <row r="267" spans="1:27" ht="19.5" thickBot="1" x14ac:dyDescent="0.35">
      <c r="A267" s="142">
        <v>160</v>
      </c>
      <c r="B267" s="143" t="s">
        <v>276</v>
      </c>
      <c r="C267" s="142">
        <v>44</v>
      </c>
      <c r="D267" s="143" t="s">
        <v>319</v>
      </c>
      <c r="E267" s="142">
        <v>557660</v>
      </c>
      <c r="F267" s="143" t="s">
        <v>546</v>
      </c>
      <c r="G267" s="144">
        <v>1.9110045249520344</v>
      </c>
      <c r="H267" s="145">
        <v>16.745119952451809</v>
      </c>
      <c r="I267" s="146">
        <v>12.027705690847025</v>
      </c>
      <c r="J267" s="147">
        <v>0.66724668615075711</v>
      </c>
      <c r="K267" s="148">
        <v>14</v>
      </c>
      <c r="M267" s="149">
        <f t="shared" si="32"/>
        <v>0.71828124999999998</v>
      </c>
      <c r="N267" s="138">
        <f t="shared" si="33"/>
        <v>12.027705690847025</v>
      </c>
      <c r="O267" s="149"/>
      <c r="V267" s="158">
        <f t="shared" si="34"/>
        <v>72.917428167282964</v>
      </c>
      <c r="W267" s="158">
        <f t="shared" si="35"/>
        <v>7.4177811557608555</v>
      </c>
      <c r="X267" s="158">
        <f t="shared" si="36"/>
        <v>-6.9031270356774899</v>
      </c>
      <c r="Y267" s="158">
        <f t="shared" si="37"/>
        <v>-11.050097853100656</v>
      </c>
      <c r="Z267" s="158">
        <f t="shared" si="38"/>
        <v>-18.128065629749589</v>
      </c>
      <c r="AA267" s="158">
        <f t="shared" si="39"/>
        <v>-22.703700598027467</v>
      </c>
    </row>
    <row r="268" spans="1:27" ht="19.5" thickBot="1" x14ac:dyDescent="0.35">
      <c r="A268" s="142">
        <v>160</v>
      </c>
      <c r="B268" s="143" t="s">
        <v>276</v>
      </c>
      <c r="C268" s="142">
        <v>44</v>
      </c>
      <c r="D268" s="143" t="s">
        <v>319</v>
      </c>
      <c r="E268" s="142">
        <v>457158</v>
      </c>
      <c r="F268" s="143" t="s">
        <v>339</v>
      </c>
      <c r="G268" s="144">
        <v>4.3293466173291888</v>
      </c>
      <c r="H268" s="145">
        <v>4.6196347319351787</v>
      </c>
      <c r="I268" s="146">
        <v>3.549034382809201</v>
      </c>
      <c r="J268" s="147">
        <v>0.90181394671609239</v>
      </c>
      <c r="K268" s="148">
        <v>199</v>
      </c>
      <c r="M268" s="149">
        <f t="shared" si="32"/>
        <v>0.76824999999999999</v>
      </c>
      <c r="N268" s="138">
        <f t="shared" si="33"/>
        <v>3.549034382809201</v>
      </c>
      <c r="O268" s="149"/>
      <c r="V268" s="158">
        <f t="shared" si="34"/>
        <v>208.74422416196691</v>
      </c>
      <c r="W268" s="158">
        <f t="shared" si="35"/>
        <v>70.007459430102628</v>
      </c>
      <c r="X268" s="158">
        <f t="shared" si="36"/>
        <v>39.673914729431139</v>
      </c>
      <c r="Y268" s="158">
        <f t="shared" si="37"/>
        <v>30.890091596070793</v>
      </c>
      <c r="Z268" s="158">
        <f t="shared" si="38"/>
        <v>15.898035989482263</v>
      </c>
      <c r="AA268" s="158">
        <f t="shared" si="39"/>
        <v>6.2062464752396904</v>
      </c>
    </row>
    <row r="269" spans="1:27" ht="19.5" thickBot="1" x14ac:dyDescent="0.35">
      <c r="A269" s="142">
        <v>80</v>
      </c>
      <c r="B269" s="143" t="s">
        <v>340</v>
      </c>
      <c r="C269" s="142">
        <v>57</v>
      </c>
      <c r="D269" s="143" t="s">
        <v>341</v>
      </c>
      <c r="E269" s="142">
        <v>588201</v>
      </c>
      <c r="F269" s="143" t="s">
        <v>342</v>
      </c>
      <c r="G269" s="144">
        <v>3.4371100664698147</v>
      </c>
      <c r="H269" s="145">
        <v>3.2003630338489204</v>
      </c>
      <c r="I269" s="146">
        <v>2.688304948433093</v>
      </c>
      <c r="J269" s="147">
        <v>0.92562651571120769</v>
      </c>
      <c r="K269" s="148">
        <v>224</v>
      </c>
      <c r="M269" s="149">
        <f t="shared" si="32"/>
        <v>0.84</v>
      </c>
      <c r="N269" s="138">
        <f t="shared" si="33"/>
        <v>2.688304948433093</v>
      </c>
      <c r="O269" s="149"/>
      <c r="V269" s="158">
        <f t="shared" si="34"/>
        <v>155.57065205473606</v>
      </c>
      <c r="W269" s="158">
        <f t="shared" si="35"/>
        <v>54.834367778635638</v>
      </c>
      <c r="X269" s="158">
        <f t="shared" si="36"/>
        <v>32.809286049402907</v>
      </c>
      <c r="Y269" s="158">
        <f t="shared" si="37"/>
        <v>26.431382500164762</v>
      </c>
      <c r="Z269" s="158">
        <f t="shared" si="38"/>
        <v>15.545702857949905</v>
      </c>
      <c r="AA269" s="158">
        <f t="shared" si="39"/>
        <v>8.5085280648243273</v>
      </c>
    </row>
    <row r="270" spans="1:27" ht="19.5" thickBot="1" x14ac:dyDescent="0.35">
      <c r="A270" s="142">
        <v>80</v>
      </c>
      <c r="B270" s="143" t="s">
        <v>340</v>
      </c>
      <c r="C270" s="142">
        <v>57</v>
      </c>
      <c r="D270" s="143" t="s">
        <v>341</v>
      </c>
      <c r="E270" s="142">
        <v>588206</v>
      </c>
      <c r="F270" s="143" t="s">
        <v>343</v>
      </c>
      <c r="G270" s="144">
        <v>2.6865209235209235</v>
      </c>
      <c r="H270" s="145">
        <v>11.166858868414225</v>
      </c>
      <c r="I270" s="146">
        <v>8.3918944396132904</v>
      </c>
      <c r="J270" s="147">
        <v>0.76783347081901321</v>
      </c>
      <c r="K270" s="148">
        <v>49</v>
      </c>
      <c r="M270" s="149">
        <f t="shared" si="32"/>
        <v>0.75150000000000006</v>
      </c>
      <c r="N270" s="138">
        <f t="shared" si="33"/>
        <v>8.3918944396132904</v>
      </c>
      <c r="O270" s="149"/>
      <c r="V270" s="158">
        <f t="shared" si="34"/>
        <v>112.74726440107308</v>
      </c>
      <c r="W270" s="158">
        <f t="shared" si="35"/>
        <v>24.737062699384325</v>
      </c>
      <c r="X270" s="158">
        <f t="shared" si="36"/>
        <v>5.4944243648885749</v>
      </c>
      <c r="Y270" s="158">
        <f t="shared" si="37"/>
        <v>-7.775433751308429E-2</v>
      </c>
      <c r="Z270" s="158">
        <f t="shared" si="38"/>
        <v>-9.5882387459457767</v>
      </c>
      <c r="AA270" s="158">
        <f t="shared" si="39"/>
        <v>-15.736402512394729</v>
      </c>
    </row>
    <row r="271" spans="1:27" ht="19.5" thickBot="1" x14ac:dyDescent="0.35">
      <c r="A271" s="142">
        <v>80</v>
      </c>
      <c r="B271" s="143" t="s">
        <v>340</v>
      </c>
      <c r="C271" s="142">
        <v>57</v>
      </c>
      <c r="D271" s="143" t="s">
        <v>341</v>
      </c>
      <c r="E271" s="142">
        <v>588216</v>
      </c>
      <c r="F271" s="143" t="s">
        <v>547</v>
      </c>
      <c r="G271" s="144">
        <v>1</v>
      </c>
      <c r="H271" s="145">
        <v>-1</v>
      </c>
      <c r="I271" s="146">
        <v>-0.215</v>
      </c>
      <c r="J271" s="147">
        <v>1.0059480971946322</v>
      </c>
      <c r="K271" s="148">
        <v>287</v>
      </c>
      <c r="M271" s="149">
        <f t="shared" si="32"/>
        <v>0.215</v>
      </c>
      <c r="N271" s="138">
        <f t="shared" si="33"/>
        <v>-0.215</v>
      </c>
      <c r="O271" s="149"/>
      <c r="V271" s="158">
        <f t="shared" si="34"/>
        <v>192.18294528757866</v>
      </c>
      <c r="W271" s="158">
        <f t="shared" si="35"/>
        <v>77.675608498486241</v>
      </c>
      <c r="X271" s="158">
        <f t="shared" si="36"/>
        <v>52.639610104262303</v>
      </c>
      <c r="Y271" s="158">
        <f t="shared" si="37"/>
        <v>45.389821659422594</v>
      </c>
      <c r="Z271" s="158">
        <f t="shared" si="38"/>
        <v>33.016026120638841</v>
      </c>
      <c r="AA271" s="158">
        <f t="shared" si="39"/>
        <v>25.016841419011733</v>
      </c>
    </row>
    <row r="272" spans="1:27" ht="19.5" thickBot="1" x14ac:dyDescent="0.35">
      <c r="A272" s="142">
        <v>80</v>
      </c>
      <c r="B272" s="143" t="s">
        <v>340</v>
      </c>
      <c r="C272" s="142">
        <v>57</v>
      </c>
      <c r="D272" s="143" t="s">
        <v>341</v>
      </c>
      <c r="E272" s="142">
        <v>488256</v>
      </c>
      <c r="F272" s="143" t="s">
        <v>345</v>
      </c>
      <c r="G272" s="144">
        <v>2.6251377057828655</v>
      </c>
      <c r="H272" s="145">
        <v>3.4283915773919489</v>
      </c>
      <c r="I272" s="146">
        <v>2.7255713040265994</v>
      </c>
      <c r="J272" s="147">
        <v>0.92459552080348717</v>
      </c>
      <c r="K272" s="148">
        <v>223</v>
      </c>
      <c r="M272" s="149">
        <f t="shared" si="32"/>
        <v>0.79500000000000004</v>
      </c>
      <c r="N272" s="138">
        <f t="shared" si="33"/>
        <v>2.7255713040265994</v>
      </c>
      <c r="O272" s="149"/>
      <c r="V272" s="158">
        <f t="shared" si="34"/>
        <v>125.40489178405913</v>
      </c>
      <c r="W272" s="158">
        <f t="shared" si="35"/>
        <v>44.111220853653919</v>
      </c>
      <c r="X272" s="158">
        <f t="shared" si="36"/>
        <v>26.337091510108944</v>
      </c>
      <c r="Y272" s="158">
        <f t="shared" si="37"/>
        <v>21.190155665854867</v>
      </c>
      <c r="Z272" s="158">
        <f t="shared" si="38"/>
        <v>12.405467357692046</v>
      </c>
      <c r="AA272" s="158">
        <f t="shared" si="39"/>
        <v>6.7265029604731801</v>
      </c>
    </row>
    <row r="273" spans="1:27" ht="19.5" thickBot="1" x14ac:dyDescent="0.35">
      <c r="A273" s="142">
        <v>80</v>
      </c>
      <c r="B273" s="143" t="s">
        <v>340</v>
      </c>
      <c r="C273" s="142">
        <v>57</v>
      </c>
      <c r="D273" s="143" t="s">
        <v>341</v>
      </c>
      <c r="E273" s="142">
        <v>488281</v>
      </c>
      <c r="F273" s="143" t="s">
        <v>346</v>
      </c>
      <c r="G273" s="144">
        <v>4.5014537386150302</v>
      </c>
      <c r="H273" s="145">
        <v>2.4436550142986451</v>
      </c>
      <c r="I273" s="146">
        <v>1.647245630093132</v>
      </c>
      <c r="J273" s="147">
        <v>0.95442801343615413</v>
      </c>
      <c r="K273" s="148">
        <v>251</v>
      </c>
      <c r="M273" s="149">
        <f t="shared" si="32"/>
        <v>0.67409090909090907</v>
      </c>
      <c r="N273" s="138">
        <f t="shared" si="33"/>
        <v>1.647245630093132</v>
      </c>
      <c r="O273" s="149"/>
      <c r="V273" s="158">
        <f t="shared" si="34"/>
        <v>261.79131232819128</v>
      </c>
      <c r="W273" s="158">
        <f t="shared" si="35"/>
        <v>97.389691489839151</v>
      </c>
      <c r="X273" s="158">
        <f t="shared" si="36"/>
        <v>61.444757036443754</v>
      </c>
      <c r="Y273" s="158">
        <f t="shared" si="37"/>
        <v>51.036018133869455</v>
      </c>
      <c r="Z273" s="158">
        <f t="shared" si="38"/>
        <v>33.270588428301465</v>
      </c>
      <c r="AA273" s="158">
        <f t="shared" si="39"/>
        <v>21.785918823636298</v>
      </c>
    </row>
    <row r="274" spans="1:27" ht="19.5" thickBot="1" x14ac:dyDescent="0.35">
      <c r="A274" s="142">
        <v>80</v>
      </c>
      <c r="B274" s="143" t="s">
        <v>340</v>
      </c>
      <c r="C274" s="142">
        <v>57</v>
      </c>
      <c r="D274" s="143" t="s">
        <v>341</v>
      </c>
      <c r="E274" s="142">
        <v>488286</v>
      </c>
      <c r="F274" s="143" t="s">
        <v>347</v>
      </c>
      <c r="G274" s="144">
        <v>8.6759634028119379</v>
      </c>
      <c r="H274" s="145">
        <v>8.75983409235773</v>
      </c>
      <c r="I274" s="146">
        <v>6.185480217978653</v>
      </c>
      <c r="J274" s="147">
        <v>0.82887517426971669</v>
      </c>
      <c r="K274" s="148">
        <v>97</v>
      </c>
      <c r="M274" s="149">
        <f t="shared" si="32"/>
        <v>0.70611842105263167</v>
      </c>
      <c r="N274" s="138">
        <f t="shared" si="33"/>
        <v>6.185480217978653</v>
      </c>
      <c r="O274" s="149"/>
      <c r="V274" s="158">
        <f t="shared" si="34"/>
        <v>418.31846335553314</v>
      </c>
      <c r="W274" s="158">
        <f t="shared" si="35"/>
        <v>115.82782120694213</v>
      </c>
      <c r="X274" s="158">
        <f t="shared" si="36"/>
        <v>49.690965321029225</v>
      </c>
      <c r="Y274" s="158">
        <f t="shared" si="37"/>
        <v>30.539413781932616</v>
      </c>
      <c r="Z274" s="158">
        <f t="shared" si="38"/>
        <v>-2.1480756252842221</v>
      </c>
      <c r="AA274" s="158">
        <f t="shared" si="39"/>
        <v>-23.279285073610687</v>
      </c>
    </row>
    <row r="275" spans="1:27" ht="19.5" thickBot="1" x14ac:dyDescent="0.35">
      <c r="A275" s="142">
        <v>80</v>
      </c>
      <c r="B275" s="143" t="s">
        <v>340</v>
      </c>
      <c r="C275" s="142">
        <v>57</v>
      </c>
      <c r="D275" s="143" t="s">
        <v>341</v>
      </c>
      <c r="E275" s="142">
        <v>488291</v>
      </c>
      <c r="F275" s="143" t="s">
        <v>348</v>
      </c>
      <c r="G275" s="144">
        <v>1.8989247311827957</v>
      </c>
      <c r="H275" s="145">
        <v>7.3725934314835788</v>
      </c>
      <c r="I275" s="146">
        <v>5.479416761041902</v>
      </c>
      <c r="J275" s="147">
        <v>0.84840882109500826</v>
      </c>
      <c r="K275" s="148">
        <v>117</v>
      </c>
      <c r="M275" s="149">
        <f t="shared" si="32"/>
        <v>0.74321428571428561</v>
      </c>
      <c r="N275" s="138">
        <f t="shared" si="33"/>
        <v>5.479416761041902</v>
      </c>
      <c r="O275" s="149"/>
      <c r="V275" s="158">
        <f t="shared" si="34"/>
        <v>89.038248533804904</v>
      </c>
      <c r="W275" s="158">
        <f t="shared" si="35"/>
        <v>26.136100592491843</v>
      </c>
      <c r="X275" s="158">
        <f t="shared" si="36"/>
        <v>12.383112190075666</v>
      </c>
      <c r="Y275" s="158">
        <f t="shared" si="37"/>
        <v>8.4005965007930516</v>
      </c>
      <c r="Z275" s="158">
        <f t="shared" si="38"/>
        <v>1.6033174844298206</v>
      </c>
      <c r="AA275" s="158">
        <f t="shared" si="39"/>
        <v>-2.7908629551904167</v>
      </c>
    </row>
    <row r="276" spans="1:27" ht="19.5" thickBot="1" x14ac:dyDescent="0.35">
      <c r="A276" s="142">
        <v>80</v>
      </c>
      <c r="B276" s="143" t="s">
        <v>340</v>
      </c>
      <c r="C276" s="142">
        <v>57</v>
      </c>
      <c r="D276" s="143" t="s">
        <v>341</v>
      </c>
      <c r="E276" s="142">
        <v>488288</v>
      </c>
      <c r="F276" s="143" t="s">
        <v>349</v>
      </c>
      <c r="G276" s="144">
        <v>1.8613756613756598</v>
      </c>
      <c r="H276" s="145">
        <v>21.489482660602633</v>
      </c>
      <c r="I276" s="146">
        <v>14.481225127913598</v>
      </c>
      <c r="J276" s="147">
        <v>0.59936867647359016</v>
      </c>
      <c r="K276" s="148">
        <v>10</v>
      </c>
      <c r="M276" s="149">
        <f t="shared" si="32"/>
        <v>0.673875</v>
      </c>
      <c r="N276" s="138">
        <f t="shared" si="33"/>
        <v>14.481225127913598</v>
      </c>
      <c r="O276" s="149"/>
      <c r="V276" s="158">
        <f t="shared" si="34"/>
        <v>68.002747536048815</v>
      </c>
      <c r="W276" s="158">
        <f t="shared" si="35"/>
        <v>0</v>
      </c>
      <c r="X276" s="158">
        <f t="shared" si="36"/>
        <v>-14.868188588222505</v>
      </c>
      <c r="Y276" s="158">
        <f t="shared" si="37"/>
        <v>-19.17363789067419</v>
      </c>
      <c r="Z276" s="158">
        <f t="shared" si="38"/>
        <v>-26.522093611345113</v>
      </c>
      <c r="AA276" s="158">
        <f t="shared" si="39"/>
        <v>-31.272588671420507</v>
      </c>
    </row>
    <row r="277" spans="1:27" ht="19.5" thickBot="1" x14ac:dyDescent="0.35">
      <c r="A277" s="142">
        <v>80</v>
      </c>
      <c r="B277" s="143" t="s">
        <v>340</v>
      </c>
      <c r="C277" s="142">
        <v>57</v>
      </c>
      <c r="D277" s="143" t="s">
        <v>341</v>
      </c>
      <c r="E277" s="142">
        <v>588336</v>
      </c>
      <c r="F277" s="143" t="s">
        <v>350</v>
      </c>
      <c r="G277" s="144">
        <v>4.0649831649831629</v>
      </c>
      <c r="H277" s="145">
        <v>3.9360556613931936</v>
      </c>
      <c r="I277" s="146">
        <v>2.4514246666114481</v>
      </c>
      <c r="J277" s="147">
        <v>0.93217994333803067</v>
      </c>
      <c r="K277" s="148">
        <v>232</v>
      </c>
      <c r="M277" s="149">
        <f t="shared" si="32"/>
        <v>0.62281249999999988</v>
      </c>
      <c r="N277" s="138">
        <f t="shared" si="33"/>
        <v>2.4514246666114481</v>
      </c>
      <c r="O277" s="149"/>
      <c r="V277" s="158">
        <f t="shared" si="34"/>
        <v>249.90728520009952</v>
      </c>
      <c r="W277" s="158">
        <f t="shared" si="35"/>
        <v>89.223074129088047</v>
      </c>
      <c r="X277" s="158">
        <f t="shared" si="36"/>
        <v>54.090917857209831</v>
      </c>
      <c r="Y277" s="158">
        <f t="shared" si="37"/>
        <v>43.917538846252249</v>
      </c>
      <c r="Z277" s="158">
        <f t="shared" si="38"/>
        <v>26.553816748989519</v>
      </c>
      <c r="AA277" s="158">
        <f t="shared" si="39"/>
        <v>15.328835721269956</v>
      </c>
    </row>
    <row r="278" spans="1:27" ht="19.5" thickBot="1" x14ac:dyDescent="0.35">
      <c r="A278" s="142">
        <v>80</v>
      </c>
      <c r="B278" s="143" t="s">
        <v>340</v>
      </c>
      <c r="C278" s="142">
        <v>57</v>
      </c>
      <c r="D278" s="143" t="s">
        <v>341</v>
      </c>
      <c r="E278" s="142">
        <v>588396</v>
      </c>
      <c r="F278" s="143" t="s">
        <v>351</v>
      </c>
      <c r="G278" s="144">
        <v>2.7843147969375193</v>
      </c>
      <c r="H278" s="145">
        <v>3.5915479136910258</v>
      </c>
      <c r="I278" s="146">
        <v>2.1172174951208595</v>
      </c>
      <c r="J278" s="147">
        <v>0.94142597468300315</v>
      </c>
      <c r="K278" s="148">
        <v>239</v>
      </c>
      <c r="M278" s="149">
        <f t="shared" si="32"/>
        <v>0.58949999999999991</v>
      </c>
      <c r="N278" s="138">
        <f t="shared" si="33"/>
        <v>2.1172174951208595</v>
      </c>
      <c r="O278" s="149"/>
      <c r="V278" s="158">
        <f t="shared" si="34"/>
        <v>182.64106626927142</v>
      </c>
      <c r="W278" s="158">
        <f t="shared" si="35"/>
        <v>66.360724422533067</v>
      </c>
      <c r="X278" s="158">
        <f t="shared" si="36"/>
        <v>40.937074433041175</v>
      </c>
      <c r="Y278" s="158">
        <f t="shared" si="37"/>
        <v>33.575031944574221</v>
      </c>
      <c r="Z278" s="158">
        <f t="shared" si="38"/>
        <v>21.009643424172626</v>
      </c>
      <c r="AA278" s="158">
        <f t="shared" si="39"/>
        <v>12.886601201003892</v>
      </c>
    </row>
    <row r="279" spans="1:27" ht="19.5" thickBot="1" x14ac:dyDescent="0.35">
      <c r="A279" s="142">
        <v>80</v>
      </c>
      <c r="B279" s="143" t="s">
        <v>340</v>
      </c>
      <c r="C279" s="142">
        <v>57</v>
      </c>
      <c r="D279" s="143" t="s">
        <v>341</v>
      </c>
      <c r="E279" s="142">
        <v>488451</v>
      </c>
      <c r="F279" s="143" t="s">
        <v>352</v>
      </c>
      <c r="G279" s="144">
        <v>4.6097894054415791</v>
      </c>
      <c r="H279" s="145">
        <v>1.5185075465132791</v>
      </c>
      <c r="I279" s="146">
        <v>0.68549769242599456</v>
      </c>
      <c r="J279" s="147">
        <v>0.98103531673839151</v>
      </c>
      <c r="K279" s="148">
        <v>271</v>
      </c>
      <c r="M279" s="149">
        <f t="shared" si="32"/>
        <v>0.4514285714285714</v>
      </c>
      <c r="N279" s="138">
        <f t="shared" si="33"/>
        <v>0.68549769242599456</v>
      </c>
      <c r="O279" s="149"/>
      <c r="V279" s="158">
        <f t="shared" si="34"/>
        <v>411.48538638172317</v>
      </c>
      <c r="W279" s="158">
        <f t="shared" si="35"/>
        <v>160.08622957684602</v>
      </c>
      <c r="X279" s="158">
        <f t="shared" si="36"/>
        <v>105.12006703593441</v>
      </c>
      <c r="Y279" s="158">
        <f t="shared" si="37"/>
        <v>89.203264207802818</v>
      </c>
      <c r="Z279" s="158">
        <f t="shared" si="38"/>
        <v>62.036779926923906</v>
      </c>
      <c r="AA279" s="158">
        <f t="shared" si="39"/>
        <v>44.47468875001087</v>
      </c>
    </row>
    <row r="280" spans="1:27" ht="19.5" thickBot="1" x14ac:dyDescent="0.35">
      <c r="A280" s="142">
        <v>80</v>
      </c>
      <c r="B280" s="143" t="s">
        <v>340</v>
      </c>
      <c r="C280" s="142">
        <v>57</v>
      </c>
      <c r="D280" s="143" t="s">
        <v>341</v>
      </c>
      <c r="E280" s="142">
        <v>588501</v>
      </c>
      <c r="F280" s="143" t="s">
        <v>353</v>
      </c>
      <c r="G280" s="144">
        <v>4.6161616161616159</v>
      </c>
      <c r="H280" s="145">
        <v>1.9496717724288841</v>
      </c>
      <c r="I280" s="146">
        <v>1.7222100656455144</v>
      </c>
      <c r="J280" s="147">
        <v>0.95235407972077601</v>
      </c>
      <c r="K280" s="148">
        <v>248</v>
      </c>
      <c r="M280" s="149">
        <f t="shared" si="32"/>
        <v>0.88333333333333341</v>
      </c>
      <c r="N280" s="138">
        <f t="shared" si="33"/>
        <v>1.7222100656455144</v>
      </c>
      <c r="O280" s="149"/>
      <c r="V280" s="158">
        <f t="shared" si="34"/>
        <v>204.42432109937252</v>
      </c>
      <c r="W280" s="158">
        <f t="shared" si="35"/>
        <v>75.768879404549523</v>
      </c>
      <c r="X280" s="158">
        <f t="shared" si="36"/>
        <v>47.639525233886594</v>
      </c>
      <c r="Y280" s="158">
        <f t="shared" si="37"/>
        <v>39.493979623277959</v>
      </c>
      <c r="Z280" s="158">
        <f t="shared" si="38"/>
        <v>25.591323469324873</v>
      </c>
      <c r="AA280" s="158">
        <f t="shared" si="39"/>
        <v>16.603788959795182</v>
      </c>
    </row>
    <row r="281" spans="1:27" ht="19.5" thickBot="1" x14ac:dyDescent="0.35">
      <c r="A281" s="142">
        <v>80</v>
      </c>
      <c r="B281" s="143" t="s">
        <v>340</v>
      </c>
      <c r="C281" s="142">
        <v>57</v>
      </c>
      <c r="D281" s="143" t="s">
        <v>341</v>
      </c>
      <c r="E281" s="142">
        <v>488561</v>
      </c>
      <c r="F281" s="143" t="s">
        <v>354</v>
      </c>
      <c r="G281" s="144">
        <v>6.39810303448564</v>
      </c>
      <c r="H281" s="145">
        <v>9.3777795819481593</v>
      </c>
      <c r="I281" s="146">
        <v>5.3195454678600935</v>
      </c>
      <c r="J281" s="147">
        <v>0.85283175128327293</v>
      </c>
      <c r="K281" s="148">
        <v>123</v>
      </c>
      <c r="M281" s="149">
        <f t="shared" si="32"/>
        <v>0.56725000000000003</v>
      </c>
      <c r="N281" s="138">
        <f t="shared" si="33"/>
        <v>5.3195454678600935</v>
      </c>
      <c r="O281" s="149"/>
      <c r="V281" s="158">
        <f t="shared" si="34"/>
        <v>395.10981419369642</v>
      </c>
      <c r="W281" s="158">
        <f t="shared" si="35"/>
        <v>117.42732167549519</v>
      </c>
      <c r="X281" s="158">
        <f t="shared" si="36"/>
        <v>56.714544383376563</v>
      </c>
      <c r="Y281" s="158">
        <f t="shared" si="37"/>
        <v>39.133668065375353</v>
      </c>
      <c r="Z281" s="158">
        <f t="shared" si="38"/>
        <v>9.126976062323088</v>
      </c>
      <c r="AA281" s="158">
        <f t="shared" si="39"/>
        <v>-10.271200581611115</v>
      </c>
    </row>
    <row r="282" spans="1:27" ht="19.5" thickBot="1" x14ac:dyDescent="0.35">
      <c r="A282" s="142">
        <v>80</v>
      </c>
      <c r="B282" s="143" t="s">
        <v>340</v>
      </c>
      <c r="C282" s="142">
        <v>57</v>
      </c>
      <c r="D282" s="143" t="s">
        <v>341</v>
      </c>
      <c r="E282" s="142">
        <v>588631</v>
      </c>
      <c r="F282" s="143" t="s">
        <v>355</v>
      </c>
      <c r="G282" s="144">
        <v>5.0444772766063091</v>
      </c>
      <c r="H282" s="145">
        <v>-0.3964731904482891</v>
      </c>
      <c r="I282" s="146">
        <v>0.19030713141517877</v>
      </c>
      <c r="J282" s="147">
        <v>0.99473504504888788</v>
      </c>
      <c r="K282" s="148">
        <v>281</v>
      </c>
      <c r="M282" s="149">
        <f t="shared" si="32"/>
        <v>-0.48</v>
      </c>
      <c r="N282" s="138">
        <f t="shared" si="33"/>
        <v>0.19030713141517877</v>
      </c>
      <c r="O282" s="149"/>
      <c r="V282" s="158">
        <f t="shared" si="34"/>
        <v>-429.39806456324396</v>
      </c>
      <c r="W282" s="158">
        <f t="shared" si="35"/>
        <v>-170.66811338821128</v>
      </c>
      <c r="X282" s="158">
        <f t="shared" si="36"/>
        <v>-114.09913865005467</v>
      </c>
      <c r="Y282" s="158">
        <f t="shared" si="37"/>
        <v>-97.718202170695662</v>
      </c>
      <c r="Z282" s="158">
        <f t="shared" si="38"/>
        <v>-69.759543753060342</v>
      </c>
      <c r="AA282" s="158">
        <f t="shared" si="39"/>
        <v>-51.685342349668723</v>
      </c>
    </row>
    <row r="283" spans="1:27" ht="19.5" thickBot="1" x14ac:dyDescent="0.35">
      <c r="A283" s="142">
        <v>80</v>
      </c>
      <c r="B283" s="143" t="s">
        <v>340</v>
      </c>
      <c r="C283" s="142">
        <v>57</v>
      </c>
      <c r="D283" s="143" t="s">
        <v>341</v>
      </c>
      <c r="E283" s="142">
        <v>488706</v>
      </c>
      <c r="F283" s="143" t="s">
        <v>356</v>
      </c>
      <c r="G283" s="144">
        <v>3.2630691802820828</v>
      </c>
      <c r="H283" s="145">
        <v>2.4516795562723628</v>
      </c>
      <c r="I283" s="146">
        <v>2.5267622426832039</v>
      </c>
      <c r="J283" s="147">
        <v>0.93009568647811081</v>
      </c>
      <c r="K283" s="148">
        <v>229</v>
      </c>
      <c r="M283" s="149">
        <f t="shared" si="32"/>
        <v>1.0306250000000001</v>
      </c>
      <c r="N283" s="138">
        <f t="shared" si="33"/>
        <v>2.5267622426832039</v>
      </c>
      <c r="O283" s="149"/>
      <c r="V283" s="158">
        <f t="shared" si="34"/>
        <v>120.95698971382558</v>
      </c>
      <c r="W283" s="158">
        <f t="shared" si="35"/>
        <v>43.010352729060386</v>
      </c>
      <c r="X283" s="158">
        <f t="shared" si="36"/>
        <v>25.968022227739802</v>
      </c>
      <c r="Y283" s="158">
        <f t="shared" si="37"/>
        <v>21.032996717827714</v>
      </c>
      <c r="Z283" s="158">
        <f t="shared" si="38"/>
        <v>12.609992777374886</v>
      </c>
      <c r="AA283" s="158">
        <f t="shared" si="39"/>
        <v>7.1648434655867774</v>
      </c>
    </row>
    <row r="284" spans="1:27" ht="19.5" thickBot="1" x14ac:dyDescent="0.35">
      <c r="A284" s="142">
        <v>80</v>
      </c>
      <c r="B284" s="143" t="s">
        <v>340</v>
      </c>
      <c r="C284" s="142">
        <v>57</v>
      </c>
      <c r="D284" s="143" t="s">
        <v>341</v>
      </c>
      <c r="E284" s="142">
        <v>588716</v>
      </c>
      <c r="F284" s="143" t="s">
        <v>357</v>
      </c>
      <c r="G284" s="144">
        <v>2.6091871091871091</v>
      </c>
      <c r="H284" s="145">
        <v>16.480228592497006</v>
      </c>
      <c r="I284" s="146">
        <v>9.7444142317264273</v>
      </c>
      <c r="J284" s="147">
        <v>0.73041524206946673</v>
      </c>
      <c r="K284" s="148">
        <v>30</v>
      </c>
      <c r="M284" s="149">
        <f t="shared" si="32"/>
        <v>0.59127906976744182</v>
      </c>
      <c r="N284" s="138">
        <f t="shared" si="33"/>
        <v>9.7444142317264273</v>
      </c>
      <c r="O284" s="149"/>
      <c r="V284" s="158">
        <f t="shared" si="34"/>
        <v>132.39155305707845</v>
      </c>
      <c r="W284" s="158">
        <f t="shared" si="35"/>
        <v>23.752870070014751</v>
      </c>
      <c r="X284" s="158">
        <f t="shared" si="36"/>
        <v>0</v>
      </c>
      <c r="Y284" s="158">
        <f t="shared" si="37"/>
        <v>-6.8782271133673163</v>
      </c>
      <c r="Z284" s="158">
        <f t="shared" si="38"/>
        <v>-18.617849119952336</v>
      </c>
      <c r="AA284" s="158">
        <f t="shared" si="39"/>
        <v>-26.207064931998168</v>
      </c>
    </row>
    <row r="285" spans="1:27" ht="19.5" thickBot="1" x14ac:dyDescent="0.35">
      <c r="A285" s="142">
        <v>80</v>
      </c>
      <c r="B285" s="143" t="s">
        <v>340</v>
      </c>
      <c r="C285" s="142">
        <v>55</v>
      </c>
      <c r="D285" s="143" t="s">
        <v>358</v>
      </c>
      <c r="E285" s="142">
        <v>588186</v>
      </c>
      <c r="F285" s="143" t="s">
        <v>359</v>
      </c>
      <c r="G285" s="144">
        <v>2.567366041366042</v>
      </c>
      <c r="H285" s="145">
        <v>7.4005808653177079</v>
      </c>
      <c r="I285" s="146">
        <v>5.0830305417050576</v>
      </c>
      <c r="J285" s="147">
        <v>0.85937507113793066</v>
      </c>
      <c r="K285" s="148">
        <v>128</v>
      </c>
      <c r="M285" s="149">
        <f t="shared" si="32"/>
        <v>0.68684210526315792</v>
      </c>
      <c r="N285" s="138">
        <f t="shared" si="33"/>
        <v>5.0830305417050576</v>
      </c>
      <c r="O285" s="149"/>
      <c r="V285" s="158">
        <f t="shared" si="34"/>
        <v>131.94452211337139</v>
      </c>
      <c r="W285" s="158">
        <f t="shared" si="35"/>
        <v>39.920193920659848</v>
      </c>
      <c r="X285" s="158">
        <f t="shared" si="36"/>
        <v>19.799902964056908</v>
      </c>
      <c r="Y285" s="158">
        <f t="shared" si="37"/>
        <v>13.973578381864655</v>
      </c>
      <c r="Z285" s="158">
        <f t="shared" si="38"/>
        <v>4.0293228120415163</v>
      </c>
      <c r="AA285" s="158">
        <f t="shared" si="39"/>
        <v>-2.3992573898759106</v>
      </c>
    </row>
    <row r="286" spans="1:27" ht="19.5" thickBot="1" x14ac:dyDescent="0.35">
      <c r="A286" s="142">
        <v>80</v>
      </c>
      <c r="B286" s="143" t="s">
        <v>340</v>
      </c>
      <c r="C286" s="142">
        <v>55</v>
      </c>
      <c r="D286" s="143" t="s">
        <v>358</v>
      </c>
      <c r="E286" s="142">
        <v>488246</v>
      </c>
      <c r="F286" s="143" t="s">
        <v>360</v>
      </c>
      <c r="G286" s="144">
        <v>2.927814375640462</v>
      </c>
      <c r="H286" s="145">
        <v>6.4894824474122386</v>
      </c>
      <c r="I286" s="146">
        <v>5.8849359246796249</v>
      </c>
      <c r="J286" s="147">
        <v>0.83718990295731954</v>
      </c>
      <c r="K286" s="148">
        <v>103</v>
      </c>
      <c r="M286" s="149">
        <f t="shared" si="32"/>
        <v>0.90684210526315789</v>
      </c>
      <c r="N286" s="138">
        <f t="shared" si="33"/>
        <v>5.8849359246796249</v>
      </c>
      <c r="O286" s="149"/>
      <c r="V286" s="158">
        <f t="shared" si="34"/>
        <v>111.02315774579985</v>
      </c>
      <c r="W286" s="158">
        <f t="shared" si="35"/>
        <v>31.538440024101398</v>
      </c>
      <c r="X286" s="158">
        <f t="shared" si="36"/>
        <v>14.159822015448654</v>
      </c>
      <c r="Y286" s="158">
        <f t="shared" si="37"/>
        <v>9.1274161955361066</v>
      </c>
      <c r="Z286" s="158">
        <f t="shared" si="38"/>
        <v>0.53820546786222501</v>
      </c>
      <c r="AA286" s="158">
        <f t="shared" si="39"/>
        <v>-5.0143901634870929</v>
      </c>
    </row>
    <row r="287" spans="1:27" ht="19.5" thickBot="1" x14ac:dyDescent="0.35">
      <c r="A287" s="142">
        <v>80</v>
      </c>
      <c r="B287" s="143" t="s">
        <v>340</v>
      </c>
      <c r="C287" s="142">
        <v>55</v>
      </c>
      <c r="D287" s="143" t="s">
        <v>358</v>
      </c>
      <c r="E287" s="142">
        <v>588316</v>
      </c>
      <c r="F287" s="143" t="s">
        <v>361</v>
      </c>
      <c r="G287" s="144">
        <v>3.9837235643687254</v>
      </c>
      <c r="H287" s="145">
        <v>5.5224715381289755</v>
      </c>
      <c r="I287" s="146">
        <v>3.6561271796749328</v>
      </c>
      <c r="J287" s="147">
        <v>0.89885116362491868</v>
      </c>
      <c r="K287" s="148">
        <v>197</v>
      </c>
      <c r="M287" s="149">
        <f t="shared" si="32"/>
        <v>0.66204545454545449</v>
      </c>
      <c r="N287" s="138">
        <f t="shared" si="33"/>
        <v>3.6561271796749328</v>
      </c>
      <c r="O287" s="149"/>
      <c r="V287" s="158">
        <f t="shared" si="34"/>
        <v>222.16052992735084</v>
      </c>
      <c r="W287" s="158">
        <f t="shared" si="35"/>
        <v>74.020250228283416</v>
      </c>
      <c r="X287" s="158">
        <f t="shared" si="36"/>
        <v>41.630711630447209</v>
      </c>
      <c r="Y287" s="158">
        <f t="shared" si="37"/>
        <v>32.251524950420212</v>
      </c>
      <c r="Z287" s="158">
        <f t="shared" si="38"/>
        <v>16.243314616869696</v>
      </c>
      <c r="AA287" s="158">
        <f t="shared" si="39"/>
        <v>5.8946200066181316</v>
      </c>
    </row>
    <row r="288" spans="1:27" ht="19.5" thickBot="1" x14ac:dyDescent="0.35">
      <c r="A288" s="142">
        <v>80</v>
      </c>
      <c r="B288" s="143" t="s">
        <v>340</v>
      </c>
      <c r="C288" s="142">
        <v>55</v>
      </c>
      <c r="D288" s="143" t="s">
        <v>358</v>
      </c>
      <c r="E288" s="142">
        <v>488326</v>
      </c>
      <c r="F288" s="143" t="s">
        <v>362</v>
      </c>
      <c r="G288" s="144">
        <v>5.0138817773226396</v>
      </c>
      <c r="H288" s="145">
        <v>11.966775976125902</v>
      </c>
      <c r="I288" s="146">
        <v>8.3727542579627556</v>
      </c>
      <c r="J288" s="147">
        <v>0.76836299482264248</v>
      </c>
      <c r="K288" s="148">
        <v>50</v>
      </c>
      <c r="M288" s="149">
        <f t="shared" si="32"/>
        <v>0.69966666666666666</v>
      </c>
      <c r="N288" s="138">
        <f t="shared" si="33"/>
        <v>8.3727542579627556</v>
      </c>
      <c r="O288" s="149"/>
      <c r="V288" s="158">
        <f t="shared" si="34"/>
        <v>226.16587522586244</v>
      </c>
      <c r="W288" s="158">
        <f t="shared" si="35"/>
        <v>49.743087805046834</v>
      </c>
      <c r="X288" s="158">
        <f t="shared" si="36"/>
        <v>11.169833492902232</v>
      </c>
      <c r="Y288" s="158">
        <f t="shared" si="37"/>
        <v>0</v>
      </c>
      <c r="Z288" s="158">
        <f t="shared" si="38"/>
        <v>-19.064450900192714</v>
      </c>
      <c r="AA288" s="158">
        <f t="shared" si="39"/>
        <v>-31.388887933902769</v>
      </c>
    </row>
    <row r="289" spans="1:27" ht="19.5" thickBot="1" x14ac:dyDescent="0.35">
      <c r="A289" s="142">
        <v>80</v>
      </c>
      <c r="B289" s="143" t="s">
        <v>340</v>
      </c>
      <c r="C289" s="142">
        <v>55</v>
      </c>
      <c r="D289" s="143" t="s">
        <v>358</v>
      </c>
      <c r="E289" s="142">
        <v>488346</v>
      </c>
      <c r="F289" s="143" t="s">
        <v>363</v>
      </c>
      <c r="G289" s="144">
        <v>1.8723945526189556</v>
      </c>
      <c r="H289" s="145">
        <v>21.897094254334633</v>
      </c>
      <c r="I289" s="146">
        <v>15.071609752617643</v>
      </c>
      <c r="J289" s="147">
        <v>0.583035350287748</v>
      </c>
      <c r="K289" s="148">
        <v>7</v>
      </c>
      <c r="M289" s="149">
        <f t="shared" si="32"/>
        <v>0.68829268292682932</v>
      </c>
      <c r="N289" s="138">
        <f t="shared" si="33"/>
        <v>15.071609752617643</v>
      </c>
      <c r="O289" s="149"/>
      <c r="V289" s="158">
        <f t="shared" si="34"/>
        <v>65.147362062440621</v>
      </c>
      <c r="W289" s="158">
        <f t="shared" si="35"/>
        <v>-1.8250576301897214</v>
      </c>
      <c r="X289" s="158">
        <f t="shared" si="36"/>
        <v>-16.467974310457013</v>
      </c>
      <c r="Y289" s="158">
        <f t="shared" si="37"/>
        <v>-20.708190597251637</v>
      </c>
      <c r="Z289" s="158">
        <f t="shared" si="38"/>
        <v>-27.945307896910663</v>
      </c>
      <c r="AA289" s="158">
        <f t="shared" si="39"/>
        <v>-32.623826933843404</v>
      </c>
    </row>
    <row r="290" spans="1:27" ht="19.5" thickBot="1" x14ac:dyDescent="0.35">
      <c r="A290" s="142">
        <v>80</v>
      </c>
      <c r="B290" s="143" t="s">
        <v>340</v>
      </c>
      <c r="C290" s="142">
        <v>55</v>
      </c>
      <c r="D290" s="143" t="s">
        <v>358</v>
      </c>
      <c r="E290" s="142">
        <v>588386</v>
      </c>
      <c r="F290" s="143" t="s">
        <v>364</v>
      </c>
      <c r="G290" s="144">
        <v>2.0195966230448992</v>
      </c>
      <c r="H290" s="145">
        <v>8.9126708742767722</v>
      </c>
      <c r="I290" s="146">
        <v>5.5778465221515479</v>
      </c>
      <c r="J290" s="147">
        <v>0.84568570581163816</v>
      </c>
      <c r="K290" s="148">
        <v>109</v>
      </c>
      <c r="M290" s="149">
        <f t="shared" si="32"/>
        <v>0.62583333333333346</v>
      </c>
      <c r="N290" s="138">
        <f t="shared" si="33"/>
        <v>5.5778465221515479</v>
      </c>
      <c r="O290" s="149"/>
      <c r="V290" s="158">
        <f t="shared" si="34"/>
        <v>112.09665832167674</v>
      </c>
      <c r="W290" s="158">
        <f t="shared" si="35"/>
        <v>32.649618749341307</v>
      </c>
      <c r="X290" s="158">
        <f t="shared" si="36"/>
        <v>15.279238728868197</v>
      </c>
      <c r="Y290" s="158">
        <f t="shared" si="37"/>
        <v>10.249218420832307</v>
      </c>
      <c r="Z290" s="158">
        <f t="shared" si="38"/>
        <v>1.6640792376513063</v>
      </c>
      <c r="AA290" s="158">
        <f t="shared" si="39"/>
        <v>-3.885884296188614</v>
      </c>
    </row>
    <row r="291" spans="1:27" ht="19.5" thickBot="1" x14ac:dyDescent="0.35">
      <c r="A291" s="142">
        <v>80</v>
      </c>
      <c r="B291" s="143" t="s">
        <v>340</v>
      </c>
      <c r="C291" s="142">
        <v>55</v>
      </c>
      <c r="D291" s="143" t="s">
        <v>358</v>
      </c>
      <c r="E291" s="142">
        <v>588461</v>
      </c>
      <c r="F291" s="143" t="s">
        <v>365</v>
      </c>
      <c r="G291" s="144">
        <v>2.8940228847615943</v>
      </c>
      <c r="H291" s="145">
        <v>10.020653310206626</v>
      </c>
      <c r="I291" s="146">
        <v>5.6115658537157103</v>
      </c>
      <c r="J291" s="147">
        <v>0.84475284133963036</v>
      </c>
      <c r="K291" s="148">
        <v>107</v>
      </c>
      <c r="M291" s="149">
        <f t="shared" si="32"/>
        <v>0.55999999999999994</v>
      </c>
      <c r="N291" s="138">
        <f t="shared" si="33"/>
        <v>5.6115658537157103</v>
      </c>
      <c r="O291" s="149"/>
      <c r="V291" s="158">
        <f t="shared" si="34"/>
        <v>179.31694304747154</v>
      </c>
      <c r="W291" s="158">
        <f t="shared" si="35"/>
        <v>52.088061930938721</v>
      </c>
      <c r="X291" s="158">
        <f t="shared" si="36"/>
        <v>24.270612388824784</v>
      </c>
      <c r="Y291" s="158">
        <f t="shared" si="37"/>
        <v>16.215386426601661</v>
      </c>
      <c r="Z291" s="158">
        <f t="shared" si="38"/>
        <v>2.4668860622637339</v>
      </c>
      <c r="AA291" s="158">
        <f t="shared" si="39"/>
        <v>-6.4209926359110803</v>
      </c>
    </row>
    <row r="292" spans="1:27" ht="19.5" thickBot="1" x14ac:dyDescent="0.35">
      <c r="A292" s="142">
        <v>80</v>
      </c>
      <c r="B292" s="143" t="s">
        <v>340</v>
      </c>
      <c r="C292" s="142">
        <v>55</v>
      </c>
      <c r="D292" s="143" t="s">
        <v>358</v>
      </c>
      <c r="E292" s="142">
        <v>588551</v>
      </c>
      <c r="F292" s="143" t="s">
        <v>366</v>
      </c>
      <c r="G292" s="144">
        <v>3.7017378756509185</v>
      </c>
      <c r="H292" s="145">
        <v>3.782007389580015</v>
      </c>
      <c r="I292" s="146">
        <v>3.0458666655367619</v>
      </c>
      <c r="J292" s="147">
        <v>0.91573436758836035</v>
      </c>
      <c r="K292" s="148">
        <v>213</v>
      </c>
      <c r="M292" s="149">
        <f t="shared" si="32"/>
        <v>0.80535714285714277</v>
      </c>
      <c r="N292" s="138">
        <f t="shared" si="33"/>
        <v>3.0458666655367619</v>
      </c>
      <c r="O292" s="149"/>
      <c r="V292" s="158">
        <f t="shared" si="34"/>
        <v>172.88781779236672</v>
      </c>
      <c r="W292" s="158">
        <f t="shared" si="35"/>
        <v>59.728864501668838</v>
      </c>
      <c r="X292" s="158">
        <f t="shared" si="36"/>
        <v>34.987678021224539</v>
      </c>
      <c r="Y292" s="158">
        <f t="shared" si="37"/>
        <v>27.82325960925774</v>
      </c>
      <c r="Z292" s="158">
        <f t="shared" si="38"/>
        <v>15.595171954220637</v>
      </c>
      <c r="AA292" s="158">
        <f t="shared" si="39"/>
        <v>7.6901818164942686</v>
      </c>
    </row>
    <row r="293" spans="1:27" ht="19.5" thickBot="1" x14ac:dyDescent="0.35">
      <c r="A293" s="142">
        <v>80</v>
      </c>
      <c r="B293" s="143" t="s">
        <v>340</v>
      </c>
      <c r="C293" s="142">
        <v>55</v>
      </c>
      <c r="D293" s="143" t="s">
        <v>358</v>
      </c>
      <c r="E293" s="142">
        <v>488556</v>
      </c>
      <c r="F293" s="143" t="s">
        <v>367</v>
      </c>
      <c r="G293" s="144">
        <v>3.4620816408930022</v>
      </c>
      <c r="H293" s="145">
        <v>7.7987762278868953</v>
      </c>
      <c r="I293" s="146">
        <v>5.2959467458631933</v>
      </c>
      <c r="J293" s="147">
        <v>0.85348462333958308</v>
      </c>
      <c r="K293" s="148">
        <v>125</v>
      </c>
      <c r="M293" s="149">
        <f t="shared" si="32"/>
        <v>0.67907407407407405</v>
      </c>
      <c r="N293" s="138">
        <f t="shared" si="33"/>
        <v>5.2959467458631933</v>
      </c>
      <c r="O293" s="149"/>
      <c r="V293" s="158">
        <f t="shared" si="34"/>
        <v>178.7284081108825</v>
      </c>
      <c r="W293" s="158">
        <f t="shared" si="35"/>
        <v>53.214477937791514</v>
      </c>
      <c r="X293" s="158">
        <f t="shared" si="36"/>
        <v>25.771986981477735</v>
      </c>
      <c r="Y293" s="158">
        <f t="shared" si="37"/>
        <v>17.825339490135754</v>
      </c>
      <c r="Z293" s="158">
        <f t="shared" si="38"/>
        <v>4.2621587125442968</v>
      </c>
      <c r="AA293" s="158">
        <f t="shared" si="39"/>
        <v>-4.5059179735019166</v>
      </c>
    </row>
    <row r="294" spans="1:27" ht="19.5" thickBot="1" x14ac:dyDescent="0.35">
      <c r="A294" s="150">
        <v>80</v>
      </c>
      <c r="B294" s="151" t="s">
        <v>340</v>
      </c>
      <c r="C294" s="150">
        <v>55</v>
      </c>
      <c r="D294" s="151" t="s">
        <v>358</v>
      </c>
      <c r="E294" s="150">
        <v>488586</v>
      </c>
      <c r="F294" s="151" t="s">
        <v>358</v>
      </c>
      <c r="G294" s="144">
        <v>10.277247068561795</v>
      </c>
      <c r="H294" s="145">
        <v>5.8381392993402503</v>
      </c>
      <c r="I294" s="146">
        <v>3.8371170544913795</v>
      </c>
      <c r="J294" s="147">
        <v>0.89384397587304654</v>
      </c>
      <c r="K294" s="148">
        <v>191</v>
      </c>
      <c r="M294" s="149">
        <f t="shared" si="32"/>
        <v>0.65725</v>
      </c>
      <c r="N294" s="138">
        <f t="shared" si="33"/>
        <v>3.8371170544913795</v>
      </c>
      <c r="O294" s="149"/>
      <c r="V294" s="158">
        <f t="shared" si="34"/>
        <v>574.09749420349294</v>
      </c>
      <c r="W294" s="158">
        <f t="shared" si="35"/>
        <v>189.13539281274151</v>
      </c>
      <c r="X294" s="158">
        <f t="shared" si="36"/>
        <v>104.96689477136529</v>
      </c>
      <c r="Y294" s="158">
        <f t="shared" si="37"/>
        <v>80.593838226487804</v>
      </c>
      <c r="Z294" s="158">
        <f t="shared" si="38"/>
        <v>38.994387340966469</v>
      </c>
      <c r="AA294" s="158">
        <f t="shared" si="39"/>
        <v>12.101936267521761</v>
      </c>
    </row>
    <row r="295" spans="1:27" ht="19.5" thickBot="1" x14ac:dyDescent="0.35">
      <c r="A295" s="150">
        <v>80</v>
      </c>
      <c r="B295" s="151" t="s">
        <v>340</v>
      </c>
      <c r="C295" s="150">
        <v>55</v>
      </c>
      <c r="D295" s="151" t="s">
        <v>358</v>
      </c>
      <c r="E295" s="150">
        <v>588587</v>
      </c>
      <c r="F295" s="151" t="s">
        <v>368</v>
      </c>
      <c r="G295" s="144">
        <v>3.9912457912457913</v>
      </c>
      <c r="H295" s="145">
        <v>10.773578538889826</v>
      </c>
      <c r="I295" s="146">
        <v>6.4365868061413876</v>
      </c>
      <c r="J295" s="147">
        <v>0.8219281677924869</v>
      </c>
      <c r="K295" s="148">
        <v>89</v>
      </c>
      <c r="M295" s="149">
        <f t="shared" si="32"/>
        <v>0.59744186046511638</v>
      </c>
      <c r="N295" s="138">
        <f t="shared" si="33"/>
        <v>6.4365868061413876</v>
      </c>
      <c r="O295" s="149"/>
      <c r="V295" s="158">
        <f t="shared" si="34"/>
        <v>225.5404384295849</v>
      </c>
      <c r="W295" s="158">
        <f t="shared" si="35"/>
        <v>61.071231301811878</v>
      </c>
      <c r="X295" s="158">
        <f t="shared" si="36"/>
        <v>25.111519714646157</v>
      </c>
      <c r="Y295" s="158">
        <f t="shared" si="37"/>
        <v>14.698501729929061</v>
      </c>
      <c r="Z295" s="158">
        <f t="shared" si="38"/>
        <v>-3.0742314284129604</v>
      </c>
      <c r="AA295" s="158">
        <f t="shared" si="39"/>
        <v>-14.563622435457535</v>
      </c>
    </row>
    <row r="296" spans="1:27" ht="19.5" thickBot="1" x14ac:dyDescent="0.35">
      <c r="A296" s="150">
        <v>80</v>
      </c>
      <c r="B296" s="151" t="s">
        <v>340</v>
      </c>
      <c r="C296" s="150">
        <v>55</v>
      </c>
      <c r="D296" s="151" t="s">
        <v>358</v>
      </c>
      <c r="E296" s="150">
        <v>488616</v>
      </c>
      <c r="F296" s="151" t="s">
        <v>369</v>
      </c>
      <c r="G296" s="144">
        <v>1.8887926887926878</v>
      </c>
      <c r="H296" s="145">
        <v>7.4121422023021326</v>
      </c>
      <c r="I296" s="146">
        <v>4.3122784455536332</v>
      </c>
      <c r="J296" s="147">
        <v>0.88069836593269835</v>
      </c>
      <c r="K296" s="148">
        <v>168</v>
      </c>
      <c r="M296" s="149">
        <f t="shared" si="32"/>
        <v>0.58178571428571424</v>
      </c>
      <c r="N296" s="138">
        <f t="shared" si="33"/>
        <v>4.3122784455536332</v>
      </c>
      <c r="O296" s="149"/>
      <c r="V296" s="158">
        <f t="shared" si="34"/>
        <v>117.44273644405422</v>
      </c>
      <c r="W296" s="158">
        <f t="shared" si="35"/>
        <v>37.515828178064943</v>
      </c>
      <c r="X296" s="158">
        <f t="shared" si="36"/>
        <v>20.040529187500994</v>
      </c>
      <c r="Y296" s="158">
        <f t="shared" si="37"/>
        <v>14.980127013919668</v>
      </c>
      <c r="Z296" s="158">
        <f t="shared" si="38"/>
        <v>6.3431326634870455</v>
      </c>
      <c r="AA296" s="158">
        <f t="shared" si="39"/>
        <v>0.75964675090089806</v>
      </c>
    </row>
    <row r="297" spans="1:27" ht="18.75" x14ac:dyDescent="0.3">
      <c r="A297" s="150">
        <v>80</v>
      </c>
      <c r="B297" s="151" t="s">
        <v>340</v>
      </c>
      <c r="C297" s="150">
        <v>55</v>
      </c>
      <c r="D297" s="151" t="s">
        <v>358</v>
      </c>
      <c r="E297" s="150">
        <v>588666</v>
      </c>
      <c r="F297" s="151" t="s">
        <v>370</v>
      </c>
      <c r="G297" s="152">
        <v>3.20739114918638</v>
      </c>
      <c r="H297" s="153">
        <v>17.147892926608552</v>
      </c>
      <c r="I297" s="154">
        <v>11.202250779146278</v>
      </c>
      <c r="J297" s="155">
        <v>0.69008336542788484</v>
      </c>
      <c r="K297" s="156">
        <v>22</v>
      </c>
      <c r="M297" s="149">
        <f t="shared" si="32"/>
        <v>0.65327272727272723</v>
      </c>
      <c r="N297" s="138">
        <f t="shared" si="33"/>
        <v>11.202250779146278</v>
      </c>
      <c r="O297" s="149"/>
      <c r="V297" s="158">
        <f t="shared" si="34"/>
        <v>139.16713570018698</v>
      </c>
      <c r="W297" s="158">
        <f t="shared" si="35"/>
        <v>18.29417148734602</v>
      </c>
      <c r="X297" s="158">
        <f t="shared" si="36"/>
        <v>-8.1336140397210865</v>
      </c>
      <c r="Y297" s="158">
        <f t="shared" si="37"/>
        <v>-15.786428643712917</v>
      </c>
      <c r="Z297" s="158">
        <f t="shared" si="38"/>
        <v>-28.848101260300147</v>
      </c>
      <c r="AA297" s="158">
        <f t="shared" si="39"/>
        <v>-37.291972136037614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topLeftCell="F43" workbookViewId="0">
      <selection activeCell="K3" sqref="K3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312" t="s">
        <v>446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M1" s="313" t="s">
        <v>447</v>
      </c>
      <c r="N1" s="313"/>
      <c r="O1" s="313"/>
      <c r="P1" s="313"/>
      <c r="Q1" s="313"/>
      <c r="R1" s="313"/>
      <c r="S1" s="313"/>
      <c r="T1" s="313"/>
      <c r="V1" s="314" t="s">
        <v>548</v>
      </c>
      <c r="W1" s="314"/>
      <c r="X1" s="314"/>
      <c r="Y1" s="314"/>
      <c r="Z1" s="314"/>
      <c r="AA1" s="314"/>
    </row>
    <row r="2" spans="1:27" x14ac:dyDescent="0.25">
      <c r="M2" t="s">
        <v>549</v>
      </c>
      <c r="N2" t="s">
        <v>550</v>
      </c>
      <c r="O2" t="s">
        <v>551</v>
      </c>
      <c r="Q2" t="s">
        <v>449</v>
      </c>
      <c r="T2">
        <f>'[1]CA UC'!O2</f>
        <v>44</v>
      </c>
    </row>
    <row r="3" spans="1:27" ht="15.75" thickBot="1" x14ac:dyDescent="0.3">
      <c r="M3" s="104">
        <f>SUM(H5:H297)</f>
        <v>3821.8248945879645</v>
      </c>
      <c r="N3" s="104">
        <f>SUM(I5:I297)</f>
        <v>2572.7263525507492</v>
      </c>
      <c r="O3" s="157">
        <f>N3/M3</f>
        <v>0.67316698789469731</v>
      </c>
      <c r="Q3" s="104" t="s">
        <v>450</v>
      </c>
      <c r="R3" s="104"/>
      <c r="S3" s="104"/>
      <c r="T3">
        <f>'[1]CA UC'!O3</f>
        <v>6</v>
      </c>
      <c r="V3">
        <v>18</v>
      </c>
      <c r="W3">
        <v>19</v>
      </c>
      <c r="X3">
        <v>20</v>
      </c>
      <c r="Y3">
        <v>21</v>
      </c>
      <c r="Z3">
        <v>22</v>
      </c>
      <c r="AA3">
        <v>23</v>
      </c>
    </row>
    <row r="4" spans="1:27" ht="30.75" thickBot="1" x14ac:dyDescent="0.3">
      <c r="A4" s="128"/>
      <c r="B4" s="129" t="s">
        <v>451</v>
      </c>
      <c r="C4" s="128" t="s">
        <v>452</v>
      </c>
      <c r="D4" s="129" t="s">
        <v>453</v>
      </c>
      <c r="E4" s="128" t="s">
        <v>452</v>
      </c>
      <c r="F4" s="129" t="s">
        <v>454</v>
      </c>
      <c r="G4" s="129" t="s">
        <v>455</v>
      </c>
      <c r="H4" s="130" t="s">
        <v>552</v>
      </c>
      <c r="I4" s="131" t="s">
        <v>457</v>
      </c>
      <c r="J4" s="131" t="s">
        <v>458</v>
      </c>
      <c r="K4" s="132" t="s">
        <v>459</v>
      </c>
      <c r="M4" s="133" t="s">
        <v>553</v>
      </c>
      <c r="N4" s="133" t="s">
        <v>457</v>
      </c>
      <c r="O4" s="133" t="s">
        <v>460</v>
      </c>
      <c r="P4" s="133" t="s">
        <v>461</v>
      </c>
      <c r="Q4" s="133" t="s">
        <v>462</v>
      </c>
      <c r="R4" s="133" t="s">
        <v>463</v>
      </c>
      <c r="S4" s="133" t="s">
        <v>464</v>
      </c>
      <c r="T4" s="133" t="s">
        <v>465</v>
      </c>
      <c r="V4" s="133" t="s">
        <v>466</v>
      </c>
      <c r="W4" s="133" t="s">
        <v>467</v>
      </c>
      <c r="X4" s="133" t="s">
        <v>468</v>
      </c>
      <c r="Y4" s="133" t="s">
        <v>469</v>
      </c>
      <c r="Z4" s="133" t="s">
        <v>470</v>
      </c>
      <c r="AA4" s="133" t="s">
        <v>471</v>
      </c>
    </row>
    <row r="5" spans="1:27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15.789873417721529</v>
      </c>
      <c r="I5" s="138">
        <v>10.263417721518994</v>
      </c>
      <c r="J5" s="139">
        <v>0.76835462779641306</v>
      </c>
      <c r="K5" s="140">
        <v>99</v>
      </c>
      <c r="M5" s="149">
        <f>IF(ISERROR(I5/H5),$O$3,(I5/H5))</f>
        <v>0.65</v>
      </c>
      <c r="N5" s="138">
        <f>I5</f>
        <v>10.263417721518994</v>
      </c>
      <c r="O5" s="138">
        <f>VLOOKUP(1,$K$5:$N$297,4,0)</f>
        <v>44.306595136719366</v>
      </c>
      <c r="P5" s="138">
        <f>VLOOKUP(10,$K$5:$N$297,4,0)</f>
        <v>20.42158157623382</v>
      </c>
      <c r="Q5" s="138">
        <f>VLOOKUP(30,$K$5:$N$297,4,0)</f>
        <v>15.916227726139519</v>
      </c>
      <c r="R5" s="138">
        <f>VLOOKUP(50,$K$5:$N$297,4,0)</f>
        <v>13.378568333588433</v>
      </c>
      <c r="S5" s="138">
        <f>VLOOKUP(100,$K$5:$N$297,4,0)</f>
        <v>10.227717933564922</v>
      </c>
      <c r="T5" s="138">
        <f>VLOOKUP(150,$K$5:$N$297,4,0)</f>
        <v>7.874708945559175</v>
      </c>
      <c r="V5" s="158">
        <f>(((($O$5-N5))/M5)*G5)+((((($O$5-N5)/$T$2))*$T$3/M5)*G5)</f>
        <v>113.07762169652014</v>
      </c>
      <c r="W5" s="158">
        <f>(((($P$5-N5))/M5)*G5)+((((($P$5-N5)/$T$2))*$T$3/M5)*G5)</f>
        <v>33.741298454175059</v>
      </c>
      <c r="X5" s="158">
        <f>(((($Q$5-N5))/M5)*G5)+((((($Q$5-N5)/$T$2))*$T$3/M5)*G5)</f>
        <v>18.776341098506762</v>
      </c>
      <c r="Y5" s="158">
        <f>(((($R$5-N5))/M5)*G5)+((((($R$5-N5)/$T$2))*$T$3/M5)*G5)</f>
        <v>10.347266300765124</v>
      </c>
      <c r="Z5" s="158">
        <f>(((($S$5-N5))/M5)*G5)+((((($S$5-N5)/$T$2))*$T$3/M5)*G5)</f>
        <v>-0.11858020970493099</v>
      </c>
      <c r="AA5" s="158">
        <f>(((($T$5-N5))/M5)*G5)+((((($T$5-N5)/$T$2))*$T$3/M5)*G5)</f>
        <v>-7.9343212890150934</v>
      </c>
    </row>
    <row r="6" spans="1:27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57</v>
      </c>
      <c r="G6" s="144">
        <v>9.1914924979441111</v>
      </c>
      <c r="H6" s="145">
        <v>15.122680025152667</v>
      </c>
      <c r="I6" s="146">
        <v>10.463480226036387</v>
      </c>
      <c r="J6" s="147">
        <v>0.76383921640223906</v>
      </c>
      <c r="K6" s="148">
        <v>94</v>
      </c>
      <c r="M6" s="149">
        <f t="shared" ref="M6:M69" si="0">IF(ISERROR(I6/H6),$O$3,(I6/H6))</f>
        <v>0.69190647482014389</v>
      </c>
      <c r="N6" s="138">
        <f t="shared" ref="N6:N69" si="1">I6</f>
        <v>10.463480226036387</v>
      </c>
      <c r="O6" s="149"/>
      <c r="V6" s="158">
        <f t="shared" ref="V6:V69" si="2">(((($O$5-N6))/M6)*G6)+((((($O$5-N6)/$T$2))*$T$3/M6)*G6)</f>
        <v>510.88870213384484</v>
      </c>
      <c r="W6" s="158">
        <f t="shared" ref="W6:W69" si="3">(((($P$5-N6))/M6)*G6)+((((($P$5-N6)/$T$2))*$T$3/M6)*G6)</f>
        <v>150.32544988681673</v>
      </c>
      <c r="X6" s="158">
        <f t="shared" ref="X6:X69" si="4">(((($Q$5-N6))/M6)*G6)+((((($Q$5-N6)/$T$2))*$T$3/M6)*G6)</f>
        <v>82.313554787827826</v>
      </c>
      <c r="Y6" s="158">
        <f t="shared" ref="Y6:Y69" si="5">(((($R$5-N6))/M6)*G6)+((((($R$5-N6)/$T$2))*$T$3/M6)*G6)</f>
        <v>44.005570521611773</v>
      </c>
      <c r="Z6" s="158">
        <f t="shared" ref="Z6:Z69" si="6">(((($S$5-N6))/M6)*G6)+((((($S$5-N6)/$T$2))*$T$3/M6)*G6)</f>
        <v>-3.5590190776093666</v>
      </c>
      <c r="AA6" s="158">
        <f t="shared" ref="AA6:AA69" si="7">(((($T$5-N6))/M6)*G6)+((((($T$5-N6)/$T$2))*$T$3/M6)*G6)</f>
        <v>-39.079558814099833</v>
      </c>
    </row>
    <row r="7" spans="1:27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58</v>
      </c>
      <c r="G7" s="144">
        <v>2.4137029144041779</v>
      </c>
      <c r="H7" s="145">
        <v>-5.8002167194863317</v>
      </c>
      <c r="I7" s="146">
        <v>-3.7701408676661159</v>
      </c>
      <c r="J7" s="147">
        <v>1.0850920919567928</v>
      </c>
      <c r="K7" s="148">
        <v>293</v>
      </c>
      <c r="M7" s="149">
        <f t="shared" si="0"/>
        <v>0.65</v>
      </c>
      <c r="N7" s="138">
        <f t="shared" si="1"/>
        <v>-3.7701408676661159</v>
      </c>
      <c r="O7" s="149"/>
      <c r="V7" s="158">
        <f t="shared" si="2"/>
        <v>202.87230386158302</v>
      </c>
      <c r="W7" s="158">
        <f t="shared" si="3"/>
        <v>102.08327092185004</v>
      </c>
      <c r="X7" s="158">
        <f t="shared" si="4"/>
        <v>83.071757428153035</v>
      </c>
      <c r="Y7" s="158">
        <f t="shared" si="5"/>
        <v>72.363442967373857</v>
      </c>
      <c r="Z7" s="158">
        <f t="shared" si="6"/>
        <v>59.067609412499181</v>
      </c>
      <c r="AA7" s="158">
        <f t="shared" si="7"/>
        <v>49.138475405560897</v>
      </c>
    </row>
    <row r="8" spans="1:27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59</v>
      </c>
      <c r="G8" s="144">
        <v>2.8152337732047874</v>
      </c>
      <c r="H8" s="145">
        <v>-1.0656308646741188</v>
      </c>
      <c r="I8" s="146">
        <v>-0.44401286028088288</v>
      </c>
      <c r="J8" s="147">
        <v>1.0100213717373401</v>
      </c>
      <c r="K8" s="148">
        <v>290</v>
      </c>
      <c r="M8" s="149">
        <f t="shared" si="0"/>
        <v>0.41666666666666669</v>
      </c>
      <c r="N8" s="138">
        <f t="shared" si="1"/>
        <v>-0.44401286028088288</v>
      </c>
      <c r="O8" s="149"/>
      <c r="V8" s="158">
        <f t="shared" si="2"/>
        <v>343.59115364891824</v>
      </c>
      <c r="W8" s="158">
        <f t="shared" si="3"/>
        <v>160.20416224273663</v>
      </c>
      <c r="X8" s="158">
        <f t="shared" si="4"/>
        <v>125.61245955449021</v>
      </c>
      <c r="Y8" s="158">
        <f t="shared" si="5"/>
        <v>106.12853839048978</v>
      </c>
      <c r="Z8" s="158">
        <f t="shared" si="6"/>
        <v>81.936591680138847</v>
      </c>
      <c r="AA8" s="158">
        <f t="shared" si="7"/>
        <v>63.870399757352857</v>
      </c>
    </row>
    <row r="9" spans="1:27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60</v>
      </c>
      <c r="G9" s="144">
        <v>6.6773487932149918</v>
      </c>
      <c r="H9" s="145">
        <v>5.6908813927187207</v>
      </c>
      <c r="I9" s="146">
        <v>3.803904930922513</v>
      </c>
      <c r="J9" s="147">
        <v>0.91414585302290574</v>
      </c>
      <c r="K9" s="148">
        <v>242</v>
      </c>
      <c r="M9" s="149">
        <f t="shared" si="0"/>
        <v>0.66842105263157892</v>
      </c>
      <c r="N9" s="138">
        <f t="shared" si="1"/>
        <v>3.803904930922513</v>
      </c>
      <c r="O9" s="149"/>
      <c r="V9" s="158">
        <f t="shared" si="2"/>
        <v>459.78536164863345</v>
      </c>
      <c r="W9" s="158">
        <f t="shared" si="3"/>
        <v>188.6433821383788</v>
      </c>
      <c r="X9" s="158">
        <f t="shared" si="4"/>
        <v>137.49873621991603</v>
      </c>
      <c r="Y9" s="158">
        <f t="shared" si="5"/>
        <v>108.69130057510644</v>
      </c>
      <c r="Z9" s="158">
        <f t="shared" si="6"/>
        <v>72.922938441269523</v>
      </c>
      <c r="AA9" s="158">
        <f t="shared" si="7"/>
        <v>46.211648820367607</v>
      </c>
    </row>
    <row r="10" spans="1:27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472</v>
      </c>
      <c r="G10" s="144">
        <v>2.0789473684210522</v>
      </c>
      <c r="H10" s="145">
        <v>12.506329113924053</v>
      </c>
      <c r="I10" s="146">
        <v>8.1291139240506336</v>
      </c>
      <c r="J10" s="147">
        <v>0.81652587162326129</v>
      </c>
      <c r="K10" s="148">
        <v>145</v>
      </c>
      <c r="M10" s="149">
        <f t="shared" si="0"/>
        <v>0.64999999999999991</v>
      </c>
      <c r="N10" s="138">
        <f t="shared" si="1"/>
        <v>8.1291139240506336</v>
      </c>
      <c r="O10" s="149"/>
      <c r="V10" s="158">
        <f t="shared" si="2"/>
        <v>131.48790098457994</v>
      </c>
      <c r="W10" s="158">
        <f t="shared" si="3"/>
        <v>44.67726097361389</v>
      </c>
      <c r="X10" s="158">
        <f t="shared" si="4"/>
        <v>28.302447109174732</v>
      </c>
      <c r="Y10" s="158">
        <f t="shared" si="5"/>
        <v>19.07926473838269</v>
      </c>
      <c r="Z10" s="158">
        <f t="shared" si="6"/>
        <v>7.6274253198209756</v>
      </c>
      <c r="AA10" s="158">
        <f t="shared" si="7"/>
        <v>-0.92464084011893766</v>
      </c>
    </row>
    <row r="11" spans="1:27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62</v>
      </c>
      <c r="G11" s="144">
        <v>5.4163613696573032</v>
      </c>
      <c r="H11" s="145">
        <v>12.000676388420626</v>
      </c>
      <c r="I11" s="146">
        <v>7.8004396524734068</v>
      </c>
      <c r="J11" s="147">
        <v>0.823944051028901</v>
      </c>
      <c r="K11" s="148">
        <v>154</v>
      </c>
      <c r="M11" s="149">
        <f t="shared" si="0"/>
        <v>0.65</v>
      </c>
      <c r="N11" s="138">
        <f t="shared" si="1"/>
        <v>7.8004396524734068</v>
      </c>
      <c r="O11" s="149"/>
      <c r="V11" s="158">
        <f t="shared" si="2"/>
        <v>345.68274531393865</v>
      </c>
      <c r="W11" s="158">
        <f t="shared" si="3"/>
        <v>119.5116530713604</v>
      </c>
      <c r="X11" s="158">
        <f t="shared" si="4"/>
        <v>76.84972203938915</v>
      </c>
      <c r="Y11" s="158">
        <f t="shared" si="5"/>
        <v>52.820211019875643</v>
      </c>
      <c r="Z11" s="158">
        <f t="shared" si="6"/>
        <v>22.984294257189269</v>
      </c>
      <c r="AA11" s="158">
        <f t="shared" si="7"/>
        <v>0.70326805947816662</v>
      </c>
    </row>
    <row r="12" spans="1:27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63</v>
      </c>
      <c r="G12" s="144">
        <v>2.5347178251492424</v>
      </c>
      <c r="H12" s="145">
        <v>13.019200667063201</v>
      </c>
      <c r="I12" s="146">
        <v>8.9654950048185231</v>
      </c>
      <c r="J12" s="147">
        <v>0.79764874784096618</v>
      </c>
      <c r="K12" s="148">
        <v>119</v>
      </c>
      <c r="M12" s="149">
        <f t="shared" si="0"/>
        <v>0.68863636363636371</v>
      </c>
      <c r="N12" s="138">
        <f t="shared" si="1"/>
        <v>8.9654950048185231</v>
      </c>
      <c r="O12" s="149"/>
      <c r="V12" s="158">
        <f t="shared" si="2"/>
        <v>147.82131429820677</v>
      </c>
      <c r="W12" s="158">
        <f t="shared" si="3"/>
        <v>47.917404024784183</v>
      </c>
      <c r="X12" s="158">
        <f t="shared" si="4"/>
        <v>29.072848393697075</v>
      </c>
      <c r="Y12" s="158">
        <f t="shared" si="5"/>
        <v>18.458573647068963</v>
      </c>
      <c r="Z12" s="158">
        <f t="shared" si="6"/>
        <v>5.279503229052108</v>
      </c>
      <c r="AA12" s="158">
        <f t="shared" si="7"/>
        <v>-4.5624337752953261</v>
      </c>
    </row>
    <row r="13" spans="1:27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64</v>
      </c>
      <c r="G13" s="144">
        <v>2.8184251680890458</v>
      </c>
      <c r="H13" s="145">
        <v>13.127898664447002</v>
      </c>
      <c r="I13" s="146">
        <v>8.781499782299008</v>
      </c>
      <c r="J13" s="147">
        <v>0.80180152062686294</v>
      </c>
      <c r="K13" s="148">
        <v>125</v>
      </c>
      <c r="M13" s="149">
        <f t="shared" si="0"/>
        <v>0.66891891891891886</v>
      </c>
      <c r="N13" s="138">
        <f t="shared" si="1"/>
        <v>8.781499782299008</v>
      </c>
      <c r="O13" s="149"/>
      <c r="V13" s="158">
        <f t="shared" si="2"/>
        <v>170.09267425571528</v>
      </c>
      <c r="W13" s="158">
        <f t="shared" si="3"/>
        <v>55.732225941492914</v>
      </c>
      <c r="X13" s="158">
        <f t="shared" si="4"/>
        <v>34.160779695241843</v>
      </c>
      <c r="Y13" s="158">
        <f t="shared" si="5"/>
        <v>22.010572408734447</v>
      </c>
      <c r="Z13" s="158">
        <f t="shared" si="6"/>
        <v>6.924432164131189</v>
      </c>
      <c r="AA13" s="158">
        <f t="shared" si="7"/>
        <v>-4.3416766900377688</v>
      </c>
    </row>
    <row r="14" spans="1:27" ht="19.5" thickBot="1" x14ac:dyDescent="0.35">
      <c r="A14" s="142">
        <v>50</v>
      </c>
      <c r="B14" s="143" t="s">
        <v>4</v>
      </c>
      <c r="C14" s="142">
        <v>14</v>
      </c>
      <c r="D14" s="143" t="s">
        <v>65</v>
      </c>
      <c r="E14" s="142">
        <v>510530</v>
      </c>
      <c r="F14" s="143" t="s">
        <v>66</v>
      </c>
      <c r="G14" s="144">
        <v>3.6851069298474619</v>
      </c>
      <c r="H14" s="145">
        <v>13.296764770412853</v>
      </c>
      <c r="I14" s="146">
        <v>8.9278277744200576</v>
      </c>
      <c r="J14" s="147">
        <v>0.79849889735668123</v>
      </c>
      <c r="K14" s="148">
        <v>121</v>
      </c>
      <c r="M14" s="149">
        <f t="shared" si="0"/>
        <v>0.67142857142857137</v>
      </c>
      <c r="N14" s="138">
        <f t="shared" si="1"/>
        <v>8.9278277744200576</v>
      </c>
      <c r="O14" s="149"/>
      <c r="V14" s="158">
        <f t="shared" si="2"/>
        <v>220.65323632347503</v>
      </c>
      <c r="W14" s="158">
        <f t="shared" si="3"/>
        <v>71.685198862468937</v>
      </c>
      <c r="X14" s="158">
        <f t="shared" si="4"/>
        <v>43.585833567308853</v>
      </c>
      <c r="Y14" s="158">
        <f t="shared" si="5"/>
        <v>27.758748583851997</v>
      </c>
      <c r="Z14" s="158">
        <f t="shared" si="6"/>
        <v>8.1072629677313373</v>
      </c>
      <c r="AA14" s="158">
        <f t="shared" si="7"/>
        <v>-6.5681790278811834</v>
      </c>
    </row>
    <row r="15" spans="1:27" ht="19.5" thickBot="1" x14ac:dyDescent="0.35">
      <c r="A15" s="142">
        <v>50</v>
      </c>
      <c r="B15" s="143" t="s">
        <v>4</v>
      </c>
      <c r="C15" s="142">
        <v>14</v>
      </c>
      <c r="D15" s="143" t="s">
        <v>65</v>
      </c>
      <c r="E15" s="142">
        <v>410550</v>
      </c>
      <c r="F15" s="143" t="s">
        <v>67</v>
      </c>
      <c r="G15" s="144">
        <v>2.9880840429759532</v>
      </c>
      <c r="H15" s="145">
        <v>9.7052156441750324</v>
      </c>
      <c r="I15" s="146">
        <v>6.425522081660711</v>
      </c>
      <c r="J15" s="147">
        <v>0.85497594518754794</v>
      </c>
      <c r="K15" s="148">
        <v>188</v>
      </c>
      <c r="M15" s="149">
        <f t="shared" si="0"/>
        <v>0.66206896551724137</v>
      </c>
      <c r="N15" s="138">
        <f t="shared" si="1"/>
        <v>6.425522081660711</v>
      </c>
      <c r="O15" s="149"/>
      <c r="V15" s="158">
        <f t="shared" si="2"/>
        <v>194.28048460417767</v>
      </c>
      <c r="W15" s="158">
        <f t="shared" si="3"/>
        <v>71.78152575568204</v>
      </c>
      <c r="X15" s="158">
        <f t="shared" si="4"/>
        <v>48.674938251220361</v>
      </c>
      <c r="Y15" s="158">
        <f t="shared" si="5"/>
        <v>35.660056232736189</v>
      </c>
      <c r="Z15" s="158">
        <f t="shared" si="6"/>
        <v>19.500304323330116</v>
      </c>
      <c r="AA15" s="158">
        <f t="shared" si="7"/>
        <v>7.4324379827092546</v>
      </c>
    </row>
    <row r="16" spans="1:27" ht="19.5" thickBot="1" x14ac:dyDescent="0.35">
      <c r="A16" s="142">
        <v>50</v>
      </c>
      <c r="B16" s="143" t="s">
        <v>4</v>
      </c>
      <c r="C16" s="142">
        <v>14</v>
      </c>
      <c r="D16" s="143" t="s">
        <v>65</v>
      </c>
      <c r="E16" s="142">
        <v>510556</v>
      </c>
      <c r="F16" s="143" t="s">
        <v>68</v>
      </c>
      <c r="G16" s="144">
        <v>3.73188092915326</v>
      </c>
      <c r="H16" s="145">
        <v>7.5029189118188242</v>
      </c>
      <c r="I16" s="146">
        <v>5.4061210373551711</v>
      </c>
      <c r="J16" s="147">
        <v>0.87798383015726678</v>
      </c>
      <c r="K16" s="148">
        <v>209</v>
      </c>
      <c r="M16" s="149">
        <f t="shared" si="0"/>
        <v>0.72053571428571439</v>
      </c>
      <c r="N16" s="138">
        <f t="shared" si="1"/>
        <v>5.4061210373551711</v>
      </c>
      <c r="O16" s="149"/>
      <c r="V16" s="158">
        <f t="shared" si="2"/>
        <v>228.95202477978211</v>
      </c>
      <c r="W16" s="158">
        <f t="shared" si="3"/>
        <v>88.374760795868383</v>
      </c>
      <c r="X16" s="158">
        <f t="shared" si="4"/>
        <v>61.858120312421512</v>
      </c>
      <c r="Y16" s="158">
        <f t="shared" si="5"/>
        <v>46.922511696394416</v>
      </c>
      <c r="Z16" s="158">
        <f t="shared" si="6"/>
        <v>28.377915632580379</v>
      </c>
      <c r="AA16" s="158">
        <f t="shared" si="7"/>
        <v>14.52908256301769</v>
      </c>
    </row>
    <row r="17" spans="1:27" ht="19.5" thickBot="1" x14ac:dyDescent="0.35">
      <c r="A17" s="142">
        <v>50</v>
      </c>
      <c r="B17" s="143" t="s">
        <v>4</v>
      </c>
      <c r="C17" s="142">
        <v>14</v>
      </c>
      <c r="D17" s="143" t="s">
        <v>65</v>
      </c>
      <c r="E17" s="142">
        <v>410551</v>
      </c>
      <c r="F17" s="143" t="s">
        <v>473</v>
      </c>
      <c r="G17" s="144">
        <v>2.4135234435568145</v>
      </c>
      <c r="H17" s="145">
        <v>12.015628055082258</v>
      </c>
      <c r="I17" s="146">
        <v>7.8101582358034678</v>
      </c>
      <c r="J17" s="147">
        <v>0.82372470257072961</v>
      </c>
      <c r="K17" s="148">
        <v>153</v>
      </c>
      <c r="M17" s="149">
        <f t="shared" si="0"/>
        <v>0.65</v>
      </c>
      <c r="N17" s="138">
        <f t="shared" si="1"/>
        <v>7.8101582358034678</v>
      </c>
      <c r="O17" s="149"/>
      <c r="V17" s="158">
        <f t="shared" si="2"/>
        <v>153.99476585079111</v>
      </c>
      <c r="W17" s="158">
        <f t="shared" si="3"/>
        <v>53.213227078231206</v>
      </c>
      <c r="X17" s="158">
        <f t="shared" si="4"/>
        <v>34.20312718536136</v>
      </c>
      <c r="Y17" s="158">
        <f t="shared" si="5"/>
        <v>23.495608941158228</v>
      </c>
      <c r="Z17" s="158">
        <f t="shared" si="6"/>
        <v>10.200763997806636</v>
      </c>
      <c r="AA17" s="158">
        <f t="shared" si="7"/>
        <v>0.2723682714923617</v>
      </c>
    </row>
    <row r="18" spans="1:27" ht="19.5" thickBot="1" x14ac:dyDescent="0.35">
      <c r="A18" s="142">
        <v>50</v>
      </c>
      <c r="B18" s="143" t="s">
        <v>4</v>
      </c>
      <c r="C18" s="142">
        <v>14</v>
      </c>
      <c r="D18" s="143" t="s">
        <v>65</v>
      </c>
      <c r="E18" s="142">
        <v>510523</v>
      </c>
      <c r="F18" s="143" t="s">
        <v>70</v>
      </c>
      <c r="G18" s="144">
        <v>5.7520380455864339</v>
      </c>
      <c r="H18" s="145">
        <v>12.865005310036249</v>
      </c>
      <c r="I18" s="146">
        <v>8.2796740255469778</v>
      </c>
      <c r="J18" s="147">
        <v>0.81312772963036484</v>
      </c>
      <c r="K18" s="148">
        <v>138</v>
      </c>
      <c r="M18" s="149">
        <f t="shared" si="0"/>
        <v>0.64358108108108103</v>
      </c>
      <c r="N18" s="138">
        <f t="shared" si="1"/>
        <v>8.2796740255469778</v>
      </c>
      <c r="O18" s="149"/>
      <c r="V18" s="158">
        <f t="shared" si="2"/>
        <v>365.90046161688247</v>
      </c>
      <c r="W18" s="158">
        <f t="shared" si="3"/>
        <v>123.31693746452515</v>
      </c>
      <c r="X18" s="158">
        <f t="shared" si="4"/>
        <v>77.559181801477948</v>
      </c>
      <c r="Y18" s="158">
        <f t="shared" si="5"/>
        <v>51.785934615142303</v>
      </c>
      <c r="Z18" s="158">
        <f t="shared" si="6"/>
        <v>19.784931468170239</v>
      </c>
      <c r="AA18" s="158">
        <f t="shared" si="7"/>
        <v>-4.1129495703784507</v>
      </c>
    </row>
    <row r="19" spans="1:27" ht="19.5" thickBot="1" x14ac:dyDescent="0.35">
      <c r="A19" s="142">
        <v>50</v>
      </c>
      <c r="B19" s="143" t="s">
        <v>4</v>
      </c>
      <c r="C19" s="142">
        <v>14</v>
      </c>
      <c r="D19" s="143" t="s">
        <v>65</v>
      </c>
      <c r="E19" s="142">
        <v>510570</v>
      </c>
      <c r="F19" s="143" t="s">
        <v>71</v>
      </c>
      <c r="G19" s="144">
        <v>3.7144129870129854</v>
      </c>
      <c r="H19" s="145">
        <v>9.9611971338045109</v>
      </c>
      <c r="I19" s="146">
        <v>6.4747781369729323</v>
      </c>
      <c r="J19" s="147">
        <v>0.85386423585488025</v>
      </c>
      <c r="K19" s="148">
        <v>185</v>
      </c>
      <c r="M19" s="149">
        <f t="shared" si="0"/>
        <v>0.65</v>
      </c>
      <c r="N19" s="138">
        <f t="shared" si="1"/>
        <v>6.4747781369729323</v>
      </c>
      <c r="O19" s="149"/>
      <c r="V19" s="158">
        <f t="shared" si="2"/>
        <v>245.66956710866572</v>
      </c>
      <c r="W19" s="158">
        <f t="shared" si="3"/>
        <v>90.56676192676224</v>
      </c>
      <c r="X19" s="158">
        <f t="shared" si="4"/>
        <v>61.310214982917458</v>
      </c>
      <c r="Y19" s="158">
        <f t="shared" si="5"/>
        <v>44.831342597764944</v>
      </c>
      <c r="Z19" s="158">
        <f t="shared" si="6"/>
        <v>24.370573985907615</v>
      </c>
      <c r="AA19" s="158">
        <f t="shared" si="7"/>
        <v>9.0907712872942827</v>
      </c>
    </row>
    <row r="20" spans="1:27" ht="19.5" thickBot="1" x14ac:dyDescent="0.35">
      <c r="A20" s="142">
        <v>50</v>
      </c>
      <c r="B20" s="143" t="s">
        <v>4</v>
      </c>
      <c r="C20" s="142">
        <v>14</v>
      </c>
      <c r="D20" s="143" t="s">
        <v>65</v>
      </c>
      <c r="E20" s="142">
        <v>410571</v>
      </c>
      <c r="F20" s="143" t="s">
        <v>474</v>
      </c>
      <c r="G20" s="144">
        <v>6.6311696410441163</v>
      </c>
      <c r="H20" s="145">
        <v>16.135916556517504</v>
      </c>
      <c r="I20" s="146">
        <v>10.541126797201624</v>
      </c>
      <c r="J20" s="147">
        <v>0.7620867330320853</v>
      </c>
      <c r="K20" s="148">
        <v>91</v>
      </c>
      <c r="M20" s="149">
        <f t="shared" si="0"/>
        <v>0.65327102803738335</v>
      </c>
      <c r="N20" s="138">
        <f t="shared" si="1"/>
        <v>10.541126797201624</v>
      </c>
      <c r="O20" s="149"/>
      <c r="V20" s="158">
        <f t="shared" si="2"/>
        <v>389.48151087340926</v>
      </c>
      <c r="W20" s="158">
        <f t="shared" si="3"/>
        <v>113.97011931713723</v>
      </c>
      <c r="X20" s="158">
        <f t="shared" si="4"/>
        <v>62.001285154681135</v>
      </c>
      <c r="Y20" s="158">
        <f t="shared" si="5"/>
        <v>32.729622035584242</v>
      </c>
      <c r="Z20" s="158">
        <f t="shared" si="6"/>
        <v>-3.6151418515193212</v>
      </c>
      <c r="AA20" s="158">
        <f t="shared" si="7"/>
        <v>-30.756879870139063</v>
      </c>
    </row>
    <row r="21" spans="1:27" ht="19.5" thickBot="1" x14ac:dyDescent="0.35">
      <c r="A21" s="142">
        <v>50</v>
      </c>
      <c r="B21" s="143" t="s">
        <v>4</v>
      </c>
      <c r="C21" s="142">
        <v>14</v>
      </c>
      <c r="D21" s="143" t="s">
        <v>65</v>
      </c>
      <c r="E21" s="142">
        <v>510520</v>
      </c>
      <c r="F21" s="143" t="s">
        <v>73</v>
      </c>
      <c r="G21" s="144">
        <v>4.317006661822929</v>
      </c>
      <c r="H21" s="145">
        <v>13.666877218828811</v>
      </c>
      <c r="I21" s="146">
        <v>8.9124254405837036</v>
      </c>
      <c r="J21" s="147">
        <v>0.79884652808273515</v>
      </c>
      <c r="K21" s="148">
        <v>122</v>
      </c>
      <c r="M21" s="149">
        <f t="shared" si="0"/>
        <v>0.65211864406779663</v>
      </c>
      <c r="N21" s="138">
        <f t="shared" si="1"/>
        <v>8.9124254405837036</v>
      </c>
      <c r="O21" s="149"/>
      <c r="V21" s="158">
        <f t="shared" si="2"/>
        <v>266.25952849272323</v>
      </c>
      <c r="W21" s="158">
        <f t="shared" si="3"/>
        <v>86.579866467722411</v>
      </c>
      <c r="X21" s="158">
        <f t="shared" si="4"/>
        <v>52.68746548423627</v>
      </c>
      <c r="Y21" s="158">
        <f t="shared" si="5"/>
        <v>33.597428929160557</v>
      </c>
      <c r="Z21" s="158">
        <f t="shared" si="6"/>
        <v>9.8945437064295216</v>
      </c>
      <c r="AA21" s="158">
        <f t="shared" si="7"/>
        <v>-7.8064242514076847</v>
      </c>
    </row>
    <row r="22" spans="1:27" ht="19.5" thickBot="1" x14ac:dyDescent="0.35">
      <c r="A22" s="142">
        <v>50</v>
      </c>
      <c r="B22" s="143" t="s">
        <v>4</v>
      </c>
      <c r="C22" s="142">
        <v>14</v>
      </c>
      <c r="D22" s="143" t="s">
        <v>65</v>
      </c>
      <c r="E22" s="142">
        <v>410524</v>
      </c>
      <c r="F22" s="143" t="s">
        <v>75</v>
      </c>
      <c r="G22" s="144">
        <v>5.2411436324383089</v>
      </c>
      <c r="H22" s="145">
        <v>7.6319221157064563</v>
      </c>
      <c r="I22" s="146">
        <v>5.0943080122340598</v>
      </c>
      <c r="J22" s="147">
        <v>0.88502145117415898</v>
      </c>
      <c r="K22" s="148">
        <v>217</v>
      </c>
      <c r="M22" s="149">
        <f t="shared" si="0"/>
        <v>0.66749999999999998</v>
      </c>
      <c r="N22" s="138">
        <f t="shared" si="1"/>
        <v>5.0943080122340598</v>
      </c>
      <c r="O22" s="149"/>
      <c r="V22" s="158">
        <f t="shared" si="2"/>
        <v>349.87611333986871</v>
      </c>
      <c r="W22" s="158">
        <f t="shared" si="3"/>
        <v>136.75935008954269</v>
      </c>
      <c r="X22" s="158">
        <f t="shared" si="4"/>
        <v>96.559815456748737</v>
      </c>
      <c r="Y22" s="158">
        <f t="shared" si="5"/>
        <v>73.917259504133156</v>
      </c>
      <c r="Z22" s="158">
        <f t="shared" si="6"/>
        <v>45.803436707318504</v>
      </c>
      <c r="AA22" s="158">
        <f t="shared" si="7"/>
        <v>24.808445092479502</v>
      </c>
    </row>
    <row r="23" spans="1:27" ht="19.5" thickBot="1" x14ac:dyDescent="0.35">
      <c r="A23" s="142">
        <v>50</v>
      </c>
      <c r="B23" s="143" t="s">
        <v>4</v>
      </c>
      <c r="C23" s="142">
        <v>14</v>
      </c>
      <c r="D23" s="143" t="s">
        <v>65</v>
      </c>
      <c r="E23" s="142">
        <v>410521</v>
      </c>
      <c r="F23" s="143" t="s">
        <v>74</v>
      </c>
      <c r="G23" s="144">
        <v>4.4760896212509138</v>
      </c>
      <c r="H23" s="145">
        <v>0.44681857809653697</v>
      </c>
      <c r="I23" s="146">
        <v>0.368625326929643</v>
      </c>
      <c r="J23" s="147">
        <v>0.99168012514181791</v>
      </c>
      <c r="K23" s="148">
        <v>281</v>
      </c>
      <c r="M23" s="149">
        <f t="shared" si="0"/>
        <v>0.82500000000000007</v>
      </c>
      <c r="N23" s="138">
        <f t="shared" si="1"/>
        <v>0.368625326929643</v>
      </c>
      <c r="O23" s="149"/>
      <c r="V23" s="158">
        <f t="shared" si="2"/>
        <v>270.89571714109604</v>
      </c>
      <c r="W23" s="158">
        <f t="shared" si="3"/>
        <v>123.63475116103179</v>
      </c>
      <c r="X23" s="158">
        <f t="shared" si="4"/>
        <v>95.857385309144817</v>
      </c>
      <c r="Y23" s="158">
        <f t="shared" si="5"/>
        <v>80.211667858362688</v>
      </c>
      <c r="Z23" s="158">
        <f t="shared" si="6"/>
        <v>60.785374781696675</v>
      </c>
      <c r="AA23" s="158">
        <f t="shared" si="7"/>
        <v>46.278103280425825</v>
      </c>
    </row>
    <row r="24" spans="1:27" ht="19.5" thickBot="1" x14ac:dyDescent="0.35">
      <c r="A24" s="142">
        <v>50</v>
      </c>
      <c r="B24" s="143" t="s">
        <v>4</v>
      </c>
      <c r="C24" s="142">
        <v>14</v>
      </c>
      <c r="D24" s="143" t="s">
        <v>65</v>
      </c>
      <c r="E24" s="142">
        <v>510513</v>
      </c>
      <c r="F24" s="143" t="s">
        <v>475</v>
      </c>
      <c r="G24" s="144">
        <v>4.2224398656301876</v>
      </c>
      <c r="H24" s="145">
        <v>0.47365979472664566</v>
      </c>
      <c r="I24" s="146">
        <v>0.17170167558840904</v>
      </c>
      <c r="J24" s="147">
        <v>0.99612469260933778</v>
      </c>
      <c r="K24" s="148">
        <v>285</v>
      </c>
      <c r="M24" s="149">
        <f t="shared" si="0"/>
        <v>0.36249999999999999</v>
      </c>
      <c r="N24" s="138">
        <f t="shared" si="1"/>
        <v>0.17170167558840904</v>
      </c>
      <c r="O24" s="149"/>
      <c r="V24" s="158">
        <f t="shared" si="2"/>
        <v>584.1910144690296</v>
      </c>
      <c r="W24" s="158">
        <f t="shared" si="3"/>
        <v>268.03730459783276</v>
      </c>
      <c r="X24" s="158">
        <f t="shared" si="4"/>
        <v>208.40223969059571</v>
      </c>
      <c r="Y24" s="158">
        <f t="shared" si="5"/>
        <v>174.81254005266902</v>
      </c>
      <c r="Z24" s="158">
        <f t="shared" si="6"/>
        <v>133.10634463042425</v>
      </c>
      <c r="AA24" s="158">
        <f t="shared" si="7"/>
        <v>101.96076796853832</v>
      </c>
    </row>
    <row r="25" spans="1:27" ht="19.5" thickBot="1" x14ac:dyDescent="0.35">
      <c r="A25" s="142">
        <v>50</v>
      </c>
      <c r="B25" s="143" t="s">
        <v>4</v>
      </c>
      <c r="C25" s="142">
        <v>14</v>
      </c>
      <c r="D25" s="143" t="s">
        <v>65</v>
      </c>
      <c r="E25" s="142">
        <v>510511</v>
      </c>
      <c r="F25" s="143" t="s">
        <v>77</v>
      </c>
      <c r="G25" s="144">
        <v>3.24608091615878</v>
      </c>
      <c r="H25" s="145">
        <v>15.403189658983313</v>
      </c>
      <c r="I25" s="146">
        <v>10.227717933564922</v>
      </c>
      <c r="J25" s="147">
        <v>0.76916037212959676</v>
      </c>
      <c r="K25" s="148">
        <v>100</v>
      </c>
      <c r="M25" s="149">
        <f t="shared" si="0"/>
        <v>0.66400000000000003</v>
      </c>
      <c r="N25" s="138">
        <f t="shared" si="1"/>
        <v>10.227717933564922</v>
      </c>
      <c r="O25" s="149"/>
      <c r="V25" s="158">
        <f t="shared" si="2"/>
        <v>189.31885428066497</v>
      </c>
      <c r="W25" s="158">
        <f t="shared" si="3"/>
        <v>56.630110611295756</v>
      </c>
      <c r="X25" s="158">
        <f t="shared" si="4"/>
        <v>31.601456529057263</v>
      </c>
      <c r="Y25" s="158">
        <f t="shared" si="5"/>
        <v>17.503962474650152</v>
      </c>
      <c r="Z25" s="158">
        <f t="shared" si="6"/>
        <v>0</v>
      </c>
      <c r="AA25" s="158">
        <f t="shared" si="7"/>
        <v>-13.071703127593675</v>
      </c>
    </row>
    <row r="26" spans="1:27" ht="19.5" thickBot="1" x14ac:dyDescent="0.35">
      <c r="A26" s="142">
        <v>50</v>
      </c>
      <c r="B26" s="143" t="s">
        <v>4</v>
      </c>
      <c r="C26" s="142">
        <v>14</v>
      </c>
      <c r="D26" s="143" t="s">
        <v>65</v>
      </c>
      <c r="E26" s="142">
        <v>510522</v>
      </c>
      <c r="F26" s="143" t="s">
        <v>78</v>
      </c>
      <c r="G26" s="144">
        <v>2.5803141951809545</v>
      </c>
      <c r="H26" s="145">
        <v>10.076292278110206</v>
      </c>
      <c r="I26" s="146">
        <v>6.6852323768231168</v>
      </c>
      <c r="J26" s="147">
        <v>0.84911428295958835</v>
      </c>
      <c r="K26" s="148">
        <v>181</v>
      </c>
      <c r="M26" s="149">
        <f t="shared" si="0"/>
        <v>0.66346153846153844</v>
      </c>
      <c r="N26" s="138">
        <f t="shared" si="1"/>
        <v>6.6852323768231168</v>
      </c>
      <c r="O26" s="149"/>
      <c r="V26" s="158">
        <f t="shared" si="2"/>
        <v>166.26800696025845</v>
      </c>
      <c r="W26" s="158">
        <f t="shared" si="3"/>
        <v>60.707939233152267</v>
      </c>
      <c r="X26" s="158">
        <f t="shared" si="4"/>
        <v>40.79648068002323</v>
      </c>
      <c r="Y26" s="158">
        <f t="shared" si="5"/>
        <v>29.581268401928369</v>
      </c>
      <c r="Z26" s="158">
        <f t="shared" si="6"/>
        <v>15.656052040539791</v>
      </c>
      <c r="AA26" s="158">
        <f t="shared" si="7"/>
        <v>5.2569041603270374</v>
      </c>
    </row>
    <row r="27" spans="1:27" ht="19.5" thickBot="1" x14ac:dyDescent="0.35">
      <c r="A27" s="142">
        <v>50</v>
      </c>
      <c r="B27" s="143" t="s">
        <v>4</v>
      </c>
      <c r="C27" s="142">
        <v>14</v>
      </c>
      <c r="D27" s="143" t="s">
        <v>65</v>
      </c>
      <c r="E27" s="142">
        <v>410510</v>
      </c>
      <c r="F27" s="143" t="s">
        <v>79</v>
      </c>
      <c r="G27" s="144">
        <v>9.6894159427710651</v>
      </c>
      <c r="H27" s="145">
        <v>4.3346265913307951</v>
      </c>
      <c r="I27" s="146">
        <v>3.6096086912332037</v>
      </c>
      <c r="J27" s="147">
        <v>0.91853111980067903</v>
      </c>
      <c r="K27" s="148">
        <v>246</v>
      </c>
      <c r="M27" s="149">
        <f t="shared" si="0"/>
        <v>0.83273809523809528</v>
      </c>
      <c r="N27" s="138">
        <f t="shared" si="1"/>
        <v>3.6096086912332037</v>
      </c>
      <c r="O27" s="149"/>
      <c r="V27" s="158">
        <f t="shared" si="2"/>
        <v>538.10712944572504</v>
      </c>
      <c r="W27" s="158">
        <f t="shared" si="3"/>
        <v>222.29268699256326</v>
      </c>
      <c r="X27" s="158">
        <f t="shared" si="4"/>
        <v>162.72161701520912</v>
      </c>
      <c r="Y27" s="158">
        <f t="shared" si="5"/>
        <v>129.16796278909621</v>
      </c>
      <c r="Z27" s="158">
        <f t="shared" si="6"/>
        <v>87.506522664022299</v>
      </c>
      <c r="AA27" s="158">
        <f t="shared" si="7"/>
        <v>56.394368603381821</v>
      </c>
    </row>
    <row r="28" spans="1:27" ht="19.5" thickBot="1" x14ac:dyDescent="0.35">
      <c r="A28" s="142">
        <v>50</v>
      </c>
      <c r="B28" s="143" t="s">
        <v>4</v>
      </c>
      <c r="C28" s="142">
        <v>14</v>
      </c>
      <c r="D28" s="143" t="s">
        <v>65</v>
      </c>
      <c r="E28" s="142">
        <v>410512</v>
      </c>
      <c r="F28" s="143" t="s">
        <v>80</v>
      </c>
      <c r="G28" s="144">
        <v>4.4281860372366975</v>
      </c>
      <c r="H28" s="145">
        <v>12.420435712841329</v>
      </c>
      <c r="I28" s="146">
        <v>8.6999506515856755</v>
      </c>
      <c r="J28" s="147">
        <v>0.80364208477903243</v>
      </c>
      <c r="K28" s="148">
        <v>127</v>
      </c>
      <c r="M28" s="149">
        <f t="shared" si="0"/>
        <v>0.70045454545454544</v>
      </c>
      <c r="N28" s="138">
        <f t="shared" si="1"/>
        <v>8.6999506515856755</v>
      </c>
      <c r="O28" s="149"/>
      <c r="V28" s="158">
        <f t="shared" si="2"/>
        <v>255.79631074289435</v>
      </c>
      <c r="W28" s="158">
        <f t="shared" si="3"/>
        <v>84.207596356536015</v>
      </c>
      <c r="X28" s="158">
        <f t="shared" si="4"/>
        <v>51.84136499411197</v>
      </c>
      <c r="Y28" s="158">
        <f t="shared" si="5"/>
        <v>33.610949858879515</v>
      </c>
      <c r="Z28" s="158">
        <f t="shared" si="6"/>
        <v>10.975401924412003</v>
      </c>
      <c r="AA28" s="158">
        <f t="shared" si="7"/>
        <v>-5.9284941595910787</v>
      </c>
    </row>
    <row r="29" spans="1:27" ht="19.5" thickBot="1" x14ac:dyDescent="0.35">
      <c r="A29" s="142">
        <v>262</v>
      </c>
      <c r="B29" s="143" t="s">
        <v>476</v>
      </c>
      <c r="C29" s="142">
        <v>5060</v>
      </c>
      <c r="D29" s="143" t="s">
        <v>82</v>
      </c>
      <c r="E29" s="142">
        <v>4057</v>
      </c>
      <c r="F29" s="143" t="s">
        <v>83</v>
      </c>
      <c r="G29" s="144">
        <v>6.243624835140964</v>
      </c>
      <c r="H29" s="145">
        <v>24.504995742036073</v>
      </c>
      <c r="I29" s="146">
        <v>16.600933389947969</v>
      </c>
      <c r="J29" s="147">
        <v>0.62531687802410618</v>
      </c>
      <c r="K29" s="148">
        <v>27</v>
      </c>
      <c r="M29" s="149">
        <f t="shared" si="0"/>
        <v>0.6774509803921569</v>
      </c>
      <c r="N29" s="138">
        <f t="shared" si="1"/>
        <v>16.600933389947969</v>
      </c>
      <c r="O29" s="149"/>
      <c r="V29" s="158">
        <f t="shared" si="2"/>
        <v>290.16483507314831</v>
      </c>
      <c r="W29" s="158">
        <f t="shared" si="3"/>
        <v>40.014122780350007</v>
      </c>
      <c r="X29" s="158">
        <f t="shared" si="4"/>
        <v>-7.1710074218235027</v>
      </c>
      <c r="Y29" s="158">
        <f t="shared" si="5"/>
        <v>-33.748229285048588</v>
      </c>
      <c r="Z29" s="158">
        <f t="shared" si="6"/>
        <v>-66.747476695896907</v>
      </c>
      <c r="AA29" s="158">
        <f t="shared" si="7"/>
        <v>-91.390831948362106</v>
      </c>
    </row>
    <row r="30" spans="1:27" ht="19.5" thickBot="1" x14ac:dyDescent="0.35">
      <c r="A30" s="142">
        <v>262</v>
      </c>
      <c r="B30" s="143" t="s">
        <v>476</v>
      </c>
      <c r="C30" s="142">
        <v>5060</v>
      </c>
      <c r="D30" s="143" t="s">
        <v>82</v>
      </c>
      <c r="E30" s="142">
        <v>4082</v>
      </c>
      <c r="F30" s="143" t="s">
        <v>477</v>
      </c>
      <c r="G30" s="144">
        <v>2.8402116402116402</v>
      </c>
      <c r="H30" s="145">
        <v>18.308494783904621</v>
      </c>
      <c r="I30" s="146">
        <v>11.574841654247392</v>
      </c>
      <c r="J30" s="147">
        <v>0.73875578526108243</v>
      </c>
      <c r="K30" s="148">
        <v>69</v>
      </c>
      <c r="M30" s="149">
        <f t="shared" si="0"/>
        <v>0.63221153846153844</v>
      </c>
      <c r="N30" s="138">
        <f t="shared" si="1"/>
        <v>11.574841654247392</v>
      </c>
      <c r="O30" s="149"/>
      <c r="V30" s="158">
        <f t="shared" si="2"/>
        <v>167.09939774502763</v>
      </c>
      <c r="W30" s="158">
        <f t="shared" si="3"/>
        <v>45.163633343458187</v>
      </c>
      <c r="X30" s="158">
        <f t="shared" si="4"/>
        <v>22.163279409406044</v>
      </c>
      <c r="Y30" s="158">
        <f t="shared" si="5"/>
        <v>9.2082338936081971</v>
      </c>
      <c r="Z30" s="158">
        <f t="shared" si="6"/>
        <v>-6.8772228330091059</v>
      </c>
      <c r="AA30" s="158">
        <f t="shared" si="7"/>
        <v>-18.889606617915423</v>
      </c>
    </row>
    <row r="31" spans="1:27" ht="19.5" thickBot="1" x14ac:dyDescent="0.35">
      <c r="A31" s="142">
        <v>262</v>
      </c>
      <c r="B31" s="143" t="s">
        <v>476</v>
      </c>
      <c r="C31" s="142">
        <v>5060</v>
      </c>
      <c r="D31" s="143" t="s">
        <v>82</v>
      </c>
      <c r="E31" s="142">
        <v>4030</v>
      </c>
      <c r="F31" s="143" t="s">
        <v>478</v>
      </c>
      <c r="G31" s="144">
        <v>7.4919696310260804</v>
      </c>
      <c r="H31" s="145">
        <v>7.3411936658460997</v>
      </c>
      <c r="I31" s="146">
        <v>5.3156915953149264</v>
      </c>
      <c r="J31" s="147">
        <v>0.88002482296570084</v>
      </c>
      <c r="K31" s="148">
        <v>213</v>
      </c>
      <c r="M31" s="149">
        <f t="shared" si="0"/>
        <v>0.72409090909090912</v>
      </c>
      <c r="N31" s="138">
        <f t="shared" si="1"/>
        <v>5.3156915953149264</v>
      </c>
      <c r="O31" s="149"/>
      <c r="V31" s="158">
        <f t="shared" si="2"/>
        <v>458.44109419094366</v>
      </c>
      <c r="W31" s="158">
        <f t="shared" si="3"/>
        <v>177.60965001046057</v>
      </c>
      <c r="X31" s="158">
        <f t="shared" si="4"/>
        <v>124.63731130686214</v>
      </c>
      <c r="Y31" s="158">
        <f t="shared" si="5"/>
        <v>94.800420059403208</v>
      </c>
      <c r="Z31" s="158">
        <f t="shared" si="6"/>
        <v>57.75384832543817</v>
      </c>
      <c r="AA31" s="158">
        <f t="shared" si="7"/>
        <v>30.088010472847991</v>
      </c>
    </row>
    <row r="32" spans="1:27" ht="19.5" thickBot="1" x14ac:dyDescent="0.35">
      <c r="A32" s="142">
        <v>262</v>
      </c>
      <c r="B32" s="143" t="s">
        <v>476</v>
      </c>
      <c r="C32" s="142">
        <v>5060</v>
      </c>
      <c r="D32" s="143" t="s">
        <v>82</v>
      </c>
      <c r="E32" s="142">
        <v>4060</v>
      </c>
      <c r="F32" s="143" t="s">
        <v>479</v>
      </c>
      <c r="G32" s="144">
        <v>8.0712319790393234</v>
      </c>
      <c r="H32" s="145">
        <v>10.779023602088953</v>
      </c>
      <c r="I32" s="146">
        <v>7.0776060145900166</v>
      </c>
      <c r="J32" s="147">
        <v>0.84025840864660784</v>
      </c>
      <c r="K32" s="148">
        <v>170</v>
      </c>
      <c r="M32" s="149">
        <f t="shared" si="0"/>
        <v>0.65660919540229878</v>
      </c>
      <c r="N32" s="138">
        <f t="shared" si="1"/>
        <v>7.0776060145900166</v>
      </c>
      <c r="O32" s="149"/>
      <c r="V32" s="158">
        <f t="shared" si="2"/>
        <v>520.03364346202238</v>
      </c>
      <c r="W32" s="158">
        <f t="shared" si="3"/>
        <v>186.39550504112404</v>
      </c>
      <c r="X32" s="158">
        <f t="shared" si="4"/>
        <v>123.46240819919234</v>
      </c>
      <c r="Y32" s="158">
        <f t="shared" si="5"/>
        <v>88.015078285269482</v>
      </c>
      <c r="Z32" s="158">
        <f t="shared" si="6"/>
        <v>44.002381401323596</v>
      </c>
      <c r="AA32" s="158">
        <f t="shared" si="7"/>
        <v>11.134343187410172</v>
      </c>
    </row>
    <row r="33" spans="1:27" ht="19.5" thickBot="1" x14ac:dyDescent="0.35">
      <c r="A33" s="142">
        <v>262</v>
      </c>
      <c r="B33" s="143" t="s">
        <v>476</v>
      </c>
      <c r="C33" s="142">
        <v>5060</v>
      </c>
      <c r="D33" s="143" t="s">
        <v>82</v>
      </c>
      <c r="E33" s="142">
        <v>4064</v>
      </c>
      <c r="F33" s="143" t="s">
        <v>87</v>
      </c>
      <c r="G33" s="144">
        <v>1.4323658323796258</v>
      </c>
      <c r="H33" s="145">
        <v>0</v>
      </c>
      <c r="I33" s="146">
        <v>0</v>
      </c>
      <c r="J33" s="147">
        <v>1</v>
      </c>
      <c r="K33" s="148">
        <v>287</v>
      </c>
      <c r="M33" s="149">
        <f t="shared" si="0"/>
        <v>0.67316698789469731</v>
      </c>
      <c r="N33" s="138">
        <f t="shared" si="1"/>
        <v>0</v>
      </c>
      <c r="O33" s="149"/>
      <c r="V33" s="158">
        <f t="shared" si="2"/>
        <v>107.13141653919821</v>
      </c>
      <c r="W33" s="158">
        <f t="shared" si="3"/>
        <v>49.378494453968422</v>
      </c>
      <c r="X33" s="158">
        <f t="shared" si="4"/>
        <v>38.484745149117828</v>
      </c>
      <c r="Y33" s="158">
        <f t="shared" si="5"/>
        <v>32.348795307359609</v>
      </c>
      <c r="Z33" s="158">
        <f t="shared" si="6"/>
        <v>24.730176327137691</v>
      </c>
      <c r="AA33" s="158">
        <f t="shared" si="7"/>
        <v>19.040703118089247</v>
      </c>
    </row>
    <row r="34" spans="1:27" ht="19.5" thickBot="1" x14ac:dyDescent="0.35">
      <c r="A34" s="142">
        <v>262</v>
      </c>
      <c r="B34" s="143" t="s">
        <v>476</v>
      </c>
      <c r="C34" s="142">
        <v>5060</v>
      </c>
      <c r="D34" s="143" t="s">
        <v>82</v>
      </c>
      <c r="E34" s="142">
        <v>4092</v>
      </c>
      <c r="F34" s="143" t="s">
        <v>480</v>
      </c>
      <c r="G34" s="144">
        <v>2.4192814679252703</v>
      </c>
      <c r="H34" s="145">
        <v>2.4800752122263332</v>
      </c>
      <c r="I34" s="146">
        <v>1.9943938164986765</v>
      </c>
      <c r="J34" s="147">
        <v>0.95498652491024272</v>
      </c>
      <c r="K34" s="148">
        <v>270</v>
      </c>
      <c r="M34" s="149">
        <f t="shared" si="0"/>
        <v>0.80416666666666681</v>
      </c>
      <c r="N34" s="138">
        <f t="shared" si="1"/>
        <v>1.9943938164986765</v>
      </c>
      <c r="O34" s="149"/>
      <c r="V34" s="158">
        <f t="shared" si="2"/>
        <v>144.65161260640562</v>
      </c>
      <c r="W34" s="158">
        <f t="shared" si="3"/>
        <v>62.996543362844946</v>
      </c>
      <c r="X34" s="158">
        <f t="shared" si="4"/>
        <v>47.594208352041015</v>
      </c>
      <c r="Y34" s="158">
        <f t="shared" si="5"/>
        <v>38.918778761407005</v>
      </c>
      <c r="Z34" s="158">
        <f t="shared" si="6"/>
        <v>28.147049160396445</v>
      </c>
      <c r="AA34" s="158">
        <f t="shared" si="7"/>
        <v>20.102879063537433</v>
      </c>
    </row>
    <row r="35" spans="1:27" ht="19.5" thickBot="1" x14ac:dyDescent="0.35">
      <c r="A35" s="142">
        <v>262</v>
      </c>
      <c r="B35" s="143" t="s">
        <v>476</v>
      </c>
      <c r="C35" s="142">
        <v>5060</v>
      </c>
      <c r="D35" s="143" t="s">
        <v>82</v>
      </c>
      <c r="E35" s="142">
        <v>4041</v>
      </c>
      <c r="F35" s="143" t="s">
        <v>481</v>
      </c>
      <c r="G35" s="144">
        <v>2.4492784858856167</v>
      </c>
      <c r="H35" s="145">
        <v>11.84022158652739</v>
      </c>
      <c r="I35" s="146">
        <v>7.5532448051985073</v>
      </c>
      <c r="J35" s="147">
        <v>0.82952323955630003</v>
      </c>
      <c r="K35" s="148">
        <v>161</v>
      </c>
      <c r="M35" s="149">
        <f t="shared" si="0"/>
        <v>0.63793103448275856</v>
      </c>
      <c r="N35" s="138">
        <f t="shared" si="1"/>
        <v>7.5532448051985073</v>
      </c>
      <c r="O35" s="149"/>
      <c r="V35" s="158">
        <f t="shared" si="2"/>
        <v>160.35359442783295</v>
      </c>
      <c r="W35" s="158">
        <f t="shared" si="3"/>
        <v>56.144107596461907</v>
      </c>
      <c r="X35" s="158">
        <f t="shared" si="4"/>
        <v>36.487404805687987</v>
      </c>
      <c r="Y35" s="158">
        <f t="shared" si="5"/>
        <v>25.415684775850941</v>
      </c>
      <c r="Z35" s="158">
        <f t="shared" si="6"/>
        <v>11.66863362022265</v>
      </c>
      <c r="AA35" s="158">
        <f t="shared" si="7"/>
        <v>1.4025369094658373</v>
      </c>
    </row>
    <row r="36" spans="1:27" ht="19.5" thickBot="1" x14ac:dyDescent="0.35">
      <c r="A36" s="142">
        <v>262</v>
      </c>
      <c r="B36" s="143" t="s">
        <v>476</v>
      </c>
      <c r="C36" s="142">
        <v>5060</v>
      </c>
      <c r="D36" s="143" t="s">
        <v>82</v>
      </c>
      <c r="E36" s="142">
        <v>4085</v>
      </c>
      <c r="F36" s="143" t="s">
        <v>482</v>
      </c>
      <c r="G36" s="144">
        <v>3.7485407748762594</v>
      </c>
      <c r="H36" s="145">
        <v>6.4024913803404599</v>
      </c>
      <c r="I36" s="146">
        <v>4.1616193972212994</v>
      </c>
      <c r="J36" s="147">
        <v>0.90607223632555023</v>
      </c>
      <c r="K36" s="148">
        <v>234</v>
      </c>
      <c r="M36" s="149">
        <f t="shared" si="0"/>
        <v>0.65</v>
      </c>
      <c r="N36" s="138">
        <f t="shared" si="1"/>
        <v>4.1616193972212994</v>
      </c>
      <c r="O36" s="149"/>
      <c r="V36" s="158">
        <f t="shared" si="2"/>
        <v>263.08580151385786</v>
      </c>
      <c r="W36" s="158">
        <f t="shared" si="3"/>
        <v>106.55792172373123</v>
      </c>
      <c r="X36" s="158">
        <f t="shared" si="4"/>
        <v>77.032567506381184</v>
      </c>
      <c r="Y36" s="158">
        <f t="shared" si="5"/>
        <v>60.402288300567427</v>
      </c>
      <c r="Z36" s="158">
        <f t="shared" si="6"/>
        <v>39.753527461365849</v>
      </c>
      <c r="AA36" s="158">
        <f t="shared" si="7"/>
        <v>24.333334917327623</v>
      </c>
    </row>
    <row r="37" spans="1:27" ht="19.5" thickBot="1" x14ac:dyDescent="0.35">
      <c r="A37" s="142">
        <v>262</v>
      </c>
      <c r="B37" s="143" t="s">
        <v>476</v>
      </c>
      <c r="C37" s="142">
        <v>5060</v>
      </c>
      <c r="D37" s="143" t="s">
        <v>82</v>
      </c>
      <c r="E37" s="142">
        <v>4066</v>
      </c>
      <c r="F37" s="143" t="s">
        <v>483</v>
      </c>
      <c r="G37" s="144">
        <v>5.8039269676717034</v>
      </c>
      <c r="H37" s="145">
        <v>4.4797255625065402</v>
      </c>
      <c r="I37" s="146">
        <v>2.8902844735018158</v>
      </c>
      <c r="J37" s="147">
        <v>0.93476626979385125</v>
      </c>
      <c r="K37" s="148">
        <v>260</v>
      </c>
      <c r="M37" s="149">
        <f t="shared" si="0"/>
        <v>0.64519230769230773</v>
      </c>
      <c r="N37" s="138">
        <f t="shared" si="1"/>
        <v>2.8902844735018158</v>
      </c>
      <c r="O37" s="149"/>
      <c r="V37" s="158">
        <f t="shared" si="2"/>
        <v>423.37137930853908</v>
      </c>
      <c r="W37" s="158">
        <f t="shared" si="3"/>
        <v>179.21078233661348</v>
      </c>
      <c r="X37" s="158">
        <f t="shared" si="4"/>
        <v>133.15554846274054</v>
      </c>
      <c r="Y37" s="158">
        <f t="shared" si="5"/>
        <v>107.21474543042727</v>
      </c>
      <c r="Z37" s="158">
        <f t="shared" si="6"/>
        <v>75.00569883764264</v>
      </c>
      <c r="AA37" s="158">
        <f t="shared" si="7"/>
        <v>50.952453997026758</v>
      </c>
    </row>
    <row r="38" spans="1:27" ht="19.5" thickBot="1" x14ac:dyDescent="0.35">
      <c r="A38" s="142">
        <v>262</v>
      </c>
      <c r="B38" s="143" t="s">
        <v>476</v>
      </c>
      <c r="C38" s="142">
        <v>5060</v>
      </c>
      <c r="D38" s="143" t="s">
        <v>82</v>
      </c>
      <c r="E38" s="142">
        <v>4067</v>
      </c>
      <c r="F38" s="143" t="s">
        <v>484</v>
      </c>
      <c r="G38" s="144">
        <v>2.9206349206349214</v>
      </c>
      <c r="H38" s="145">
        <v>7.8749999999999982</v>
      </c>
      <c r="I38" s="146">
        <v>5.4354619565217375</v>
      </c>
      <c r="J38" s="147">
        <v>0.87732160551382421</v>
      </c>
      <c r="K38" s="148">
        <v>207</v>
      </c>
      <c r="M38" s="149">
        <f t="shared" si="0"/>
        <v>0.69021739130434778</v>
      </c>
      <c r="N38" s="138">
        <f t="shared" si="1"/>
        <v>5.4354619565217375</v>
      </c>
      <c r="O38" s="149"/>
      <c r="V38" s="158">
        <f t="shared" si="2"/>
        <v>186.9114492717915</v>
      </c>
      <c r="W38" s="158">
        <f t="shared" si="3"/>
        <v>72.060604050200027</v>
      </c>
      <c r="X38" s="158">
        <f t="shared" si="4"/>
        <v>50.396655801004954</v>
      </c>
      <c r="Y38" s="158">
        <f t="shared" si="5"/>
        <v>38.194346374596655</v>
      </c>
      <c r="Z38" s="158">
        <f t="shared" si="6"/>
        <v>23.043514213958211</v>
      </c>
      <c r="AA38" s="158">
        <f t="shared" si="7"/>
        <v>11.729094383209414</v>
      </c>
    </row>
    <row r="39" spans="1:27" ht="19.5" thickBot="1" x14ac:dyDescent="0.35">
      <c r="A39" s="142">
        <v>262</v>
      </c>
      <c r="B39" s="143" t="s">
        <v>476</v>
      </c>
      <c r="C39" s="142">
        <v>5060</v>
      </c>
      <c r="D39" s="143" t="s">
        <v>82</v>
      </c>
      <c r="E39" s="142">
        <v>4095</v>
      </c>
      <c r="F39" s="143" t="s">
        <v>93</v>
      </c>
      <c r="G39" s="144">
        <v>4.1371847501813255</v>
      </c>
      <c r="H39" s="145">
        <v>5.5593359709140255</v>
      </c>
      <c r="I39" s="146">
        <v>3.7827655628175871</v>
      </c>
      <c r="J39" s="147">
        <v>0.91462296863153458</v>
      </c>
      <c r="K39" s="148">
        <v>244</v>
      </c>
      <c r="M39" s="149">
        <f t="shared" si="0"/>
        <v>0.68043478260869572</v>
      </c>
      <c r="N39" s="138">
        <f t="shared" si="1"/>
        <v>3.7827655628175871</v>
      </c>
      <c r="O39" s="149"/>
      <c r="V39" s="158">
        <f t="shared" si="2"/>
        <v>279.99238337482927</v>
      </c>
      <c r="W39" s="158">
        <f t="shared" si="3"/>
        <v>114.9630180838589</v>
      </c>
      <c r="X39" s="158">
        <f t="shared" si="4"/>
        <v>83.83405579922632</v>
      </c>
      <c r="Y39" s="158">
        <f t="shared" si="5"/>
        <v>66.300537644972366</v>
      </c>
      <c r="Z39" s="158">
        <f t="shared" si="6"/>
        <v>44.53028240413299</v>
      </c>
      <c r="AA39" s="158">
        <f t="shared" si="7"/>
        <v>28.27257424620457</v>
      </c>
    </row>
    <row r="40" spans="1:27" ht="19.5" thickBot="1" x14ac:dyDescent="0.35">
      <c r="A40" s="142">
        <v>262</v>
      </c>
      <c r="B40" s="143" t="s">
        <v>476</v>
      </c>
      <c r="C40" s="142">
        <v>5060</v>
      </c>
      <c r="D40" s="143" t="s">
        <v>82</v>
      </c>
      <c r="E40" s="142">
        <v>4087</v>
      </c>
      <c r="F40" s="143" t="s">
        <v>94</v>
      </c>
      <c r="G40" s="144">
        <v>7.6785695594795067</v>
      </c>
      <c r="H40" s="145">
        <v>11.59070049578777</v>
      </c>
      <c r="I40" s="146">
        <v>7.5958158024361992</v>
      </c>
      <c r="J40" s="147">
        <v>0.82856241200666947</v>
      </c>
      <c r="K40" s="148">
        <v>160</v>
      </c>
      <c r="M40" s="149">
        <f t="shared" si="0"/>
        <v>0.65533707865168545</v>
      </c>
      <c r="N40" s="138">
        <f t="shared" si="1"/>
        <v>7.5958158024361992</v>
      </c>
      <c r="O40" s="149"/>
      <c r="V40" s="158">
        <f t="shared" si="2"/>
        <v>488.79472918966314</v>
      </c>
      <c r="W40" s="158">
        <f t="shared" si="3"/>
        <v>170.77182292882731</v>
      </c>
      <c r="X40" s="158">
        <f t="shared" si="4"/>
        <v>110.78417747440669</v>
      </c>
      <c r="Y40" s="158">
        <f t="shared" si="5"/>
        <v>76.995885369170907</v>
      </c>
      <c r="Z40" s="158">
        <f t="shared" si="6"/>
        <v>35.043110300776753</v>
      </c>
      <c r="AA40" s="158">
        <f t="shared" si="7"/>
        <v>3.7133915661208006</v>
      </c>
    </row>
    <row r="41" spans="1:27" ht="19.5" thickBot="1" x14ac:dyDescent="0.35">
      <c r="A41" s="142">
        <v>262</v>
      </c>
      <c r="B41" s="143" t="s">
        <v>476</v>
      </c>
      <c r="C41" s="142">
        <v>5060</v>
      </c>
      <c r="D41" s="143" t="s">
        <v>82</v>
      </c>
      <c r="E41" s="142">
        <v>4073</v>
      </c>
      <c r="F41" s="143" t="s">
        <v>485</v>
      </c>
      <c r="G41" s="144">
        <v>2.4205745913741672</v>
      </c>
      <c r="H41" s="145">
        <v>16.938127065410605</v>
      </c>
      <c r="I41" s="146">
        <v>11.154376360148449</v>
      </c>
      <c r="J41" s="147">
        <v>0.74824568835116401</v>
      </c>
      <c r="K41" s="148">
        <v>78</v>
      </c>
      <c r="M41" s="149">
        <f t="shared" si="0"/>
        <v>0.6585365853658538</v>
      </c>
      <c r="N41" s="138">
        <f t="shared" si="1"/>
        <v>11.154376360148449</v>
      </c>
      <c r="O41" s="149"/>
      <c r="V41" s="158">
        <f t="shared" si="2"/>
        <v>138.47408060387417</v>
      </c>
      <c r="W41" s="158">
        <f t="shared" si="3"/>
        <v>38.708351037178538</v>
      </c>
      <c r="X41" s="158">
        <f t="shared" si="4"/>
        <v>19.889859991630995</v>
      </c>
      <c r="Y41" s="158">
        <f t="shared" si="5"/>
        <v>9.2902662317817679</v>
      </c>
      <c r="Z41" s="158">
        <f t="shared" si="6"/>
        <v>-3.8705757379252881</v>
      </c>
      <c r="AA41" s="158">
        <f t="shared" si="7"/>
        <v>-13.698900003721239</v>
      </c>
    </row>
    <row r="42" spans="1:27" ht="19.5" thickBot="1" x14ac:dyDescent="0.35">
      <c r="A42" s="142">
        <v>262</v>
      </c>
      <c r="B42" s="143" t="s">
        <v>476</v>
      </c>
      <c r="C42" s="142">
        <v>5060</v>
      </c>
      <c r="D42" s="143" t="s">
        <v>82</v>
      </c>
      <c r="E42" s="142">
        <v>4074</v>
      </c>
      <c r="F42" s="143" t="s">
        <v>486</v>
      </c>
      <c r="G42" s="144">
        <v>1.6157698529477824</v>
      </c>
      <c r="H42" s="145">
        <v>11.759100446970669</v>
      </c>
      <c r="I42" s="146">
        <v>7.6434152905309345</v>
      </c>
      <c r="J42" s="147">
        <v>0.82748809140162516</v>
      </c>
      <c r="K42" s="148">
        <v>158</v>
      </c>
      <c r="M42" s="149">
        <f t="shared" si="0"/>
        <v>0.65</v>
      </c>
      <c r="N42" s="138">
        <f t="shared" si="1"/>
        <v>7.6434152905309345</v>
      </c>
      <c r="O42" s="149"/>
      <c r="V42" s="158">
        <f t="shared" si="2"/>
        <v>103.56514109908041</v>
      </c>
      <c r="W42" s="158">
        <f t="shared" si="3"/>
        <v>36.095412343343462</v>
      </c>
      <c r="X42" s="158">
        <f t="shared" si="4"/>
        <v>23.368812819139631</v>
      </c>
      <c r="Y42" s="158">
        <f t="shared" si="5"/>
        <v>16.200502428346226</v>
      </c>
      <c r="Z42" s="158">
        <f t="shared" si="6"/>
        <v>7.3000669606776061</v>
      </c>
      <c r="AA42" s="158">
        <f t="shared" si="7"/>
        <v>0.65335194925303364</v>
      </c>
    </row>
    <row r="43" spans="1:27" ht="19.5" thickBot="1" x14ac:dyDescent="0.35">
      <c r="A43" s="142">
        <v>262</v>
      </c>
      <c r="B43" s="143" t="s">
        <v>476</v>
      </c>
      <c r="C43" s="142">
        <v>5060</v>
      </c>
      <c r="D43" s="143" t="s">
        <v>82</v>
      </c>
      <c r="E43" s="142">
        <v>4079</v>
      </c>
      <c r="F43" s="143" t="s">
        <v>487</v>
      </c>
      <c r="G43" s="144">
        <v>2.3852260407453945</v>
      </c>
      <c r="H43" s="145">
        <v>17.18914656289234</v>
      </c>
      <c r="I43" s="146">
        <v>11.172945265880021</v>
      </c>
      <c r="J43" s="147">
        <v>0.74782658808687452</v>
      </c>
      <c r="K43" s="148">
        <v>77</v>
      </c>
      <c r="M43" s="149">
        <f t="shared" si="0"/>
        <v>0.65</v>
      </c>
      <c r="N43" s="138">
        <f t="shared" si="1"/>
        <v>11.172945265880021</v>
      </c>
      <c r="O43" s="149"/>
      <c r="V43" s="158">
        <f t="shared" si="2"/>
        <v>138.16651135815783</v>
      </c>
      <c r="W43" s="158">
        <f t="shared" si="3"/>
        <v>38.566587707760988</v>
      </c>
      <c r="X43" s="158">
        <f t="shared" si="4"/>
        <v>19.779372102835381</v>
      </c>
      <c r="Y43" s="158">
        <f t="shared" si="5"/>
        <v>9.1973943656763062</v>
      </c>
      <c r="Z43" s="158">
        <f t="shared" si="6"/>
        <v>-3.9415749081508298</v>
      </c>
      <c r="AA43" s="158">
        <f t="shared" si="7"/>
        <v>-13.753564964618091</v>
      </c>
    </row>
    <row r="44" spans="1:27" ht="19.5" thickBot="1" x14ac:dyDescent="0.35">
      <c r="A44" s="142">
        <v>262</v>
      </c>
      <c r="B44" s="143" t="s">
        <v>476</v>
      </c>
      <c r="C44" s="142">
        <v>5060</v>
      </c>
      <c r="D44" s="143" t="s">
        <v>82</v>
      </c>
      <c r="E44" s="142">
        <v>4031</v>
      </c>
      <c r="F44" s="143" t="s">
        <v>488</v>
      </c>
      <c r="G44" s="144">
        <v>2.9406015037593991</v>
      </c>
      <c r="H44" s="145">
        <v>21.084121708003064</v>
      </c>
      <c r="I44" s="146">
        <v>13.747187420097157</v>
      </c>
      <c r="J44" s="147">
        <v>0.68972593408099447</v>
      </c>
      <c r="K44" s="148">
        <v>47</v>
      </c>
      <c r="M44" s="149">
        <f t="shared" si="0"/>
        <v>0.65201612903225803</v>
      </c>
      <c r="N44" s="138">
        <f t="shared" si="1"/>
        <v>13.747187420097157</v>
      </c>
      <c r="O44" s="149"/>
      <c r="V44" s="158">
        <f t="shared" si="2"/>
        <v>156.6174312053956</v>
      </c>
      <c r="W44" s="158">
        <f t="shared" si="3"/>
        <v>34.206371971595601</v>
      </c>
      <c r="X44" s="158">
        <f t="shared" si="4"/>
        <v>11.116364690816351</v>
      </c>
      <c r="Y44" s="158">
        <f t="shared" si="5"/>
        <v>-1.8891784473582454</v>
      </c>
      <c r="Z44" s="158">
        <f t="shared" si="6"/>
        <v>-18.037334862567739</v>
      </c>
      <c r="AA44" s="158">
        <f t="shared" si="7"/>
        <v>-30.096541857741826</v>
      </c>
    </row>
    <row r="45" spans="1:27" ht="19.5" thickBot="1" x14ac:dyDescent="0.35">
      <c r="A45" s="142">
        <v>262</v>
      </c>
      <c r="B45" s="143" t="s">
        <v>476</v>
      </c>
      <c r="C45" s="142">
        <v>5060</v>
      </c>
      <c r="D45" s="143" t="s">
        <v>82</v>
      </c>
      <c r="E45" s="142">
        <v>4071</v>
      </c>
      <c r="F45" s="143" t="s">
        <v>99</v>
      </c>
      <c r="G45" s="144">
        <v>8.6630214135911014</v>
      </c>
      <c r="H45" s="145">
        <v>12.466782066423464</v>
      </c>
      <c r="I45" s="146">
        <v>8.1582390976340591</v>
      </c>
      <c r="J45" s="147">
        <v>0.81586851635834978</v>
      </c>
      <c r="K45" s="148">
        <v>144</v>
      </c>
      <c r="M45" s="149">
        <f t="shared" si="0"/>
        <v>0.65439814814814823</v>
      </c>
      <c r="N45" s="138">
        <f t="shared" si="1"/>
        <v>8.1582390976340591</v>
      </c>
      <c r="O45" s="149"/>
      <c r="V45" s="158">
        <f t="shared" si="2"/>
        <v>543.79248967316471</v>
      </c>
      <c r="W45" s="158">
        <f t="shared" si="3"/>
        <v>184.4817930569765</v>
      </c>
      <c r="X45" s="158">
        <f t="shared" si="4"/>
        <v>116.70616352759139</v>
      </c>
      <c r="Y45" s="158">
        <f t="shared" si="5"/>
        <v>78.531256831260066</v>
      </c>
      <c r="Z45" s="158">
        <f t="shared" si="6"/>
        <v>31.131901193513933</v>
      </c>
      <c r="AA45" s="158">
        <f t="shared" si="7"/>
        <v>-4.2652442375942039</v>
      </c>
    </row>
    <row r="46" spans="1:27" ht="19.5" thickBot="1" x14ac:dyDescent="0.35">
      <c r="A46" s="142">
        <v>262</v>
      </c>
      <c r="B46" s="143" t="s">
        <v>476</v>
      </c>
      <c r="C46" s="142">
        <v>5060</v>
      </c>
      <c r="D46" s="143" t="s">
        <v>82</v>
      </c>
      <c r="E46" s="142">
        <v>4080</v>
      </c>
      <c r="F46" s="143" t="s">
        <v>489</v>
      </c>
      <c r="G46" s="144">
        <v>2.3098195906539942</v>
      </c>
      <c r="H46" s="145">
        <v>0.8658684895099219</v>
      </c>
      <c r="I46" s="146">
        <v>0.31387732744734664</v>
      </c>
      <c r="J46" s="147">
        <v>0.99291578767272015</v>
      </c>
      <c r="K46" s="148">
        <v>282</v>
      </c>
      <c r="M46" s="149">
        <f t="shared" si="0"/>
        <v>0.36249999999999993</v>
      </c>
      <c r="N46" s="138">
        <f t="shared" si="1"/>
        <v>0.31387732744734664</v>
      </c>
      <c r="O46" s="149"/>
      <c r="V46" s="158">
        <f t="shared" si="2"/>
        <v>318.54307662059375</v>
      </c>
      <c r="W46" s="158">
        <f t="shared" si="3"/>
        <v>145.59614168314596</v>
      </c>
      <c r="X46" s="158">
        <f t="shared" si="4"/>
        <v>112.97371351456849</v>
      </c>
      <c r="Y46" s="158">
        <f t="shared" si="5"/>
        <v>94.598994457133941</v>
      </c>
      <c r="Z46" s="158">
        <f t="shared" si="6"/>
        <v>71.784273512951245</v>
      </c>
      <c r="AA46" s="158">
        <f t="shared" si="7"/>
        <v>54.746573646240883</v>
      </c>
    </row>
    <row r="47" spans="1:27" ht="19.5" thickBot="1" x14ac:dyDescent="0.35">
      <c r="A47" s="142">
        <v>262</v>
      </c>
      <c r="B47" s="143" t="s">
        <v>476</v>
      </c>
      <c r="C47" s="142">
        <v>5101</v>
      </c>
      <c r="D47" s="143" t="s">
        <v>101</v>
      </c>
      <c r="E47" s="142">
        <v>4113</v>
      </c>
      <c r="F47" s="143" t="s">
        <v>490</v>
      </c>
      <c r="G47" s="144">
        <v>2.9631336405529956</v>
      </c>
      <c r="H47" s="145">
        <v>18.898911353032659</v>
      </c>
      <c r="I47" s="146">
        <v>13.575155520995335</v>
      </c>
      <c r="J47" s="147">
        <v>0.69360869461745567</v>
      </c>
      <c r="K47" s="148">
        <v>48</v>
      </c>
      <c r="M47" s="149">
        <f t="shared" si="0"/>
        <v>0.71830357142857149</v>
      </c>
      <c r="N47" s="138">
        <f t="shared" si="1"/>
        <v>13.575155520995335</v>
      </c>
      <c r="O47" s="149"/>
      <c r="V47" s="158">
        <f t="shared" si="2"/>
        <v>144.06001194097388</v>
      </c>
      <c r="W47" s="158">
        <f t="shared" si="3"/>
        <v>32.094045433719387</v>
      </c>
      <c r="X47" s="158">
        <f t="shared" si="4"/>
        <v>10.974262645840831</v>
      </c>
      <c r="Y47" s="158">
        <f t="shared" si="5"/>
        <v>-0.92154330937332141</v>
      </c>
      <c r="Z47" s="158">
        <f t="shared" si="6"/>
        <v>-15.691809588059506</v>
      </c>
      <c r="AA47" s="158">
        <f t="shared" si="7"/>
        <v>-26.722028385095207</v>
      </c>
    </row>
    <row r="48" spans="1:27" ht="19.5" thickBot="1" x14ac:dyDescent="0.35">
      <c r="A48" s="142">
        <v>262</v>
      </c>
      <c r="B48" s="143" t="s">
        <v>476</v>
      </c>
      <c r="C48" s="142">
        <v>5101</v>
      </c>
      <c r="D48" s="143" t="s">
        <v>101</v>
      </c>
      <c r="E48" s="142">
        <v>4111</v>
      </c>
      <c r="F48" s="143" t="s">
        <v>491</v>
      </c>
      <c r="G48" s="144">
        <v>3.6627518924840063</v>
      </c>
      <c r="H48" s="145">
        <v>7.9175441993513704</v>
      </c>
      <c r="I48" s="146">
        <v>4.8597340258087725</v>
      </c>
      <c r="J48" s="147">
        <v>0.89031578683009127</v>
      </c>
      <c r="K48" s="148">
        <v>221</v>
      </c>
      <c r="M48" s="149">
        <f t="shared" si="0"/>
        <v>0.61379310344827587</v>
      </c>
      <c r="N48" s="138">
        <f t="shared" si="1"/>
        <v>4.8597340258087725</v>
      </c>
      <c r="O48" s="149"/>
      <c r="V48" s="158">
        <f t="shared" si="2"/>
        <v>267.49475807007821</v>
      </c>
      <c r="W48" s="158">
        <f t="shared" si="3"/>
        <v>105.52709463803251</v>
      </c>
      <c r="X48" s="158">
        <f t="shared" si="4"/>
        <v>74.975651399935799</v>
      </c>
      <c r="Y48" s="158">
        <f t="shared" si="5"/>
        <v>57.767423263199134</v>
      </c>
      <c r="Z48" s="158">
        <f t="shared" si="6"/>
        <v>36.401059965000528</v>
      </c>
      <c r="AA48" s="158">
        <f t="shared" si="7"/>
        <v>20.444972401693086</v>
      </c>
    </row>
    <row r="49" spans="1:27" ht="19.5" thickBot="1" x14ac:dyDescent="0.35">
      <c r="A49" s="142">
        <v>262</v>
      </c>
      <c r="B49" s="143" t="s">
        <v>476</v>
      </c>
      <c r="C49" s="142">
        <v>5101</v>
      </c>
      <c r="D49" s="143" t="s">
        <v>101</v>
      </c>
      <c r="E49" s="142">
        <v>4104</v>
      </c>
      <c r="F49" s="143" t="s">
        <v>492</v>
      </c>
      <c r="G49" s="144">
        <v>4.5139963627053952</v>
      </c>
      <c r="H49" s="145">
        <v>3.7660641777325909</v>
      </c>
      <c r="I49" s="146">
        <v>2.4479417155261842</v>
      </c>
      <c r="J49" s="147">
        <v>0.94474994731659179</v>
      </c>
      <c r="K49" s="148">
        <v>266</v>
      </c>
      <c r="M49" s="149">
        <f t="shared" si="0"/>
        <v>0.65</v>
      </c>
      <c r="N49" s="138">
        <f t="shared" si="1"/>
        <v>2.4479417155261842</v>
      </c>
      <c r="O49" s="149"/>
      <c r="V49" s="158">
        <f t="shared" si="2"/>
        <v>330.33183442484574</v>
      </c>
      <c r="W49" s="158">
        <f t="shared" si="3"/>
        <v>141.84081285980938</v>
      </c>
      <c r="X49" s="158">
        <f t="shared" si="4"/>
        <v>106.2863532583646</v>
      </c>
      <c r="Y49" s="158">
        <f t="shared" si="5"/>
        <v>86.260155237803772</v>
      </c>
      <c r="Z49" s="158">
        <f t="shared" si="6"/>
        <v>61.394897816239144</v>
      </c>
      <c r="AA49" s="158">
        <f t="shared" si="7"/>
        <v>42.825887303527537</v>
      </c>
    </row>
    <row r="50" spans="1:27" ht="19.5" thickBot="1" x14ac:dyDescent="0.35">
      <c r="A50" s="142">
        <v>262</v>
      </c>
      <c r="B50" s="143" t="s">
        <v>476</v>
      </c>
      <c r="C50" s="142">
        <v>5101</v>
      </c>
      <c r="D50" s="143" t="s">
        <v>101</v>
      </c>
      <c r="E50" s="142">
        <v>4008</v>
      </c>
      <c r="F50" s="143" t="s">
        <v>493</v>
      </c>
      <c r="G50" s="144">
        <v>2.2098362646270302</v>
      </c>
      <c r="H50" s="145">
        <v>8.5979220741980011</v>
      </c>
      <c r="I50" s="146">
        <v>5.2718837981266695</v>
      </c>
      <c r="J50" s="147">
        <v>0.88101356509434059</v>
      </c>
      <c r="K50" s="148">
        <v>214</v>
      </c>
      <c r="M50" s="149">
        <f t="shared" si="0"/>
        <v>0.61315789473684212</v>
      </c>
      <c r="N50" s="138">
        <f t="shared" si="1"/>
        <v>5.2718837981266695</v>
      </c>
      <c r="O50" s="149"/>
      <c r="V50" s="158">
        <f t="shared" si="2"/>
        <v>159.86598646216655</v>
      </c>
      <c r="W50" s="158">
        <f t="shared" si="3"/>
        <v>62.045325733107077</v>
      </c>
      <c r="X50" s="158">
        <f t="shared" si="4"/>
        <v>43.593726812370384</v>
      </c>
      <c r="Y50" s="158">
        <f t="shared" si="5"/>
        <v>33.200786575764354</v>
      </c>
      <c r="Z50" s="158">
        <f t="shared" si="6"/>
        <v>20.296533153081533</v>
      </c>
      <c r="AA50" s="158">
        <f t="shared" si="7"/>
        <v>10.659825460818512</v>
      </c>
    </row>
    <row r="51" spans="1:27" ht="19.5" thickBot="1" x14ac:dyDescent="0.35">
      <c r="A51" s="142">
        <v>262</v>
      </c>
      <c r="B51" s="143" t="s">
        <v>476</v>
      </c>
      <c r="C51" s="142">
        <v>5101</v>
      </c>
      <c r="D51" s="143" t="s">
        <v>101</v>
      </c>
      <c r="E51" s="142">
        <v>4007</v>
      </c>
      <c r="F51" s="143" t="s">
        <v>494</v>
      </c>
      <c r="G51" s="144">
        <v>7.7514398573821319</v>
      </c>
      <c r="H51" s="145">
        <v>25.414633103601499</v>
      </c>
      <c r="I51" s="146">
        <v>17.029094262311663</v>
      </c>
      <c r="J51" s="147">
        <v>0.61565328570692412</v>
      </c>
      <c r="K51" s="148">
        <v>24</v>
      </c>
      <c r="M51" s="149">
        <f t="shared" si="0"/>
        <v>0.6700507614213197</v>
      </c>
      <c r="N51" s="138">
        <f t="shared" si="1"/>
        <v>17.029094262311663</v>
      </c>
      <c r="O51" s="149"/>
      <c r="V51" s="158">
        <f t="shared" si="2"/>
        <v>358.58868608013938</v>
      </c>
      <c r="W51" s="158">
        <f t="shared" si="3"/>
        <v>44.59747152218916</v>
      </c>
      <c r="X51" s="158">
        <f t="shared" si="4"/>
        <v>-14.629688798321409</v>
      </c>
      <c r="Y51" s="158">
        <f t="shared" si="5"/>
        <v>-47.989634472361381</v>
      </c>
      <c r="Z51" s="158">
        <f t="shared" si="6"/>
        <v>-89.410558998463003</v>
      </c>
      <c r="AA51" s="158">
        <f t="shared" si="7"/>
        <v>-120.34309952806021</v>
      </c>
    </row>
    <row r="52" spans="1:27" ht="19.5" thickBot="1" x14ac:dyDescent="0.35">
      <c r="A52" s="142">
        <v>262</v>
      </c>
      <c r="B52" s="143" t="s">
        <v>476</v>
      </c>
      <c r="C52" s="142">
        <v>5101</v>
      </c>
      <c r="D52" s="143" t="s">
        <v>101</v>
      </c>
      <c r="E52" s="142">
        <v>4015</v>
      </c>
      <c r="F52" s="143" t="s">
        <v>107</v>
      </c>
      <c r="G52" s="144">
        <v>4.7798890689306095</v>
      </c>
      <c r="H52" s="145">
        <v>14.017061700343961</v>
      </c>
      <c r="I52" s="146">
        <v>8.5514536865904383</v>
      </c>
      <c r="J52" s="147">
        <v>0.80699366177421827</v>
      </c>
      <c r="K52" s="148">
        <v>133</v>
      </c>
      <c r="M52" s="149">
        <f t="shared" si="0"/>
        <v>0.6100746268656716</v>
      </c>
      <c r="N52" s="138">
        <f t="shared" si="1"/>
        <v>8.5514536865904383</v>
      </c>
      <c r="O52" s="149"/>
      <c r="V52" s="158">
        <f t="shared" si="2"/>
        <v>318.33961231473768</v>
      </c>
      <c r="W52" s="158">
        <f t="shared" si="3"/>
        <v>105.68359562458966</v>
      </c>
      <c r="X52" s="158">
        <f t="shared" si="4"/>
        <v>65.570970144413877</v>
      </c>
      <c r="Y52" s="158">
        <f t="shared" si="5"/>
        <v>42.977366135369948</v>
      </c>
      <c r="Z52" s="158">
        <f t="shared" si="6"/>
        <v>14.92432385600277</v>
      </c>
      <c r="AA52" s="158">
        <f t="shared" si="7"/>
        <v>-6.0252777575056431</v>
      </c>
    </row>
    <row r="53" spans="1:27" ht="19.5" thickBot="1" x14ac:dyDescent="0.35">
      <c r="A53" s="142">
        <v>262</v>
      </c>
      <c r="B53" s="143" t="s">
        <v>476</v>
      </c>
      <c r="C53" s="142">
        <v>5101</v>
      </c>
      <c r="D53" s="143" t="s">
        <v>101</v>
      </c>
      <c r="E53" s="142">
        <v>4109</v>
      </c>
      <c r="F53" s="143" t="s">
        <v>495</v>
      </c>
      <c r="G53" s="144">
        <v>2.5187938061803754</v>
      </c>
      <c r="H53" s="145">
        <v>5.9552314140182627</v>
      </c>
      <c r="I53" s="146">
        <v>3.8709004191118712</v>
      </c>
      <c r="J53" s="147">
        <v>0.9126337646310394</v>
      </c>
      <c r="K53" s="148">
        <v>238</v>
      </c>
      <c r="M53" s="149">
        <f t="shared" si="0"/>
        <v>0.65</v>
      </c>
      <c r="N53" s="138">
        <f t="shared" si="1"/>
        <v>3.8709004191118712</v>
      </c>
      <c r="O53" s="149"/>
      <c r="V53" s="158">
        <f t="shared" si="2"/>
        <v>178.05800245333967</v>
      </c>
      <c r="W53" s="158">
        <f t="shared" si="3"/>
        <v>72.880687389204581</v>
      </c>
      <c r="X53" s="158">
        <f t="shared" si="4"/>
        <v>53.04142624887514</v>
      </c>
      <c r="Y53" s="158">
        <f t="shared" si="5"/>
        <v>41.866879465390639</v>
      </c>
      <c r="Z53" s="158">
        <f t="shared" si="6"/>
        <v>27.992154864376349</v>
      </c>
      <c r="AA53" s="158">
        <f t="shared" si="7"/>
        <v>17.630713492216163</v>
      </c>
    </row>
    <row r="54" spans="1:27" ht="19.5" thickBot="1" x14ac:dyDescent="0.35">
      <c r="A54" s="142">
        <v>262</v>
      </c>
      <c r="B54" s="143" t="s">
        <v>476</v>
      </c>
      <c r="C54" s="142">
        <v>5101</v>
      </c>
      <c r="D54" s="143" t="s">
        <v>101</v>
      </c>
      <c r="E54" s="142">
        <v>4129</v>
      </c>
      <c r="F54" s="143" t="s">
        <v>496</v>
      </c>
      <c r="G54" s="144">
        <v>2.5697043736581602</v>
      </c>
      <c r="H54" s="145">
        <v>22.959839507145031</v>
      </c>
      <c r="I54" s="146">
        <v>15.916227726139519</v>
      </c>
      <c r="J54" s="147">
        <v>0.64077068713978325</v>
      </c>
      <c r="K54" s="148">
        <v>30</v>
      </c>
      <c r="M54" s="149">
        <f t="shared" si="0"/>
        <v>0.6932203389830508</v>
      </c>
      <c r="N54" s="138">
        <f t="shared" si="1"/>
        <v>15.916227726139519</v>
      </c>
      <c r="O54" s="149"/>
      <c r="V54" s="158">
        <f t="shared" si="2"/>
        <v>119.59147107632305</v>
      </c>
      <c r="W54" s="158">
        <f t="shared" si="3"/>
        <v>18.978334688665051</v>
      </c>
      <c r="X54" s="158">
        <f t="shared" si="4"/>
        <v>0</v>
      </c>
      <c r="Y54" s="158">
        <f t="shared" si="5"/>
        <v>-10.689626360127278</v>
      </c>
      <c r="Z54" s="158">
        <f t="shared" si="6"/>
        <v>-23.962256088047255</v>
      </c>
      <c r="AA54" s="158">
        <f t="shared" si="7"/>
        <v>-33.874061816442016</v>
      </c>
    </row>
    <row r="55" spans="1:27" ht="19.5" thickBot="1" x14ac:dyDescent="0.35">
      <c r="A55" s="142">
        <v>262</v>
      </c>
      <c r="B55" s="143" t="s">
        <v>476</v>
      </c>
      <c r="C55" s="142">
        <v>5101</v>
      </c>
      <c r="D55" s="143" t="s">
        <v>101</v>
      </c>
      <c r="E55" s="142">
        <v>4116</v>
      </c>
      <c r="F55" s="143" t="s">
        <v>110</v>
      </c>
      <c r="G55" s="144">
        <v>5.2395012254440703</v>
      </c>
      <c r="H55" s="145">
        <v>6.1074515727950542</v>
      </c>
      <c r="I55" s="146">
        <v>3.8601002518681242</v>
      </c>
      <c r="J55" s="147">
        <v>0.91287752444174963</v>
      </c>
      <c r="K55" s="148">
        <v>240</v>
      </c>
      <c r="M55" s="149">
        <f t="shared" si="0"/>
        <v>0.63203125000000004</v>
      </c>
      <c r="N55" s="138">
        <f t="shared" si="1"/>
        <v>3.8601002518681242</v>
      </c>
      <c r="O55" s="149"/>
      <c r="V55" s="158">
        <f t="shared" si="2"/>
        <v>381.02161503826568</v>
      </c>
      <c r="W55" s="158">
        <f t="shared" si="3"/>
        <v>156.01555535531298</v>
      </c>
      <c r="X55" s="158">
        <f t="shared" si="4"/>
        <v>113.57338069545773</v>
      </c>
      <c r="Y55" s="158">
        <f t="shared" si="5"/>
        <v>89.66764837132051</v>
      </c>
      <c r="Z55" s="158">
        <f t="shared" si="6"/>
        <v>59.985419748573456</v>
      </c>
      <c r="AA55" s="158">
        <f t="shared" si="7"/>
        <v>37.81916560561443</v>
      </c>
    </row>
    <row r="56" spans="1:27" ht="19.5" thickBot="1" x14ac:dyDescent="0.35">
      <c r="A56" s="142">
        <v>262</v>
      </c>
      <c r="B56" s="143" t="s">
        <v>476</v>
      </c>
      <c r="C56" s="142">
        <v>5101</v>
      </c>
      <c r="D56" s="143" t="s">
        <v>101</v>
      </c>
      <c r="E56" s="142">
        <v>4126</v>
      </c>
      <c r="F56" s="143" t="s">
        <v>497</v>
      </c>
      <c r="G56" s="144">
        <v>2.6352440240385908</v>
      </c>
      <c r="H56" s="145">
        <v>14.799388460515821</v>
      </c>
      <c r="I56" s="146">
        <v>10.283677622563559</v>
      </c>
      <c r="J56" s="147">
        <v>0.76789736176226964</v>
      </c>
      <c r="K56" s="148">
        <v>98</v>
      </c>
      <c r="M56" s="149">
        <f t="shared" si="0"/>
        <v>0.69487179487179496</v>
      </c>
      <c r="N56" s="138">
        <f t="shared" si="1"/>
        <v>10.283677622563559</v>
      </c>
      <c r="O56" s="149"/>
      <c r="V56" s="158">
        <f t="shared" si="2"/>
        <v>146.62398994976277</v>
      </c>
      <c r="W56" s="158">
        <f t="shared" si="3"/>
        <v>43.689960650674408</v>
      </c>
      <c r="X56" s="158">
        <f t="shared" si="4"/>
        <v>24.273843342054395</v>
      </c>
      <c r="Y56" s="158">
        <f t="shared" si="5"/>
        <v>13.337634090907116</v>
      </c>
      <c r="Z56" s="158">
        <f t="shared" si="6"/>
        <v>-0.24116194250285003</v>
      </c>
      <c r="AA56" s="158">
        <f t="shared" si="7"/>
        <v>-10.381608189227867</v>
      </c>
    </row>
    <row r="57" spans="1:27" ht="19.5" thickBot="1" x14ac:dyDescent="0.35">
      <c r="A57" s="142">
        <v>262</v>
      </c>
      <c r="B57" s="143" t="s">
        <v>476</v>
      </c>
      <c r="C57" s="142">
        <v>5101</v>
      </c>
      <c r="D57" s="143" t="s">
        <v>101</v>
      </c>
      <c r="E57" s="142">
        <v>4119</v>
      </c>
      <c r="F57" s="143" t="s">
        <v>498</v>
      </c>
      <c r="G57" s="144">
        <v>5.3559300765240208</v>
      </c>
      <c r="H57" s="145">
        <v>23.151907927908489</v>
      </c>
      <c r="I57" s="146">
        <v>14.591303262629424</v>
      </c>
      <c r="J57" s="147">
        <v>0.67067423669988147</v>
      </c>
      <c r="K57" s="148">
        <v>36</v>
      </c>
      <c r="M57" s="149">
        <f t="shared" si="0"/>
        <v>0.63024193548387097</v>
      </c>
      <c r="N57" s="138">
        <f t="shared" si="1"/>
        <v>14.591303262629424</v>
      </c>
      <c r="O57" s="149"/>
      <c r="V57" s="158">
        <f t="shared" si="2"/>
        <v>286.96235618652781</v>
      </c>
      <c r="W57" s="158">
        <f t="shared" si="3"/>
        <v>56.303347420725025</v>
      </c>
      <c r="X57" s="158">
        <f t="shared" si="4"/>
        <v>12.794875023574789</v>
      </c>
      <c r="Y57" s="158">
        <f t="shared" si="5"/>
        <v>-11.711453959190246</v>
      </c>
      <c r="Z57" s="158">
        <f t="shared" si="6"/>
        <v>-42.139405285167314</v>
      </c>
      <c r="AA57" s="158">
        <f t="shared" si="7"/>
        <v>-64.862554234444985</v>
      </c>
    </row>
    <row r="58" spans="1:27" ht="19.5" thickBot="1" x14ac:dyDescent="0.35">
      <c r="A58" s="142">
        <v>262</v>
      </c>
      <c r="B58" s="143" t="s">
        <v>476</v>
      </c>
      <c r="C58" s="142">
        <v>5101</v>
      </c>
      <c r="D58" s="143" t="s">
        <v>101</v>
      </c>
      <c r="E58" s="142">
        <v>4127</v>
      </c>
      <c r="F58" s="143" t="s">
        <v>499</v>
      </c>
      <c r="G58" s="144">
        <v>1.3827908004778966</v>
      </c>
      <c r="H58" s="145">
        <v>24.587956463298351</v>
      </c>
      <c r="I58" s="146">
        <v>16.39799743544971</v>
      </c>
      <c r="J58" s="147">
        <v>0.6298971431939312</v>
      </c>
      <c r="K58" s="148">
        <v>28</v>
      </c>
      <c r="M58" s="149">
        <f t="shared" si="0"/>
        <v>0.66691176470588243</v>
      </c>
      <c r="N58" s="138">
        <f t="shared" si="1"/>
        <v>16.39799743544971</v>
      </c>
      <c r="O58" s="149"/>
      <c r="V58" s="158">
        <f t="shared" si="2"/>
        <v>65.757220271065677</v>
      </c>
      <c r="W58" s="158">
        <f t="shared" si="3"/>
        <v>9.4802222403553653</v>
      </c>
      <c r="X58" s="158">
        <f t="shared" si="4"/>
        <v>-1.1351282222824215</v>
      </c>
      <c r="Y58" s="158">
        <f t="shared" si="5"/>
        <v>-7.1142687522033876</v>
      </c>
      <c r="Z58" s="158">
        <f t="shared" si="6"/>
        <v>-14.538187575114923</v>
      </c>
      <c r="AA58" s="158">
        <f t="shared" si="7"/>
        <v>-20.082261554763576</v>
      </c>
    </row>
    <row r="59" spans="1:27" ht="19.5" thickBot="1" x14ac:dyDescent="0.35">
      <c r="A59" s="142">
        <v>262</v>
      </c>
      <c r="B59" s="143" t="s">
        <v>476</v>
      </c>
      <c r="C59" s="142">
        <v>5101</v>
      </c>
      <c r="D59" s="143" t="s">
        <v>101</v>
      </c>
      <c r="E59" s="142">
        <v>4121</v>
      </c>
      <c r="F59" s="143" t="s">
        <v>500</v>
      </c>
      <c r="G59" s="144">
        <v>3.0026688585262442</v>
      </c>
      <c r="H59" s="145">
        <v>13.654519339879332</v>
      </c>
      <c r="I59" s="146">
        <v>8.8754375709215658</v>
      </c>
      <c r="J59" s="147">
        <v>0.79968134442436567</v>
      </c>
      <c r="K59" s="148">
        <v>124</v>
      </c>
      <c r="M59" s="149">
        <f t="shared" si="0"/>
        <v>0.65</v>
      </c>
      <c r="N59" s="138">
        <f t="shared" si="1"/>
        <v>8.8754375709215658</v>
      </c>
      <c r="O59" s="149"/>
      <c r="V59" s="158">
        <f t="shared" si="2"/>
        <v>185.9930654621636</v>
      </c>
      <c r="W59" s="158">
        <f t="shared" si="3"/>
        <v>60.61057174966885</v>
      </c>
      <c r="X59" s="158">
        <f t="shared" si="4"/>
        <v>36.960072270089356</v>
      </c>
      <c r="Y59" s="158">
        <f t="shared" si="5"/>
        <v>23.638829557572265</v>
      </c>
      <c r="Z59" s="158">
        <f t="shared" si="6"/>
        <v>7.0986890435415742</v>
      </c>
      <c r="AA59" s="158">
        <f t="shared" si="7"/>
        <v>-5.2532459426773208</v>
      </c>
    </row>
    <row r="60" spans="1:27" ht="19.5" thickBot="1" x14ac:dyDescent="0.35">
      <c r="A60" s="142">
        <v>262</v>
      </c>
      <c r="B60" s="143" t="s">
        <v>476</v>
      </c>
      <c r="C60" s="142">
        <v>5101</v>
      </c>
      <c r="D60" s="143" t="s">
        <v>101</v>
      </c>
      <c r="E60" s="142">
        <v>4101</v>
      </c>
      <c r="F60" s="143" t="s">
        <v>501</v>
      </c>
      <c r="G60" s="144">
        <v>8.0969419466873145</v>
      </c>
      <c r="H60" s="145">
        <v>8.2747289583089554</v>
      </c>
      <c r="I60" s="146">
        <v>6.6907976315878743</v>
      </c>
      <c r="J60" s="147">
        <v>0.84898867514098741</v>
      </c>
      <c r="K60" s="148">
        <v>179</v>
      </c>
      <c r="M60" s="149">
        <f t="shared" si="0"/>
        <v>0.80858208955223865</v>
      </c>
      <c r="N60" s="138">
        <f t="shared" si="1"/>
        <v>6.6907976315878743</v>
      </c>
      <c r="O60" s="149"/>
      <c r="V60" s="158">
        <f t="shared" si="2"/>
        <v>428.04015231332551</v>
      </c>
      <c r="W60" s="158">
        <f t="shared" si="3"/>
        <v>156.24623803990437</v>
      </c>
      <c r="X60" s="158">
        <f t="shared" si="4"/>
        <v>104.9786197485013</v>
      </c>
      <c r="Y60" s="158">
        <f t="shared" si="5"/>
        <v>76.101919400496513</v>
      </c>
      <c r="Z60" s="158">
        <f t="shared" si="6"/>
        <v>40.247555686459094</v>
      </c>
      <c r="AA60" s="158">
        <f t="shared" si="7"/>
        <v>13.472041343497059</v>
      </c>
    </row>
    <row r="61" spans="1:27" ht="19.5" thickBot="1" x14ac:dyDescent="0.35">
      <c r="A61" s="142">
        <v>262</v>
      </c>
      <c r="B61" s="143" t="s">
        <v>476</v>
      </c>
      <c r="C61" s="142">
        <v>5101</v>
      </c>
      <c r="D61" s="143" t="s">
        <v>101</v>
      </c>
      <c r="E61" s="142">
        <v>4110</v>
      </c>
      <c r="F61" s="143" t="s">
        <v>116</v>
      </c>
      <c r="G61" s="144">
        <v>1.8954203691045792</v>
      </c>
      <c r="H61" s="145">
        <v>21.631085467003249</v>
      </c>
      <c r="I61" s="146">
        <v>14.244861161197262</v>
      </c>
      <c r="J61" s="147">
        <v>0.67849343608460344</v>
      </c>
      <c r="K61" s="148">
        <v>39</v>
      </c>
      <c r="M61" s="149">
        <f t="shared" si="0"/>
        <v>0.65853658536585369</v>
      </c>
      <c r="N61" s="138">
        <f t="shared" si="1"/>
        <v>14.244861161197262</v>
      </c>
      <c r="O61" s="149"/>
      <c r="V61" s="158">
        <f t="shared" si="2"/>
        <v>98.323423367850111</v>
      </c>
      <c r="W61" s="158">
        <f t="shared" si="3"/>
        <v>20.202304261191063</v>
      </c>
      <c r="X61" s="158">
        <f t="shared" si="4"/>
        <v>5.4665669818479854</v>
      </c>
      <c r="Y61" s="158">
        <f t="shared" si="5"/>
        <v>-2.8333986495546308</v>
      </c>
      <c r="Z61" s="158">
        <f t="shared" si="6"/>
        <v>-13.138938513041198</v>
      </c>
      <c r="AA61" s="158">
        <f t="shared" si="7"/>
        <v>-20.834964933354414</v>
      </c>
    </row>
    <row r="62" spans="1:27" ht="19.5" thickBot="1" x14ac:dyDescent="0.35">
      <c r="A62" s="142">
        <v>262</v>
      </c>
      <c r="B62" s="143" t="s">
        <v>476</v>
      </c>
      <c r="C62" s="142">
        <v>5101</v>
      </c>
      <c r="D62" s="143" t="s">
        <v>101</v>
      </c>
      <c r="E62" s="142">
        <v>4107</v>
      </c>
      <c r="F62" s="143" t="s">
        <v>117</v>
      </c>
      <c r="G62" s="144">
        <v>2.1204174576225512</v>
      </c>
      <c r="H62" s="145">
        <v>15.091367921427583</v>
      </c>
      <c r="I62" s="146">
        <v>10.304574658849772</v>
      </c>
      <c r="J62" s="147">
        <v>0.76742571558359729</v>
      </c>
      <c r="K62" s="148">
        <v>97</v>
      </c>
      <c r="M62" s="149">
        <f t="shared" si="0"/>
        <v>0.68281250000000004</v>
      </c>
      <c r="N62" s="138">
        <f t="shared" si="1"/>
        <v>10.304574658849772</v>
      </c>
      <c r="O62" s="149"/>
      <c r="V62" s="158">
        <f t="shared" si="2"/>
        <v>119.98914552230357</v>
      </c>
      <c r="W62" s="158">
        <f t="shared" si="3"/>
        <v>35.701731785328469</v>
      </c>
      <c r="X62" s="158">
        <f t="shared" si="4"/>
        <v>19.802866037033187</v>
      </c>
      <c r="Y62" s="158">
        <f t="shared" si="5"/>
        <v>10.847763432556114</v>
      </c>
      <c r="Z62" s="158">
        <f t="shared" si="6"/>
        <v>-0.27121837658364373</v>
      </c>
      <c r="AA62" s="158">
        <f t="shared" si="7"/>
        <v>-8.5747113428580874</v>
      </c>
    </row>
    <row r="63" spans="1:27" ht="19.5" thickBot="1" x14ac:dyDescent="0.35">
      <c r="A63" s="142">
        <v>262</v>
      </c>
      <c r="B63" s="143" t="s">
        <v>476</v>
      </c>
      <c r="C63" s="142">
        <v>5101</v>
      </c>
      <c r="D63" s="143" t="s">
        <v>101</v>
      </c>
      <c r="E63" s="142">
        <v>4120</v>
      </c>
      <c r="F63" s="143" t="s">
        <v>502</v>
      </c>
      <c r="G63" s="144">
        <v>2.5505437581225676</v>
      </c>
      <c r="H63" s="145">
        <v>7.0573186375165893</v>
      </c>
      <c r="I63" s="146">
        <v>4.8617083947336504</v>
      </c>
      <c r="J63" s="147">
        <v>0.89027122531687197</v>
      </c>
      <c r="K63" s="148">
        <v>220</v>
      </c>
      <c r="M63" s="149">
        <f t="shared" si="0"/>
        <v>0.68888888888888888</v>
      </c>
      <c r="N63" s="138">
        <f t="shared" si="1"/>
        <v>4.8617083947336504</v>
      </c>
      <c r="O63" s="149"/>
      <c r="V63" s="158">
        <f t="shared" si="2"/>
        <v>165.95549615590352</v>
      </c>
      <c r="W63" s="158">
        <f t="shared" si="3"/>
        <v>65.464669498219564</v>
      </c>
      <c r="X63" s="158">
        <f t="shared" si="4"/>
        <v>46.509405703420548</v>
      </c>
      <c r="Y63" s="158">
        <f t="shared" si="5"/>
        <v>35.832774120720664</v>
      </c>
      <c r="Z63" s="158">
        <f t="shared" si="6"/>
        <v>22.576279182116991</v>
      </c>
      <c r="AA63" s="158">
        <f t="shared" si="7"/>
        <v>12.676522678363472</v>
      </c>
    </row>
    <row r="64" spans="1:27" ht="19.5" thickBot="1" x14ac:dyDescent="0.35">
      <c r="A64" s="142">
        <v>262</v>
      </c>
      <c r="B64" s="143" t="s">
        <v>476</v>
      </c>
      <c r="C64" s="142">
        <v>5006</v>
      </c>
      <c r="D64" s="143" t="s">
        <v>119</v>
      </c>
      <c r="E64" s="142">
        <v>4028</v>
      </c>
      <c r="F64" s="143" t="s">
        <v>503</v>
      </c>
      <c r="G64" s="144">
        <v>2.7952903573694758</v>
      </c>
      <c r="H64" s="145">
        <v>17.171740271436658</v>
      </c>
      <c r="I64" s="146">
        <v>11.698248059916224</v>
      </c>
      <c r="J64" s="147">
        <v>0.73597050227357175</v>
      </c>
      <c r="K64" s="148">
        <v>68</v>
      </c>
      <c r="M64" s="149">
        <f t="shared" si="0"/>
        <v>0.68125000000000002</v>
      </c>
      <c r="N64" s="138">
        <f t="shared" si="1"/>
        <v>11.698248059916224</v>
      </c>
      <c r="O64" s="149"/>
      <c r="V64" s="158">
        <f t="shared" si="2"/>
        <v>152.04303278322763</v>
      </c>
      <c r="W64" s="158">
        <f t="shared" si="3"/>
        <v>40.67431203049297</v>
      </c>
      <c r="X64" s="158">
        <f t="shared" si="4"/>
        <v>19.667185802459542</v>
      </c>
      <c r="Y64" s="158">
        <f t="shared" si="5"/>
        <v>7.8348341255852603</v>
      </c>
      <c r="Z64" s="158">
        <f t="shared" si="6"/>
        <v>-6.8566450081920154</v>
      </c>
      <c r="AA64" s="158">
        <f t="shared" si="7"/>
        <v>-17.828026717910401</v>
      </c>
    </row>
    <row r="65" spans="1:27" ht="19.5" thickBot="1" x14ac:dyDescent="0.35">
      <c r="A65" s="142">
        <v>262</v>
      </c>
      <c r="B65" s="143" t="s">
        <v>476</v>
      </c>
      <c r="C65" s="142">
        <v>5006</v>
      </c>
      <c r="D65" s="143" t="s">
        <v>119</v>
      </c>
      <c r="E65" s="142">
        <v>4033</v>
      </c>
      <c r="F65" s="143" t="s">
        <v>504</v>
      </c>
      <c r="G65" s="144">
        <v>1.4210880737196536</v>
      </c>
      <c r="H65" s="145">
        <v>19.70321229050278</v>
      </c>
      <c r="I65" s="146">
        <v>13.053378142458092</v>
      </c>
      <c r="J65" s="147">
        <v>0.7053852117911894</v>
      </c>
      <c r="K65" s="148">
        <v>56</v>
      </c>
      <c r="M65" s="149">
        <f t="shared" si="0"/>
        <v>0.66249999999999998</v>
      </c>
      <c r="N65" s="138">
        <f t="shared" si="1"/>
        <v>13.053378142458092</v>
      </c>
      <c r="O65" s="149"/>
      <c r="V65" s="158">
        <f t="shared" si="2"/>
        <v>76.181087368639965</v>
      </c>
      <c r="W65" s="158">
        <f t="shared" si="3"/>
        <v>17.960319081438914</v>
      </c>
      <c r="X65" s="158">
        <f t="shared" si="4"/>
        <v>6.9783214412057495</v>
      </c>
      <c r="Y65" s="158">
        <f t="shared" si="5"/>
        <v>0.79266535558480666</v>
      </c>
      <c r="Z65" s="158">
        <f t="shared" si="6"/>
        <v>-6.8876707088203597</v>
      </c>
      <c r="AA65" s="158">
        <f t="shared" si="7"/>
        <v>-12.623233333537543</v>
      </c>
    </row>
    <row r="66" spans="1:27" ht="19.5" thickBot="1" x14ac:dyDescent="0.35">
      <c r="A66" s="142">
        <v>262</v>
      </c>
      <c r="B66" s="143" t="s">
        <v>476</v>
      </c>
      <c r="C66" s="142">
        <v>5006</v>
      </c>
      <c r="D66" s="143" t="s">
        <v>119</v>
      </c>
      <c r="E66" s="142">
        <v>4037</v>
      </c>
      <c r="F66" s="143" t="s">
        <v>122</v>
      </c>
      <c r="G66" s="144">
        <v>4.3565891624630178</v>
      </c>
      <c r="H66" s="145">
        <v>25.708184963826216</v>
      </c>
      <c r="I66" s="146">
        <v>17.054626275109712</v>
      </c>
      <c r="J66" s="147">
        <v>0.61507702809292186</v>
      </c>
      <c r="K66" s="148">
        <v>23</v>
      </c>
      <c r="M66" s="149">
        <f t="shared" si="0"/>
        <v>0.66339285714285712</v>
      </c>
      <c r="N66" s="138">
        <f t="shared" si="1"/>
        <v>17.054626275109712</v>
      </c>
      <c r="O66" s="149"/>
      <c r="V66" s="158">
        <f t="shared" si="2"/>
        <v>203.37193818374593</v>
      </c>
      <c r="W66" s="158">
        <f t="shared" si="3"/>
        <v>25.12641302523501</v>
      </c>
      <c r="X66" s="158">
        <f t="shared" si="4"/>
        <v>-8.4954712999021549</v>
      </c>
      <c r="Y66" s="158">
        <f t="shared" si="5"/>
        <v>-27.433138216156614</v>
      </c>
      <c r="Z66" s="158">
        <f t="shared" si="6"/>
        <v>-50.946835741420983</v>
      </c>
      <c r="AA66" s="158">
        <f t="shared" si="7"/>
        <v>-68.506521094233264</v>
      </c>
    </row>
    <row r="67" spans="1:27" ht="19.5" thickBot="1" x14ac:dyDescent="0.35">
      <c r="A67" s="142">
        <v>262</v>
      </c>
      <c r="B67" s="143" t="s">
        <v>476</v>
      </c>
      <c r="C67" s="142">
        <v>5006</v>
      </c>
      <c r="D67" s="143" t="s">
        <v>119</v>
      </c>
      <c r="E67" s="142">
        <v>4038</v>
      </c>
      <c r="F67" s="143" t="s">
        <v>123</v>
      </c>
      <c r="G67" s="144">
        <v>4.5469934366708564</v>
      </c>
      <c r="H67" s="145">
        <v>21.112852115812096</v>
      </c>
      <c r="I67" s="146">
        <v>13.926785002435427</v>
      </c>
      <c r="J67" s="147">
        <v>0.68567241604865459</v>
      </c>
      <c r="K67" s="148">
        <v>42</v>
      </c>
      <c r="M67" s="149">
        <f t="shared" si="0"/>
        <v>0.6596354166666667</v>
      </c>
      <c r="N67" s="138">
        <f t="shared" si="1"/>
        <v>13.926785002435427</v>
      </c>
      <c r="O67" s="149"/>
      <c r="V67" s="158">
        <f t="shared" si="2"/>
        <v>237.97029285500486</v>
      </c>
      <c r="W67" s="158">
        <f t="shared" si="3"/>
        <v>50.87486182003142</v>
      </c>
      <c r="X67" s="158">
        <f t="shared" si="4"/>
        <v>15.583648004562498</v>
      </c>
      <c r="Y67" s="158">
        <f t="shared" si="5"/>
        <v>-4.2942757264400955</v>
      </c>
      <c r="Z67" s="158">
        <f t="shared" si="6"/>
        <v>-28.975430385459408</v>
      </c>
      <c r="AA67" s="158">
        <f t="shared" si="7"/>
        <v>-47.406955648162771</v>
      </c>
    </row>
    <row r="68" spans="1:27" ht="19.5" thickBot="1" x14ac:dyDescent="0.35">
      <c r="A68" s="142">
        <v>262</v>
      </c>
      <c r="B68" s="143" t="s">
        <v>476</v>
      </c>
      <c r="C68" s="142">
        <v>5006</v>
      </c>
      <c r="D68" s="143" t="s">
        <v>119</v>
      </c>
      <c r="E68" s="142">
        <v>4039</v>
      </c>
      <c r="F68" s="143" t="s">
        <v>505</v>
      </c>
      <c r="G68" s="144">
        <v>1.5103209234800916</v>
      </c>
      <c r="H68" s="145">
        <v>25.822326496103848</v>
      </c>
      <c r="I68" s="146">
        <v>17.016251049996637</v>
      </c>
      <c r="J68" s="147">
        <v>0.61594315705170688</v>
      </c>
      <c r="K68" s="148">
        <v>25</v>
      </c>
      <c r="M68" s="149">
        <f t="shared" si="0"/>
        <v>0.65897435897435885</v>
      </c>
      <c r="N68" s="138">
        <f t="shared" si="1"/>
        <v>17.016251049996637</v>
      </c>
      <c r="O68" s="149"/>
      <c r="V68" s="158">
        <f t="shared" si="2"/>
        <v>71.076668272143309</v>
      </c>
      <c r="W68" s="158">
        <f t="shared" si="3"/>
        <v>8.8690544685407708</v>
      </c>
      <c r="X68" s="158">
        <f t="shared" si="4"/>
        <v>-2.864969112626607</v>
      </c>
      <c r="Y68" s="158">
        <f t="shared" si="5"/>
        <v>-9.4742069536326099</v>
      </c>
      <c r="Z68" s="158">
        <f t="shared" si="6"/>
        <v>-17.68047756517019</v>
      </c>
      <c r="AA68" s="158">
        <f t="shared" si="7"/>
        <v>-23.808800416299924</v>
      </c>
    </row>
    <row r="69" spans="1:27" ht="19.5" thickBot="1" x14ac:dyDescent="0.35">
      <c r="A69" s="142">
        <v>262</v>
      </c>
      <c r="B69" s="143" t="s">
        <v>476</v>
      </c>
      <c r="C69" s="142">
        <v>5006</v>
      </c>
      <c r="D69" s="143" t="s">
        <v>119</v>
      </c>
      <c r="E69" s="142">
        <v>4027</v>
      </c>
      <c r="F69" s="143" t="s">
        <v>506</v>
      </c>
      <c r="G69" s="144">
        <v>3.0536943670474646</v>
      </c>
      <c r="H69" s="145">
        <v>24.560414692880837</v>
      </c>
      <c r="I69" s="146">
        <v>16.152566063017964</v>
      </c>
      <c r="J69" s="147">
        <v>0.63543653008823908</v>
      </c>
      <c r="K69" s="148">
        <v>29</v>
      </c>
      <c r="M69" s="149">
        <f t="shared" si="0"/>
        <v>0.65766666666666673</v>
      </c>
      <c r="N69" s="138">
        <f t="shared" si="1"/>
        <v>16.152566063017964</v>
      </c>
      <c r="O69" s="149"/>
      <c r="V69" s="158">
        <f t="shared" si="2"/>
        <v>148.55169790821401</v>
      </c>
      <c r="W69" s="158">
        <f t="shared" si="3"/>
        <v>22.524999928947892</v>
      </c>
      <c r="X69" s="158">
        <f t="shared" si="4"/>
        <v>-1.2470137447180234</v>
      </c>
      <c r="Y69" s="158">
        <f t="shared" si="5"/>
        <v>-14.636699835094371</v>
      </c>
      <c r="Z69" s="158">
        <f t="shared" si="6"/>
        <v>-31.261822141851006</v>
      </c>
      <c r="AA69" s="158">
        <f t="shared" si="7"/>
        <v>-43.677220287761486</v>
      </c>
    </row>
    <row r="70" spans="1:27" ht="19.5" thickBot="1" x14ac:dyDescent="0.35">
      <c r="A70" s="142">
        <v>262</v>
      </c>
      <c r="B70" s="143" t="s">
        <v>476</v>
      </c>
      <c r="C70" s="142">
        <v>5006</v>
      </c>
      <c r="D70" s="143" t="s">
        <v>119</v>
      </c>
      <c r="E70" s="142">
        <v>4029</v>
      </c>
      <c r="F70" s="143" t="s">
        <v>507</v>
      </c>
      <c r="G70" s="144">
        <v>2.1938047859956189</v>
      </c>
      <c r="H70" s="145">
        <v>28.717231543192472</v>
      </c>
      <c r="I70" s="146">
        <v>18.347120152595192</v>
      </c>
      <c r="J70" s="147">
        <v>0.58590543696755648</v>
      </c>
      <c r="K70" s="148">
        <v>17</v>
      </c>
      <c r="M70" s="149">
        <f t="shared" ref="M70:M133" si="8">IF(ISERROR(I70/H70),$O$3,(I70/H70))</f>
        <v>0.63888888888888895</v>
      </c>
      <c r="N70" s="138">
        <f t="shared" ref="N70:N133" si="9">I70</f>
        <v>18.347120152595192</v>
      </c>
      <c r="O70" s="149"/>
      <c r="V70" s="158">
        <f t="shared" ref="V70:V133" si="10">(((($O$5-N70))/M70)*G70)+((((($O$5-N70)/$T$2))*$T$3/M70)*G70)</f>
        <v>101.29450279821074</v>
      </c>
      <c r="W70" s="158">
        <f t="shared" ref="W70:W133" si="11">(((($P$5-N70))/M70)*G70)+((((($P$5-N70)/$T$2))*$T$3/M70)*G70)</f>
        <v>8.0945989319911771</v>
      </c>
      <c r="X70" s="158">
        <f t="shared" ref="X70:X133" si="12">(((($Q$5-N70))/M70)*G70)+((((($Q$5-N70)/$T$2))*$T$3/M70)*G70)</f>
        <v>-9.4854013744250221</v>
      </c>
      <c r="Y70" s="158">
        <f t="shared" ref="Y70:Y133" si="13">(((($R$5-N70))/M70)*G70)+((((($R$5-N70)/$T$2))*$T$3/M70)*G70)</f>
        <v>-19.387410047438415</v>
      </c>
      <c r="Z70" s="158">
        <f t="shared" ref="Z70:Z133" si="14">(((($S$5-N70))/M70)*G70)+((((($S$5-N70)/$T$2))*$T$3/M70)*G70)</f>
        <v>-31.68210494620326</v>
      </c>
      <c r="AA70" s="158">
        <f t="shared" ref="AA70:AA133" si="15">(((($T$5-N70))/M70)*G70)+((((($T$5-N70)/$T$2))*$T$3/M70)*G70)</f>
        <v>-40.863603249444253</v>
      </c>
    </row>
    <row r="71" spans="1:27" ht="19.5" thickBot="1" x14ac:dyDescent="0.35">
      <c r="A71" s="142">
        <v>262</v>
      </c>
      <c r="B71" s="143" t="s">
        <v>476</v>
      </c>
      <c r="C71" s="142">
        <v>5006</v>
      </c>
      <c r="D71" s="143" t="s">
        <v>119</v>
      </c>
      <c r="E71" s="142">
        <v>4019</v>
      </c>
      <c r="F71" s="143" t="s">
        <v>127</v>
      </c>
      <c r="G71" s="144">
        <v>4.5919046557416676</v>
      </c>
      <c r="H71" s="145">
        <v>24.608524887098</v>
      </c>
      <c r="I71" s="146">
        <v>17.55807361966616</v>
      </c>
      <c r="J71" s="147">
        <v>0.60371421984726603</v>
      </c>
      <c r="K71" s="148">
        <v>20</v>
      </c>
      <c r="M71" s="149">
        <f t="shared" si="8"/>
        <v>0.71349557522123885</v>
      </c>
      <c r="N71" s="138">
        <f t="shared" si="9"/>
        <v>17.55807361966616</v>
      </c>
      <c r="O71" s="149"/>
      <c r="V71" s="158">
        <f t="shared" si="10"/>
        <v>195.62244728942915</v>
      </c>
      <c r="W71" s="158">
        <f t="shared" si="11"/>
        <v>20.941958752351614</v>
      </c>
      <c r="X71" s="158">
        <f t="shared" si="12"/>
        <v>-12.007464096997483</v>
      </c>
      <c r="Y71" s="158">
        <f t="shared" si="13"/>
        <v>-30.566364275512431</v>
      </c>
      <c r="Z71" s="158">
        <f t="shared" si="14"/>
        <v>-53.609771213070161</v>
      </c>
      <c r="AA71" s="158">
        <f t="shared" si="15"/>
        <v>-70.818250434407588</v>
      </c>
    </row>
    <row r="72" spans="1:27" ht="19.5" thickBot="1" x14ac:dyDescent="0.35">
      <c r="A72" s="142">
        <v>262</v>
      </c>
      <c r="B72" s="143" t="s">
        <v>476</v>
      </c>
      <c r="C72" s="142">
        <v>5006</v>
      </c>
      <c r="D72" s="143" t="s">
        <v>119</v>
      </c>
      <c r="E72" s="142">
        <v>4024</v>
      </c>
      <c r="F72" s="143" t="s">
        <v>508</v>
      </c>
      <c r="G72" s="144">
        <v>2.7606706159337735</v>
      </c>
      <c r="H72" s="145">
        <v>23.182772921409367</v>
      </c>
      <c r="I72" s="146">
        <v>15.114081252278217</v>
      </c>
      <c r="J72" s="147">
        <v>0.65887513573002299</v>
      </c>
      <c r="K72" s="148">
        <v>34</v>
      </c>
      <c r="M72" s="149">
        <f t="shared" si="8"/>
        <v>0.65195312500000002</v>
      </c>
      <c r="N72" s="138">
        <f t="shared" si="9"/>
        <v>15.114081252278217</v>
      </c>
      <c r="O72" s="149"/>
      <c r="V72" s="158">
        <f t="shared" si="10"/>
        <v>140.47111984054098</v>
      </c>
      <c r="W72" s="158">
        <f t="shared" si="11"/>
        <v>25.539099407860068</v>
      </c>
      <c r="X72" s="158">
        <f t="shared" si="12"/>
        <v>3.8598393377657381</v>
      </c>
      <c r="Y72" s="158">
        <f t="shared" si="13"/>
        <v>-8.351094535781419</v>
      </c>
      <c r="Z72" s="158">
        <f t="shared" si="14"/>
        <v>-23.512635124350439</v>
      </c>
      <c r="AA72" s="158">
        <f t="shared" si="15"/>
        <v>-34.835051852434589</v>
      </c>
    </row>
    <row r="73" spans="1:27" ht="19.5" thickBot="1" x14ac:dyDescent="0.35">
      <c r="A73" s="142">
        <v>262</v>
      </c>
      <c r="B73" s="143" t="s">
        <v>476</v>
      </c>
      <c r="C73" s="142">
        <v>5006</v>
      </c>
      <c r="D73" s="143" t="s">
        <v>119</v>
      </c>
      <c r="E73" s="142">
        <v>4047</v>
      </c>
      <c r="F73" s="143" t="s">
        <v>129</v>
      </c>
      <c r="G73" s="144">
        <v>5.5965996495066284</v>
      </c>
      <c r="H73" s="145">
        <v>30.554267003013983</v>
      </c>
      <c r="I73" s="146">
        <v>20.235501392346979</v>
      </c>
      <c r="J73" s="147">
        <v>0.54328466608853265</v>
      </c>
      <c r="K73" s="148">
        <v>12</v>
      </c>
      <c r="M73" s="149">
        <f t="shared" si="8"/>
        <v>0.66228070175438591</v>
      </c>
      <c r="N73" s="138">
        <f t="shared" si="9"/>
        <v>20.235501392346979</v>
      </c>
      <c r="O73" s="149"/>
      <c r="V73" s="158">
        <f t="shared" si="10"/>
        <v>231.15074245456816</v>
      </c>
      <c r="W73" s="158">
        <f t="shared" si="11"/>
        <v>1.7868973100394208</v>
      </c>
      <c r="X73" s="158">
        <f t="shared" si="12"/>
        <v>-41.477272508306235</v>
      </c>
      <c r="Y73" s="158">
        <f t="shared" si="13"/>
        <v>-65.845997042152149</v>
      </c>
      <c r="Z73" s="158">
        <f t="shared" si="14"/>
        <v>-96.103093668639389</v>
      </c>
      <c r="AA73" s="158">
        <f t="shared" si="15"/>
        <v>-118.69865082760562</v>
      </c>
    </row>
    <row r="74" spans="1:27" ht="19.5" thickBot="1" x14ac:dyDescent="0.35">
      <c r="A74" s="142">
        <v>262</v>
      </c>
      <c r="B74" s="143" t="s">
        <v>476</v>
      </c>
      <c r="C74" s="142">
        <v>5006</v>
      </c>
      <c r="D74" s="143" t="s">
        <v>119</v>
      </c>
      <c r="E74" s="142">
        <v>4026</v>
      </c>
      <c r="F74" s="143" t="s">
        <v>130</v>
      </c>
      <c r="G74" s="144">
        <v>4.2868855299321398</v>
      </c>
      <c r="H74" s="145">
        <v>20.994262471343543</v>
      </c>
      <c r="I74" s="146">
        <v>13.208890138220312</v>
      </c>
      <c r="J74" s="147">
        <v>0.70187530552819755</v>
      </c>
      <c r="K74" s="148">
        <v>53</v>
      </c>
      <c r="M74" s="149">
        <f t="shared" si="8"/>
        <v>0.62916666666666665</v>
      </c>
      <c r="N74" s="138">
        <f t="shared" si="9"/>
        <v>13.208890138220312</v>
      </c>
      <c r="O74" s="149"/>
      <c r="V74" s="158">
        <f t="shared" si="10"/>
        <v>240.7807975415364</v>
      </c>
      <c r="W74" s="158">
        <f t="shared" si="11"/>
        <v>55.845844474687915</v>
      </c>
      <c r="X74" s="158">
        <f t="shared" si="12"/>
        <v>20.962154720575981</v>
      </c>
      <c r="Y74" s="158">
        <f t="shared" si="13"/>
        <v>1.31377062095472</v>
      </c>
      <c r="Z74" s="158">
        <f t="shared" si="14"/>
        <v>-23.082379264972467</v>
      </c>
      <c r="AA74" s="158">
        <f t="shared" si="15"/>
        <v>-41.301067132188791</v>
      </c>
    </row>
    <row r="75" spans="1:27" ht="19.5" thickBot="1" x14ac:dyDescent="0.35">
      <c r="A75" s="142">
        <v>262</v>
      </c>
      <c r="B75" s="143" t="s">
        <v>476</v>
      </c>
      <c r="C75" s="142">
        <v>5006</v>
      </c>
      <c r="D75" s="143" t="s">
        <v>119</v>
      </c>
      <c r="E75" s="142">
        <v>4045</v>
      </c>
      <c r="F75" s="143" t="s">
        <v>509</v>
      </c>
      <c r="G75" s="144">
        <v>5.9599043153562459</v>
      </c>
      <c r="H75" s="145">
        <v>33.557585729133514</v>
      </c>
      <c r="I75" s="146">
        <v>21.94666106685332</v>
      </c>
      <c r="J75" s="147">
        <v>0.50466378652813948</v>
      </c>
      <c r="K75" s="148">
        <v>8</v>
      </c>
      <c r="M75" s="149">
        <f t="shared" si="8"/>
        <v>0.65400000000000003</v>
      </c>
      <c r="N75" s="138">
        <f t="shared" si="9"/>
        <v>21.94666106685332</v>
      </c>
      <c r="O75" s="149"/>
      <c r="V75" s="158">
        <f t="shared" si="10"/>
        <v>231.55245265859705</v>
      </c>
      <c r="W75" s="158">
        <f t="shared" si="11"/>
        <v>-15.793244087789244</v>
      </c>
      <c r="X75" s="158">
        <f t="shared" si="12"/>
        <v>-62.449273163032323</v>
      </c>
      <c r="Y75" s="158">
        <f t="shared" si="13"/>
        <v>-88.728476604388874</v>
      </c>
      <c r="Z75" s="158">
        <f t="shared" si="14"/>
        <v>-121.35769347980951</v>
      </c>
      <c r="AA75" s="158">
        <f t="shared" si="15"/>
        <v>-145.72471534123483</v>
      </c>
    </row>
    <row r="76" spans="1:27" ht="19.5" thickBot="1" x14ac:dyDescent="0.35">
      <c r="A76" s="142">
        <v>262</v>
      </c>
      <c r="B76" s="143" t="s">
        <v>476</v>
      </c>
      <c r="C76" s="142">
        <v>5006</v>
      </c>
      <c r="D76" s="143" t="s">
        <v>119</v>
      </c>
      <c r="E76" s="142">
        <v>4043</v>
      </c>
      <c r="F76" s="143" t="s">
        <v>132</v>
      </c>
      <c r="G76" s="144">
        <v>8.4737407849749893</v>
      </c>
      <c r="H76" s="145">
        <v>19.825954588779158</v>
      </c>
      <c r="I76" s="146">
        <v>13.8073612314712</v>
      </c>
      <c r="J76" s="147">
        <v>0.68836781095760025</v>
      </c>
      <c r="K76" s="148">
        <v>44</v>
      </c>
      <c r="M76" s="149">
        <f t="shared" si="8"/>
        <v>0.6964285714285714</v>
      </c>
      <c r="N76" s="138">
        <f t="shared" si="9"/>
        <v>13.8073612314712</v>
      </c>
      <c r="O76" s="149"/>
      <c r="V76" s="158">
        <f t="shared" si="10"/>
        <v>421.7012157980779</v>
      </c>
      <c r="W76" s="158">
        <f t="shared" si="11"/>
        <v>91.452289247921797</v>
      </c>
      <c r="X76" s="158">
        <f t="shared" si="12"/>
        <v>29.158488620411951</v>
      </c>
      <c r="Y76" s="158">
        <f t="shared" si="13"/>
        <v>-5.928755027896905</v>
      </c>
      <c r="Z76" s="158">
        <f t="shared" si="14"/>
        <v>-49.494355679234417</v>
      </c>
      <c r="AA76" s="158">
        <f t="shared" si="15"/>
        <v>-82.028508966772677</v>
      </c>
    </row>
    <row r="77" spans="1:27" ht="19.5" thickBot="1" x14ac:dyDescent="0.35">
      <c r="A77" s="142">
        <v>262</v>
      </c>
      <c r="B77" s="143" t="s">
        <v>476</v>
      </c>
      <c r="C77" s="142">
        <v>5006</v>
      </c>
      <c r="D77" s="143" t="s">
        <v>119</v>
      </c>
      <c r="E77" s="142">
        <v>4048</v>
      </c>
      <c r="F77" s="143" t="s">
        <v>510</v>
      </c>
      <c r="G77" s="144">
        <v>2.7902579681527038</v>
      </c>
      <c r="H77" s="145">
        <v>16.485930879880041</v>
      </c>
      <c r="I77" s="146">
        <v>11.04736563852831</v>
      </c>
      <c r="J77" s="147">
        <v>0.75066092069501544</v>
      </c>
      <c r="K77" s="148">
        <v>79</v>
      </c>
      <c r="M77" s="149">
        <f t="shared" si="8"/>
        <v>0.6701086956521739</v>
      </c>
      <c r="N77" s="138">
        <f t="shared" si="9"/>
        <v>11.04736563852831</v>
      </c>
      <c r="O77" s="149"/>
      <c r="V77" s="158">
        <f t="shared" si="10"/>
        <v>157.37241707622076</v>
      </c>
      <c r="W77" s="158">
        <f t="shared" si="11"/>
        <v>44.35589887587097</v>
      </c>
      <c r="X77" s="158">
        <f t="shared" si="12"/>
        <v>23.037953876226279</v>
      </c>
      <c r="Y77" s="158">
        <f t="shared" si="13"/>
        <v>11.030532226736192</v>
      </c>
      <c r="Z77" s="158">
        <f t="shared" si="14"/>
        <v>-3.8783201663791163</v>
      </c>
      <c r="AA77" s="158">
        <f t="shared" si="15"/>
        <v>-15.012033046428749</v>
      </c>
    </row>
    <row r="78" spans="1:27" ht="19.5" thickBot="1" x14ac:dyDescent="0.35">
      <c r="A78" s="142">
        <v>262</v>
      </c>
      <c r="B78" s="143" t="s">
        <v>476</v>
      </c>
      <c r="C78" s="142">
        <v>5006</v>
      </c>
      <c r="D78" s="143" t="s">
        <v>119</v>
      </c>
      <c r="E78" s="142">
        <v>4010</v>
      </c>
      <c r="F78" s="143" t="s">
        <v>134</v>
      </c>
      <c r="G78" s="144">
        <v>2.4499054331821712</v>
      </c>
      <c r="H78" s="145">
        <v>60.410495031950461</v>
      </c>
      <c r="I78" s="146">
        <v>39.838272399448414</v>
      </c>
      <c r="J78" s="147">
        <v>0.10085005908223812</v>
      </c>
      <c r="K78" s="148">
        <v>2</v>
      </c>
      <c r="M78" s="149">
        <f t="shared" si="8"/>
        <v>0.6594594594594595</v>
      </c>
      <c r="N78" s="138">
        <f t="shared" si="9"/>
        <v>39.838272399448414</v>
      </c>
      <c r="O78" s="149"/>
      <c r="V78" s="158">
        <f t="shared" si="10"/>
        <v>18.863534910409225</v>
      </c>
      <c r="W78" s="158">
        <f t="shared" si="11"/>
        <v>-81.969778533058772</v>
      </c>
      <c r="X78" s="158">
        <f t="shared" si="12"/>
        <v>-100.98964451680071</v>
      </c>
      <c r="Y78" s="158">
        <f t="shared" si="13"/>
        <v>-111.70266355251871</v>
      </c>
      <c r="Z78" s="158">
        <f t="shared" si="14"/>
        <v>-125.00433847912021</v>
      </c>
      <c r="AA78" s="158">
        <f t="shared" si="15"/>
        <v>-134.93783473701632</v>
      </c>
    </row>
    <row r="79" spans="1:27" ht="19.5" thickBot="1" x14ac:dyDescent="0.35">
      <c r="A79" s="142">
        <v>262</v>
      </c>
      <c r="B79" s="143" t="s">
        <v>476</v>
      </c>
      <c r="C79" s="142">
        <v>5006</v>
      </c>
      <c r="D79" s="143" t="s">
        <v>119</v>
      </c>
      <c r="E79" s="142">
        <v>4054</v>
      </c>
      <c r="F79" s="143" t="s">
        <v>511</v>
      </c>
      <c r="G79" s="144">
        <v>2.6774806508153159</v>
      </c>
      <c r="H79" s="145">
        <v>16.059873294287346</v>
      </c>
      <c r="I79" s="146">
        <v>10.784391659826678</v>
      </c>
      <c r="J79" s="147">
        <v>0.75659624427133987</v>
      </c>
      <c r="K79" s="148">
        <v>86</v>
      </c>
      <c r="M79" s="149">
        <f t="shared" si="8"/>
        <v>0.67151162790697683</v>
      </c>
      <c r="N79" s="138">
        <f t="shared" si="9"/>
        <v>10.784391659826678</v>
      </c>
      <c r="O79" s="149"/>
      <c r="V79" s="158">
        <f t="shared" si="10"/>
        <v>151.88772927308872</v>
      </c>
      <c r="W79" s="158">
        <f t="shared" si="11"/>
        <v>43.66571230872654</v>
      </c>
      <c r="X79" s="158">
        <f t="shared" si="12"/>
        <v>23.252138769794534</v>
      </c>
      <c r="Y79" s="158">
        <f t="shared" si="13"/>
        <v>11.754108126647854</v>
      </c>
      <c r="Z79" s="158">
        <f t="shared" si="14"/>
        <v>-2.5222658255794541</v>
      </c>
      <c r="AA79" s="158">
        <f t="shared" si="15"/>
        <v>-13.18365305788706</v>
      </c>
    </row>
    <row r="80" spans="1:27" ht="19.5" thickBot="1" x14ac:dyDescent="0.35">
      <c r="A80" s="142">
        <v>262</v>
      </c>
      <c r="B80" s="143" t="s">
        <v>476</v>
      </c>
      <c r="C80" s="142">
        <v>5006</v>
      </c>
      <c r="D80" s="143" t="s">
        <v>119</v>
      </c>
      <c r="E80" s="142">
        <v>4006</v>
      </c>
      <c r="F80" s="143" t="s">
        <v>136</v>
      </c>
      <c r="G80" s="144">
        <v>5.5613445738930185</v>
      </c>
      <c r="H80" s="145">
        <v>22.116953618987555</v>
      </c>
      <c r="I80" s="146">
        <v>14.438954273208948</v>
      </c>
      <c r="J80" s="147">
        <v>0.67411275389919145</v>
      </c>
      <c r="K80" s="148">
        <v>37</v>
      </c>
      <c r="M80" s="149">
        <f t="shared" si="8"/>
        <v>0.65284552845528454</v>
      </c>
      <c r="N80" s="138">
        <f t="shared" si="9"/>
        <v>14.438954273208948</v>
      </c>
      <c r="O80" s="149"/>
      <c r="V80" s="158">
        <f t="shared" si="10"/>
        <v>289.12631356144703</v>
      </c>
      <c r="W80" s="158">
        <f t="shared" si="11"/>
        <v>57.913344593910566</v>
      </c>
      <c r="X80" s="158">
        <f t="shared" si="12"/>
        <v>14.300380452539221</v>
      </c>
      <c r="Y80" s="158">
        <f t="shared" si="13"/>
        <v>-10.264803942029083</v>
      </c>
      <c r="Z80" s="158">
        <f t="shared" si="14"/>
        <v>-40.765832292593529</v>
      </c>
      <c r="AA80" s="158">
        <f t="shared" si="15"/>
        <v>-63.543554094860212</v>
      </c>
    </row>
    <row r="81" spans="1:27" ht="19.5" thickBot="1" x14ac:dyDescent="0.35">
      <c r="A81" s="142">
        <v>262</v>
      </c>
      <c r="B81" s="143" t="s">
        <v>476</v>
      </c>
      <c r="C81" s="142">
        <v>5006</v>
      </c>
      <c r="D81" s="143" t="s">
        <v>119</v>
      </c>
      <c r="E81" s="142">
        <v>4020</v>
      </c>
      <c r="F81" s="143" t="s">
        <v>137</v>
      </c>
      <c r="G81" s="144">
        <v>4.68169107143878</v>
      </c>
      <c r="H81" s="145">
        <v>17.728636668564377</v>
      </c>
      <c r="I81" s="146">
        <v>11.299335900807897</v>
      </c>
      <c r="J81" s="147">
        <v>0.7449739510350345</v>
      </c>
      <c r="K81" s="148">
        <v>75</v>
      </c>
      <c r="M81" s="149">
        <f t="shared" si="8"/>
        <v>0.63734939759036136</v>
      </c>
      <c r="N81" s="138">
        <f t="shared" si="9"/>
        <v>11.299335900807897</v>
      </c>
      <c r="O81" s="149"/>
      <c r="V81" s="158">
        <f t="shared" si="10"/>
        <v>275.51926106648159</v>
      </c>
      <c r="W81" s="158">
        <f t="shared" si="11"/>
        <v>76.145503926777437</v>
      </c>
      <c r="X81" s="158">
        <f t="shared" si="12"/>
        <v>38.538268659255486</v>
      </c>
      <c r="Y81" s="158">
        <f t="shared" si="13"/>
        <v>17.355836162303433</v>
      </c>
      <c r="Z81" s="158">
        <f t="shared" si="14"/>
        <v>-8.9450441301445593</v>
      </c>
      <c r="AA81" s="158">
        <f t="shared" si="15"/>
        <v>-28.586156802498518</v>
      </c>
    </row>
    <row r="82" spans="1:27" ht="19.5" thickBot="1" x14ac:dyDescent="0.35">
      <c r="A82" s="142">
        <v>262</v>
      </c>
      <c r="B82" s="143" t="s">
        <v>476</v>
      </c>
      <c r="C82" s="142">
        <v>5006</v>
      </c>
      <c r="D82" s="143" t="s">
        <v>119</v>
      </c>
      <c r="E82" s="142">
        <v>4012</v>
      </c>
      <c r="F82" s="143" t="s">
        <v>512</v>
      </c>
      <c r="G82" s="144">
        <v>2.8572871572871579</v>
      </c>
      <c r="H82" s="145">
        <v>48.997525377506179</v>
      </c>
      <c r="I82" s="146">
        <v>31.725897681935251</v>
      </c>
      <c r="J82" s="147">
        <v>0.28394638351160012</v>
      </c>
      <c r="K82" s="148">
        <v>3</v>
      </c>
      <c r="M82" s="149">
        <f t="shared" si="8"/>
        <v>0.64749999999999996</v>
      </c>
      <c r="N82" s="138">
        <f t="shared" si="9"/>
        <v>31.725897681935251</v>
      </c>
      <c r="O82" s="149"/>
      <c r="V82" s="158">
        <f t="shared" si="10"/>
        <v>63.086460630519291</v>
      </c>
      <c r="W82" s="158">
        <f t="shared" si="11"/>
        <v>-56.68599022593029</v>
      </c>
      <c r="X82" s="158">
        <f t="shared" si="12"/>
        <v>-79.278285232790068</v>
      </c>
      <c r="Y82" s="158">
        <f t="shared" si="13"/>
        <v>-92.003489851788572</v>
      </c>
      <c r="Z82" s="158">
        <f t="shared" si="14"/>
        <v>-107.80356774318956</v>
      </c>
      <c r="AA82" s="158">
        <f t="shared" si="15"/>
        <v>-119.60283478848629</v>
      </c>
    </row>
    <row r="83" spans="1:27" ht="19.5" thickBot="1" x14ac:dyDescent="0.35">
      <c r="A83" s="142">
        <v>262</v>
      </c>
      <c r="B83" s="143" t="s">
        <v>476</v>
      </c>
      <c r="C83" s="142">
        <v>5006</v>
      </c>
      <c r="D83" s="143" t="s">
        <v>119</v>
      </c>
      <c r="E83" s="142">
        <v>4023</v>
      </c>
      <c r="F83" s="143" t="s">
        <v>139</v>
      </c>
      <c r="G83" s="144">
        <v>3.2583336914296166</v>
      </c>
      <c r="H83" s="145">
        <v>12.583118821697775</v>
      </c>
      <c r="I83" s="146">
        <v>7.9641934981233478</v>
      </c>
      <c r="J83" s="147">
        <v>0.82024812618645626</v>
      </c>
      <c r="K83" s="148">
        <v>148</v>
      </c>
      <c r="M83" s="149">
        <f t="shared" si="8"/>
        <v>0.63292682926829269</v>
      </c>
      <c r="N83" s="138">
        <f t="shared" si="9"/>
        <v>7.9641934981233478</v>
      </c>
      <c r="O83" s="149"/>
      <c r="V83" s="158">
        <f t="shared" si="10"/>
        <v>212.60477050037994</v>
      </c>
      <c r="W83" s="158">
        <f t="shared" si="11"/>
        <v>72.876310149192534</v>
      </c>
      <c r="X83" s="158">
        <f t="shared" si="12"/>
        <v>46.519776785006584</v>
      </c>
      <c r="Y83" s="158">
        <f t="shared" si="13"/>
        <v>31.674349173296875</v>
      </c>
      <c r="Z83" s="158">
        <f t="shared" si="14"/>
        <v>13.241725131560377</v>
      </c>
      <c r="AA83" s="158">
        <f t="shared" si="15"/>
        <v>-0.52348886984481924</v>
      </c>
    </row>
    <row r="84" spans="1:27" ht="19.5" thickBot="1" x14ac:dyDescent="0.35">
      <c r="A84" s="142">
        <v>264</v>
      </c>
      <c r="B84" s="143" t="s">
        <v>513</v>
      </c>
      <c r="C84" s="142">
        <v>5130</v>
      </c>
      <c r="D84" s="143" t="s">
        <v>141</v>
      </c>
      <c r="E84" s="142">
        <v>4132</v>
      </c>
      <c r="F84" s="143" t="s">
        <v>142</v>
      </c>
      <c r="G84" s="144">
        <v>3.7189131555400916</v>
      </c>
      <c r="H84" s="145">
        <v>11.562517918963122</v>
      </c>
      <c r="I84" s="146">
        <v>9.1424560289475849</v>
      </c>
      <c r="J84" s="147">
        <v>0.79365473693620125</v>
      </c>
      <c r="K84" s="148">
        <v>116</v>
      </c>
      <c r="M84" s="149">
        <f t="shared" si="8"/>
        <v>0.79069767441860461</v>
      </c>
      <c r="N84" s="138">
        <f t="shared" si="9"/>
        <v>9.1424560289475849</v>
      </c>
      <c r="O84" s="149"/>
      <c r="V84" s="158">
        <f t="shared" si="10"/>
        <v>187.94158822990556</v>
      </c>
      <c r="W84" s="158">
        <f t="shared" si="11"/>
        <v>60.283482632821453</v>
      </c>
      <c r="X84" s="158">
        <f t="shared" si="12"/>
        <v>36.203741748811012</v>
      </c>
      <c r="Y84" s="158">
        <f t="shared" si="13"/>
        <v>22.640727020627896</v>
      </c>
      <c r="Z84" s="158">
        <f t="shared" si="14"/>
        <v>5.8003935593041485</v>
      </c>
      <c r="AA84" s="158">
        <f t="shared" si="15"/>
        <v>-6.775721128721985</v>
      </c>
    </row>
    <row r="85" spans="1:27" ht="19.5" thickBot="1" x14ac:dyDescent="0.35">
      <c r="A85" s="142">
        <v>264</v>
      </c>
      <c r="B85" s="143" t="s">
        <v>513</v>
      </c>
      <c r="C85" s="142">
        <v>5130</v>
      </c>
      <c r="D85" s="143" t="s">
        <v>141</v>
      </c>
      <c r="E85" s="142">
        <v>4130</v>
      </c>
      <c r="F85" s="143" t="s">
        <v>143</v>
      </c>
      <c r="G85" s="144">
        <v>8.0608712013089097</v>
      </c>
      <c r="H85" s="145">
        <v>13.770223742314109</v>
      </c>
      <c r="I85" s="146">
        <v>9.8035309120393919</v>
      </c>
      <c r="J85" s="147">
        <v>0.77873427462010836</v>
      </c>
      <c r="K85" s="148">
        <v>103</v>
      </c>
      <c r="M85" s="149">
        <f t="shared" si="8"/>
        <v>0.71193693693693694</v>
      </c>
      <c r="N85" s="138">
        <f t="shared" si="9"/>
        <v>9.8035309120393919</v>
      </c>
      <c r="O85" s="149"/>
      <c r="V85" s="158">
        <f t="shared" si="10"/>
        <v>443.93097697773192</v>
      </c>
      <c r="W85" s="158">
        <f t="shared" si="11"/>
        <v>136.61631831480057</v>
      </c>
      <c r="X85" s="158">
        <f t="shared" si="12"/>
        <v>78.64853541648904</v>
      </c>
      <c r="Y85" s="158">
        <f t="shared" si="13"/>
        <v>45.997939340848156</v>
      </c>
      <c r="Z85" s="158">
        <f t="shared" si="14"/>
        <v>5.4577691320646524</v>
      </c>
      <c r="AA85" s="158">
        <f t="shared" si="15"/>
        <v>-24.81703695705928</v>
      </c>
    </row>
    <row r="86" spans="1:27" ht="19.5" thickBot="1" x14ac:dyDescent="0.35">
      <c r="A86" s="142">
        <v>264</v>
      </c>
      <c r="B86" s="143" t="s">
        <v>513</v>
      </c>
      <c r="C86" s="142">
        <v>5130</v>
      </c>
      <c r="D86" s="143" t="s">
        <v>141</v>
      </c>
      <c r="E86" s="142">
        <v>4134</v>
      </c>
      <c r="F86" s="143" t="s">
        <v>514</v>
      </c>
      <c r="G86" s="144">
        <v>1.0089105472865201</v>
      </c>
      <c r="H86" s="145">
        <v>0</v>
      </c>
      <c r="I86" s="146">
        <v>0</v>
      </c>
      <c r="J86" s="147">
        <v>1</v>
      </c>
      <c r="K86" s="148">
        <v>287</v>
      </c>
      <c r="M86" s="149">
        <f t="shared" si="8"/>
        <v>0.67316698789469731</v>
      </c>
      <c r="N86" s="138">
        <f t="shared" si="9"/>
        <v>0</v>
      </c>
      <c r="O86" s="149"/>
      <c r="V86" s="158">
        <f t="shared" si="10"/>
        <v>75.459783840680259</v>
      </c>
      <c r="W86" s="158">
        <f t="shared" si="11"/>
        <v>34.78055866563988</v>
      </c>
      <c r="X86" s="158">
        <f t="shared" si="12"/>
        <v>27.107366297668058</v>
      </c>
      <c r="Y86" s="158">
        <f t="shared" si="13"/>
        <v>22.78540861547015</v>
      </c>
      <c r="Z86" s="158">
        <f t="shared" si="14"/>
        <v>17.41910842096371</v>
      </c>
      <c r="AA86" s="158">
        <f t="shared" si="15"/>
        <v>13.411633934102507</v>
      </c>
    </row>
    <row r="87" spans="1:27" ht="19.5" thickBot="1" x14ac:dyDescent="0.35">
      <c r="A87" s="142">
        <v>264</v>
      </c>
      <c r="B87" s="143" t="s">
        <v>513</v>
      </c>
      <c r="C87" s="142">
        <v>5130</v>
      </c>
      <c r="D87" s="143" t="s">
        <v>141</v>
      </c>
      <c r="E87" s="142">
        <v>4135</v>
      </c>
      <c r="F87" s="143" t="s">
        <v>515</v>
      </c>
      <c r="G87" s="144">
        <v>6.5973797197457635</v>
      </c>
      <c r="H87" s="145">
        <v>15.612258862669982</v>
      </c>
      <c r="I87" s="146">
        <v>10.485223367234912</v>
      </c>
      <c r="J87" s="147">
        <v>0.76334847363287428</v>
      </c>
      <c r="K87" s="148">
        <v>93</v>
      </c>
      <c r="M87" s="149">
        <f t="shared" si="8"/>
        <v>0.67160194174757282</v>
      </c>
      <c r="N87" s="138">
        <f t="shared" si="9"/>
        <v>10.485223367234912</v>
      </c>
      <c r="O87" s="149"/>
      <c r="V87" s="158">
        <f t="shared" si="10"/>
        <v>377.54444454472844</v>
      </c>
      <c r="W87" s="158">
        <f t="shared" si="11"/>
        <v>110.91853004610194</v>
      </c>
      <c r="X87" s="158">
        <f t="shared" si="12"/>
        <v>60.625735052315832</v>
      </c>
      <c r="Y87" s="158">
        <f t="shared" si="13"/>
        <v>32.298108002343668</v>
      </c>
      <c r="Z87" s="158">
        <f t="shared" si="14"/>
        <v>-2.8745062910163557</v>
      </c>
      <c r="AA87" s="158">
        <f t="shared" si="15"/>
        <v>-29.140900139266957</v>
      </c>
    </row>
    <row r="88" spans="1:27" ht="19.5" thickBot="1" x14ac:dyDescent="0.35">
      <c r="A88" s="142">
        <v>264</v>
      </c>
      <c r="B88" s="143" t="s">
        <v>513</v>
      </c>
      <c r="C88" s="142">
        <v>5130</v>
      </c>
      <c r="D88" s="143" t="s">
        <v>141</v>
      </c>
      <c r="E88" s="142">
        <v>4133</v>
      </c>
      <c r="F88" s="143" t="s">
        <v>516</v>
      </c>
      <c r="G88" s="144">
        <v>1.6302270011947426</v>
      </c>
      <c r="H88" s="145">
        <v>-0.6134115060461709</v>
      </c>
      <c r="I88" s="146">
        <v>-1.6868816416269701</v>
      </c>
      <c r="J88" s="147">
        <v>1.0380729242773374</v>
      </c>
      <c r="K88" s="148">
        <v>291</v>
      </c>
      <c r="M88" s="149">
        <f t="shared" si="8"/>
        <v>2.75</v>
      </c>
      <c r="N88" s="138">
        <f t="shared" si="9"/>
        <v>-1.6868816416269701</v>
      </c>
      <c r="O88" s="149"/>
      <c r="V88" s="158">
        <f t="shared" si="10"/>
        <v>30.983391621026268</v>
      </c>
      <c r="W88" s="158">
        <f t="shared" si="11"/>
        <v>14.893311443255151</v>
      </c>
      <c r="X88" s="158">
        <f t="shared" si="12"/>
        <v>11.858290990213655</v>
      </c>
      <c r="Y88" s="158">
        <f t="shared" si="13"/>
        <v>10.148803030886288</v>
      </c>
      <c r="Z88" s="158">
        <f t="shared" si="14"/>
        <v>8.0262404693806744</v>
      </c>
      <c r="AA88" s="158">
        <f t="shared" si="15"/>
        <v>6.4411417973555158</v>
      </c>
    </row>
    <row r="89" spans="1:27" ht="19.5" thickBot="1" x14ac:dyDescent="0.35">
      <c r="A89" s="142">
        <v>264</v>
      </c>
      <c r="B89" s="143" t="s">
        <v>513</v>
      </c>
      <c r="C89" s="142">
        <v>5130</v>
      </c>
      <c r="D89" s="143" t="s">
        <v>141</v>
      </c>
      <c r="E89" s="142">
        <v>4162</v>
      </c>
      <c r="F89" s="143" t="s">
        <v>517</v>
      </c>
      <c r="G89" s="144">
        <v>4.5991464216095785</v>
      </c>
      <c r="H89" s="145">
        <v>15.437647226537287</v>
      </c>
      <c r="I89" s="146">
        <v>9.8822685414946445</v>
      </c>
      <c r="J89" s="147">
        <v>0.77695716606071008</v>
      </c>
      <c r="K89" s="148">
        <v>102</v>
      </c>
      <c r="M89" s="149">
        <f t="shared" si="8"/>
        <v>0.64014084507042257</v>
      </c>
      <c r="N89" s="138">
        <f t="shared" si="9"/>
        <v>9.8822685414946445</v>
      </c>
      <c r="O89" s="149"/>
      <c r="V89" s="158">
        <f t="shared" si="10"/>
        <v>281.0505753537617</v>
      </c>
      <c r="W89" s="158">
        <f t="shared" si="11"/>
        <v>86.04612741089143</v>
      </c>
      <c r="X89" s="158">
        <f t="shared" si="12"/>
        <v>49.263060987249688</v>
      </c>
      <c r="Y89" s="158">
        <f t="shared" si="13"/>
        <v>28.544845037390107</v>
      </c>
      <c r="Z89" s="158">
        <f t="shared" si="14"/>
        <v>2.8203529306053743</v>
      </c>
      <c r="AA89" s="158">
        <f t="shared" si="15"/>
        <v>-16.390321476118501</v>
      </c>
    </row>
    <row r="90" spans="1:27" ht="19.5" thickBot="1" x14ac:dyDescent="0.35">
      <c r="A90" s="142">
        <v>264</v>
      </c>
      <c r="B90" s="143" t="s">
        <v>513</v>
      </c>
      <c r="C90" s="142">
        <v>5130</v>
      </c>
      <c r="D90" s="143" t="s">
        <v>141</v>
      </c>
      <c r="E90" s="142">
        <v>4147</v>
      </c>
      <c r="F90" s="143" t="s">
        <v>518</v>
      </c>
      <c r="G90" s="144">
        <v>5.8587699797465023</v>
      </c>
      <c r="H90" s="145">
        <v>18.263219134714976</v>
      </c>
      <c r="I90" s="146">
        <v>11.81135293572221</v>
      </c>
      <c r="J90" s="147">
        <v>0.73341772484942136</v>
      </c>
      <c r="K90" s="148">
        <v>66</v>
      </c>
      <c r="M90" s="149">
        <f t="shared" si="8"/>
        <v>0.64672897196261692</v>
      </c>
      <c r="N90" s="138">
        <f t="shared" si="9"/>
        <v>11.81135293572221</v>
      </c>
      <c r="O90" s="149"/>
      <c r="V90" s="158">
        <f t="shared" si="10"/>
        <v>334.51934438422768</v>
      </c>
      <c r="W90" s="158">
        <f t="shared" si="11"/>
        <v>88.63722332046072</v>
      </c>
      <c r="X90" s="158">
        <f t="shared" si="12"/>
        <v>42.257263853463613</v>
      </c>
      <c r="Y90" s="158">
        <f t="shared" si="13"/>
        <v>16.133557773174186</v>
      </c>
      <c r="Z90" s="158">
        <f t="shared" si="14"/>
        <v>-16.302587910833147</v>
      </c>
      <c r="AA90" s="158">
        <f t="shared" si="15"/>
        <v>-40.525427030762025</v>
      </c>
    </row>
    <row r="91" spans="1:27" ht="19.5" thickBot="1" x14ac:dyDescent="0.35">
      <c r="A91" s="142">
        <v>264</v>
      </c>
      <c r="B91" s="143" t="s">
        <v>513</v>
      </c>
      <c r="C91" s="142">
        <v>5130</v>
      </c>
      <c r="D91" s="143" t="s">
        <v>141</v>
      </c>
      <c r="E91" s="142">
        <v>4141</v>
      </c>
      <c r="F91" s="143" t="s">
        <v>519</v>
      </c>
      <c r="G91" s="144">
        <v>3.2458373859052978</v>
      </c>
      <c r="H91" s="145">
        <v>38.20277643558385</v>
      </c>
      <c r="I91" s="146">
        <v>26.757347850245623</v>
      </c>
      <c r="J91" s="147">
        <v>0.39608656978314488</v>
      </c>
      <c r="K91" s="148">
        <v>4</v>
      </c>
      <c r="M91" s="149">
        <f t="shared" si="8"/>
        <v>0.70040322580645153</v>
      </c>
      <c r="N91" s="138">
        <f t="shared" si="9"/>
        <v>26.757347850245623</v>
      </c>
      <c r="O91" s="149"/>
      <c r="V91" s="158">
        <f t="shared" si="10"/>
        <v>92.417548073739525</v>
      </c>
      <c r="W91" s="158">
        <f t="shared" si="11"/>
        <v>-33.365304770864505</v>
      </c>
      <c r="X91" s="158">
        <f t="shared" si="12"/>
        <v>-57.091322715304869</v>
      </c>
      <c r="Y91" s="158">
        <f t="shared" si="13"/>
        <v>-70.455101518890856</v>
      </c>
      <c r="Z91" s="158">
        <f t="shared" si="14"/>
        <v>-87.048056394042376</v>
      </c>
      <c r="AA91" s="158">
        <f t="shared" si="15"/>
        <v>-99.439432372576306</v>
      </c>
    </row>
    <row r="92" spans="1:27" ht="19.5" thickBot="1" x14ac:dyDescent="0.35">
      <c r="A92" s="142">
        <v>264</v>
      </c>
      <c r="B92" s="143" t="s">
        <v>513</v>
      </c>
      <c r="C92" s="142">
        <v>5130</v>
      </c>
      <c r="D92" s="143" t="s">
        <v>141</v>
      </c>
      <c r="E92" s="142">
        <v>4139</v>
      </c>
      <c r="F92" s="143" t="s">
        <v>520</v>
      </c>
      <c r="G92" s="144">
        <v>5.9735728475228482</v>
      </c>
      <c r="H92" s="145">
        <v>10.379048114514998</v>
      </c>
      <c r="I92" s="146">
        <v>6.9012299761432381</v>
      </c>
      <c r="J92" s="147">
        <v>0.8442392164225726</v>
      </c>
      <c r="K92" s="148">
        <v>176</v>
      </c>
      <c r="M92" s="149">
        <f t="shared" si="8"/>
        <v>0.66491935483870968</v>
      </c>
      <c r="N92" s="138">
        <f t="shared" si="9"/>
        <v>6.9012299761432381</v>
      </c>
      <c r="O92" s="149"/>
      <c r="V92" s="158">
        <f t="shared" si="10"/>
        <v>381.87076927734353</v>
      </c>
      <c r="W92" s="158">
        <f t="shared" si="11"/>
        <v>138.02905129418153</v>
      </c>
      <c r="X92" s="158">
        <f t="shared" si="12"/>
        <v>92.033966545872318</v>
      </c>
      <c r="Y92" s="158">
        <f t="shared" si="13"/>
        <v>66.127042760010951</v>
      </c>
      <c r="Z92" s="158">
        <f t="shared" si="14"/>
        <v>33.960061874526886</v>
      </c>
      <c r="AA92" s="158">
        <f t="shared" si="15"/>
        <v>9.9382310887846383</v>
      </c>
    </row>
    <row r="93" spans="1:27" ht="19.5" thickBot="1" x14ac:dyDescent="0.35">
      <c r="A93" s="142">
        <v>264</v>
      </c>
      <c r="B93" s="143" t="s">
        <v>513</v>
      </c>
      <c r="C93" s="142">
        <v>5130</v>
      </c>
      <c r="D93" s="143" t="s">
        <v>141</v>
      </c>
      <c r="E93" s="142">
        <v>4143</v>
      </c>
      <c r="F93" s="143" t="s">
        <v>521</v>
      </c>
      <c r="G93" s="144">
        <v>5.3472902686824586</v>
      </c>
      <c r="H93" s="145">
        <v>7.2934136806471468</v>
      </c>
      <c r="I93" s="146">
        <v>6.0497931427932103</v>
      </c>
      <c r="J93" s="147">
        <v>0.86345614859085817</v>
      </c>
      <c r="K93" s="148">
        <v>197</v>
      </c>
      <c r="M93" s="149">
        <f t="shared" si="8"/>
        <v>0.82948717948717954</v>
      </c>
      <c r="N93" s="138">
        <f t="shared" si="9"/>
        <v>6.0497931427932103</v>
      </c>
      <c r="O93" s="149"/>
      <c r="V93" s="158">
        <f t="shared" si="10"/>
        <v>280.25287254138988</v>
      </c>
      <c r="W93" s="158">
        <f t="shared" si="11"/>
        <v>105.28153902326484</v>
      </c>
      <c r="X93" s="158">
        <f t="shared" si="12"/>
        <v>72.277255013723178</v>
      </c>
      <c r="Y93" s="158">
        <f t="shared" si="13"/>
        <v>53.687454057360128</v>
      </c>
      <c r="Z93" s="158">
        <f t="shared" si="14"/>
        <v>30.605679587686172</v>
      </c>
      <c r="AA93" s="158">
        <f t="shared" si="15"/>
        <v>13.368548054605728</v>
      </c>
    </row>
    <row r="94" spans="1:27" ht="19.5" thickBot="1" x14ac:dyDescent="0.35">
      <c r="A94" s="142">
        <v>264</v>
      </c>
      <c r="B94" s="143" t="s">
        <v>513</v>
      </c>
      <c r="C94" s="142">
        <v>5130</v>
      </c>
      <c r="D94" s="143" t="s">
        <v>141</v>
      </c>
      <c r="E94" s="142">
        <v>4159</v>
      </c>
      <c r="F94" s="143" t="s">
        <v>153</v>
      </c>
      <c r="G94" s="144">
        <v>1.8576732234626969</v>
      </c>
      <c r="H94" s="145">
        <v>5.921385882655958</v>
      </c>
      <c r="I94" s="146">
        <v>3.8489008237263729</v>
      </c>
      <c r="J94" s="147">
        <v>0.91313029557225955</v>
      </c>
      <c r="K94" s="148">
        <v>241</v>
      </c>
      <c r="M94" s="149">
        <f t="shared" si="8"/>
        <v>0.65</v>
      </c>
      <c r="N94" s="138">
        <f t="shared" si="9"/>
        <v>3.8489008237263729</v>
      </c>
      <c r="O94" s="149"/>
      <c r="V94" s="158">
        <f t="shared" si="10"/>
        <v>131.3936633011995</v>
      </c>
      <c r="W94" s="158">
        <f t="shared" si="11"/>
        <v>53.822771459665553</v>
      </c>
      <c r="X94" s="158">
        <f t="shared" si="12"/>
        <v>39.190821792629286</v>
      </c>
      <c r="Y94" s="158">
        <f t="shared" si="13"/>
        <v>30.949314967785291</v>
      </c>
      <c r="Z94" s="158">
        <f t="shared" si="14"/>
        <v>20.716359689358008</v>
      </c>
      <c r="AA94" s="158">
        <f t="shared" si="15"/>
        <v>13.074538375397635</v>
      </c>
    </row>
    <row r="95" spans="1:27" ht="19.5" thickBot="1" x14ac:dyDescent="0.35">
      <c r="A95" s="142">
        <v>264</v>
      </c>
      <c r="B95" s="143" t="s">
        <v>513</v>
      </c>
      <c r="C95" s="142">
        <v>5130</v>
      </c>
      <c r="D95" s="143" t="s">
        <v>141</v>
      </c>
      <c r="E95" s="142">
        <v>4157</v>
      </c>
      <c r="F95" s="143" t="s">
        <v>522</v>
      </c>
      <c r="G95" s="144">
        <v>3.3075077187919297</v>
      </c>
      <c r="H95" s="145">
        <v>17.83820478022945</v>
      </c>
      <c r="I95" s="146">
        <v>12.970491272404123</v>
      </c>
      <c r="J95" s="147">
        <v>0.7072559687247385</v>
      </c>
      <c r="K95" s="148">
        <v>57</v>
      </c>
      <c r="M95" s="149">
        <f t="shared" si="8"/>
        <v>0.72711864406779647</v>
      </c>
      <c r="N95" s="138">
        <f t="shared" si="9"/>
        <v>12.970491272404123</v>
      </c>
      <c r="O95" s="149"/>
      <c r="V95" s="158">
        <f t="shared" si="10"/>
        <v>161.97870097153023</v>
      </c>
      <c r="W95" s="158">
        <f t="shared" si="11"/>
        <v>38.515251719289395</v>
      </c>
      <c r="X95" s="158">
        <f t="shared" si="12"/>
        <v>15.226735469303318</v>
      </c>
      <c r="Y95" s="158">
        <f t="shared" si="13"/>
        <v>2.1093813242745503</v>
      </c>
      <c r="Z95" s="158">
        <f t="shared" si="14"/>
        <v>-14.177603712580394</v>
      </c>
      <c r="AA95" s="158">
        <f t="shared" si="15"/>
        <v>-26.340485891610168</v>
      </c>
    </row>
    <row r="96" spans="1:27" ht="19.5" thickBot="1" x14ac:dyDescent="0.35">
      <c r="A96" s="142">
        <v>264</v>
      </c>
      <c r="B96" s="143" t="s">
        <v>513</v>
      </c>
      <c r="C96" s="142">
        <v>5130</v>
      </c>
      <c r="D96" s="143" t="s">
        <v>141</v>
      </c>
      <c r="E96" s="142">
        <v>4148</v>
      </c>
      <c r="F96" s="143" t="s">
        <v>155</v>
      </c>
      <c r="G96" s="144">
        <v>3.0547893160973465</v>
      </c>
      <c r="H96" s="145">
        <v>19.968643886030968</v>
      </c>
      <c r="I96" s="146">
        <v>12.594976615000681</v>
      </c>
      <c r="J96" s="147">
        <v>0.71573133579469039</v>
      </c>
      <c r="K96" s="148">
        <v>59</v>
      </c>
      <c r="M96" s="149">
        <f t="shared" si="8"/>
        <v>0.63073770491803283</v>
      </c>
      <c r="N96" s="138">
        <f t="shared" si="9"/>
        <v>12.594976615000681</v>
      </c>
      <c r="O96" s="149"/>
      <c r="V96" s="158">
        <f t="shared" si="10"/>
        <v>174.52924333493883</v>
      </c>
      <c r="W96" s="158">
        <f t="shared" si="11"/>
        <v>43.074794206103675</v>
      </c>
      <c r="X96" s="158">
        <f t="shared" si="12"/>
        <v>18.27896116230685</v>
      </c>
      <c r="Y96" s="158">
        <f t="shared" si="13"/>
        <v>4.3126045312061452</v>
      </c>
      <c r="Z96" s="158">
        <f t="shared" si="14"/>
        <v>-13.028532938679412</v>
      </c>
      <c r="AA96" s="158">
        <f t="shared" si="15"/>
        <v>-25.978640734523822</v>
      </c>
    </row>
    <row r="97" spans="1:27" ht="19.5" thickBot="1" x14ac:dyDescent="0.35">
      <c r="A97" s="142">
        <v>264</v>
      </c>
      <c r="B97" s="143" t="s">
        <v>513</v>
      </c>
      <c r="C97" s="142">
        <v>5130</v>
      </c>
      <c r="D97" s="143" t="s">
        <v>141</v>
      </c>
      <c r="E97" s="142">
        <v>4144</v>
      </c>
      <c r="F97" s="143" t="s">
        <v>156</v>
      </c>
      <c r="G97" s="144">
        <v>2.7451908808211134</v>
      </c>
      <c r="H97" s="145">
        <v>30.598965116361882</v>
      </c>
      <c r="I97" s="146">
        <v>20.144318701604906</v>
      </c>
      <c r="J97" s="147">
        <v>0.54534265972267915</v>
      </c>
      <c r="K97" s="148">
        <v>13</v>
      </c>
      <c r="M97" s="149">
        <f t="shared" si="8"/>
        <v>0.65833333333333333</v>
      </c>
      <c r="N97" s="138">
        <f t="shared" si="9"/>
        <v>20.144318701604906</v>
      </c>
      <c r="O97" s="149"/>
      <c r="V97" s="158">
        <f t="shared" si="10"/>
        <v>114.49377605792019</v>
      </c>
      <c r="W97" s="158">
        <f t="shared" si="11"/>
        <v>1.3138196461821774</v>
      </c>
      <c r="X97" s="158">
        <f t="shared" si="12"/>
        <v>-20.034954181466556</v>
      </c>
      <c r="Y97" s="158">
        <f t="shared" si="13"/>
        <v>-32.059740297222518</v>
      </c>
      <c r="Z97" s="158">
        <f t="shared" si="14"/>
        <v>-46.990153044592084</v>
      </c>
      <c r="AA97" s="158">
        <f t="shared" si="15"/>
        <v>-58.139966881813308</v>
      </c>
    </row>
    <row r="98" spans="1:27" ht="19.5" thickBot="1" x14ac:dyDescent="0.35">
      <c r="A98" s="142">
        <v>264</v>
      </c>
      <c r="B98" s="143" t="s">
        <v>513</v>
      </c>
      <c r="C98" s="142">
        <v>5130</v>
      </c>
      <c r="D98" s="143" t="s">
        <v>141</v>
      </c>
      <c r="E98" s="142">
        <v>4153</v>
      </c>
      <c r="F98" s="143" t="s">
        <v>157</v>
      </c>
      <c r="G98" s="144">
        <v>3.7565036017871338</v>
      </c>
      <c r="H98" s="145">
        <v>10.381994571080934</v>
      </c>
      <c r="I98" s="146">
        <v>6.3489889876994949</v>
      </c>
      <c r="J98" s="147">
        <v>0.85670329737349349</v>
      </c>
      <c r="K98" s="148">
        <v>190</v>
      </c>
      <c r="M98" s="149">
        <f t="shared" si="8"/>
        <v>0.61153846153846159</v>
      </c>
      <c r="N98" s="138">
        <f t="shared" si="9"/>
        <v>6.3489889876994949</v>
      </c>
      <c r="O98" s="149"/>
      <c r="V98" s="158">
        <f t="shared" si="10"/>
        <v>264.95747495456516</v>
      </c>
      <c r="W98" s="158">
        <f t="shared" si="11"/>
        <v>98.231658331769225</v>
      </c>
      <c r="X98" s="158">
        <f t="shared" si="12"/>
        <v>66.782699848684331</v>
      </c>
      <c r="Y98" s="158">
        <f t="shared" si="13"/>
        <v>49.068942497776312</v>
      </c>
      <c r="Z98" s="158">
        <f t="shared" si="14"/>
        <v>27.074895700613681</v>
      </c>
      <c r="AA98" s="158">
        <f t="shared" si="15"/>
        <v>10.650063282052489</v>
      </c>
    </row>
    <row r="99" spans="1:27" ht="19.5" thickBot="1" x14ac:dyDescent="0.35">
      <c r="A99" s="142">
        <v>264</v>
      </c>
      <c r="B99" s="143" t="s">
        <v>513</v>
      </c>
      <c r="C99" s="142">
        <v>5130</v>
      </c>
      <c r="D99" s="143" t="s">
        <v>141</v>
      </c>
      <c r="E99" s="142">
        <v>4164</v>
      </c>
      <c r="F99" s="143" t="s">
        <v>523</v>
      </c>
      <c r="G99" s="144">
        <v>2.8448773448773443</v>
      </c>
      <c r="H99" s="145">
        <v>2.8120720263758563</v>
      </c>
      <c r="I99" s="146">
        <v>1.8278468171443067</v>
      </c>
      <c r="J99" s="147">
        <v>0.95874549124111175</v>
      </c>
      <c r="K99" s="148">
        <v>272</v>
      </c>
      <c r="M99" s="149">
        <f t="shared" si="8"/>
        <v>0.65</v>
      </c>
      <c r="N99" s="138">
        <f t="shared" si="9"/>
        <v>1.8278468171443067</v>
      </c>
      <c r="O99" s="149"/>
      <c r="V99" s="158">
        <f t="shared" si="10"/>
        <v>211.27067960333156</v>
      </c>
      <c r="W99" s="158">
        <f t="shared" si="11"/>
        <v>92.477088763622675</v>
      </c>
      <c r="X99" s="158">
        <f t="shared" si="12"/>
        <v>70.069432996508681</v>
      </c>
      <c r="Y99" s="158">
        <f t="shared" si="13"/>
        <v>57.448227201257303</v>
      </c>
      <c r="Z99" s="158">
        <f t="shared" si="14"/>
        <v>41.777278040200301</v>
      </c>
      <c r="AA99" s="158">
        <f t="shared" si="15"/>
        <v>30.074442441825624</v>
      </c>
    </row>
    <row r="100" spans="1:27" ht="19.5" thickBot="1" x14ac:dyDescent="0.35">
      <c r="A100" s="142">
        <v>264</v>
      </c>
      <c r="B100" s="143" t="s">
        <v>513</v>
      </c>
      <c r="C100" s="142">
        <v>5130</v>
      </c>
      <c r="D100" s="143" t="s">
        <v>141</v>
      </c>
      <c r="E100" s="142">
        <v>4140</v>
      </c>
      <c r="F100" s="143" t="s">
        <v>159</v>
      </c>
      <c r="G100" s="144">
        <v>2.4566604814326558</v>
      </c>
      <c r="H100" s="145">
        <v>13.839926297089352</v>
      </c>
      <c r="I100" s="146">
        <v>8.6194246864960888</v>
      </c>
      <c r="J100" s="147">
        <v>0.80545955607966169</v>
      </c>
      <c r="K100" s="148">
        <v>129</v>
      </c>
      <c r="M100" s="149">
        <f t="shared" si="8"/>
        <v>0.62279411764705883</v>
      </c>
      <c r="N100" s="138">
        <f t="shared" si="9"/>
        <v>8.6194246864960888</v>
      </c>
      <c r="O100" s="149"/>
      <c r="V100" s="158">
        <f t="shared" si="10"/>
        <v>159.96688234052283</v>
      </c>
      <c r="W100" s="158">
        <f t="shared" si="11"/>
        <v>52.902884110086518</v>
      </c>
      <c r="X100" s="158">
        <f t="shared" si="12"/>
        <v>32.707743947721887</v>
      </c>
      <c r="Y100" s="158">
        <f t="shared" si="13"/>
        <v>21.332746817177387</v>
      </c>
      <c r="Z100" s="158">
        <f t="shared" si="14"/>
        <v>7.2091357587950124</v>
      </c>
      <c r="AA100" s="158">
        <f t="shared" si="15"/>
        <v>-3.3381703790092785</v>
      </c>
    </row>
    <row r="101" spans="1:27" ht="19.5" thickBot="1" x14ac:dyDescent="0.35">
      <c r="A101" s="142">
        <v>264</v>
      </c>
      <c r="B101" s="143" t="s">
        <v>513</v>
      </c>
      <c r="C101" s="142">
        <v>5169</v>
      </c>
      <c r="D101" s="143" t="s">
        <v>160</v>
      </c>
      <c r="E101" s="142">
        <v>4189</v>
      </c>
      <c r="F101" s="143" t="s">
        <v>161</v>
      </c>
      <c r="G101" s="144">
        <v>3.9968760643589416</v>
      </c>
      <c r="H101" s="145">
        <v>11.008597537551406</v>
      </c>
      <c r="I101" s="146">
        <v>7.8561355154344126</v>
      </c>
      <c r="J101" s="147">
        <v>0.82268699521612332</v>
      </c>
      <c r="K101" s="148">
        <v>151</v>
      </c>
      <c r="M101" s="149">
        <f t="shared" si="8"/>
        <v>0.71363636363636362</v>
      </c>
      <c r="N101" s="138">
        <f t="shared" si="9"/>
        <v>7.8561355154344126</v>
      </c>
      <c r="O101" s="149"/>
      <c r="V101" s="158">
        <f t="shared" si="10"/>
        <v>231.98721273120373</v>
      </c>
      <c r="W101" s="158">
        <f t="shared" si="11"/>
        <v>79.972182481532627</v>
      </c>
      <c r="X101" s="158">
        <f t="shared" si="12"/>
        <v>51.298072664798084</v>
      </c>
      <c r="Y101" s="158">
        <f t="shared" si="13"/>
        <v>35.14726042660844</v>
      </c>
      <c r="Z101" s="158">
        <f t="shared" si="14"/>
        <v>15.093823251083329</v>
      </c>
      <c r="AA101" s="158">
        <f t="shared" si="15"/>
        <v>0.11820971066672969</v>
      </c>
    </row>
    <row r="102" spans="1:27" ht="19.5" thickBot="1" x14ac:dyDescent="0.35">
      <c r="A102" s="142">
        <v>264</v>
      </c>
      <c r="B102" s="143" t="s">
        <v>513</v>
      </c>
      <c r="C102" s="142">
        <v>5169</v>
      </c>
      <c r="D102" s="143" t="s">
        <v>160</v>
      </c>
      <c r="E102" s="142">
        <v>4195</v>
      </c>
      <c r="F102" s="143" t="s">
        <v>524</v>
      </c>
      <c r="G102" s="144">
        <v>3.1170158207509644</v>
      </c>
      <c r="H102" s="145">
        <v>-0.32081967417126417</v>
      </c>
      <c r="I102" s="146">
        <v>-0.20853278821132173</v>
      </c>
      <c r="J102" s="147">
        <v>1.0047065857253945</v>
      </c>
      <c r="K102" s="148">
        <v>289</v>
      </c>
      <c r="M102" s="149">
        <f t="shared" si="8"/>
        <v>0.65000000000000013</v>
      </c>
      <c r="N102" s="138">
        <f t="shared" si="9"/>
        <v>-0.20853278821132173</v>
      </c>
      <c r="O102" s="149"/>
      <c r="V102" s="158">
        <f t="shared" si="10"/>
        <v>242.5775489593741</v>
      </c>
      <c r="W102" s="158">
        <f t="shared" si="11"/>
        <v>112.4202672340511</v>
      </c>
      <c r="X102" s="158">
        <f t="shared" si="12"/>
        <v>87.869114736104933</v>
      </c>
      <c r="Y102" s="158">
        <f t="shared" si="13"/>
        <v>74.0405754454423</v>
      </c>
      <c r="Z102" s="158">
        <f t="shared" si="14"/>
        <v>56.870557008916464</v>
      </c>
      <c r="AA102" s="158">
        <f t="shared" si="15"/>
        <v>44.048238404050849</v>
      </c>
    </row>
    <row r="103" spans="1:27" ht="19.5" thickBot="1" x14ac:dyDescent="0.35">
      <c r="A103" s="142">
        <v>264</v>
      </c>
      <c r="B103" s="143" t="s">
        <v>513</v>
      </c>
      <c r="C103" s="142">
        <v>5169</v>
      </c>
      <c r="D103" s="143" t="s">
        <v>160</v>
      </c>
      <c r="E103" s="142">
        <v>4193</v>
      </c>
      <c r="F103" s="143" t="s">
        <v>525</v>
      </c>
      <c r="G103" s="144">
        <v>3.5189073531009014</v>
      </c>
      <c r="H103" s="145">
        <v>5.3994033071819816</v>
      </c>
      <c r="I103" s="146">
        <v>3.4101494571675675</v>
      </c>
      <c r="J103" s="147">
        <v>0.92303291537874488</v>
      </c>
      <c r="K103" s="148">
        <v>248</v>
      </c>
      <c r="M103" s="149">
        <f t="shared" si="8"/>
        <v>0.63157894736842113</v>
      </c>
      <c r="N103" s="138">
        <f t="shared" si="9"/>
        <v>3.4101494571675675</v>
      </c>
      <c r="O103" s="149"/>
      <c r="V103" s="158">
        <f t="shared" si="10"/>
        <v>258.9304228155172</v>
      </c>
      <c r="W103" s="158">
        <f t="shared" si="11"/>
        <v>107.7056266894529</v>
      </c>
      <c r="X103" s="158">
        <f t="shared" si="12"/>
        <v>79.180576212469219</v>
      </c>
      <c r="Y103" s="158">
        <f t="shared" si="13"/>
        <v>63.113722270598188</v>
      </c>
      <c r="Z103" s="158">
        <f t="shared" si="14"/>
        <v>43.164530776080255</v>
      </c>
      <c r="AA103" s="158">
        <f t="shared" si="15"/>
        <v>28.26676638533095</v>
      </c>
    </row>
    <row r="104" spans="1:27" ht="19.5" thickBot="1" x14ac:dyDescent="0.35">
      <c r="A104" s="142">
        <v>264</v>
      </c>
      <c r="B104" s="143" t="s">
        <v>513</v>
      </c>
      <c r="C104" s="142">
        <v>5169</v>
      </c>
      <c r="D104" s="143" t="s">
        <v>160</v>
      </c>
      <c r="E104" s="142">
        <v>4184</v>
      </c>
      <c r="F104" s="143" t="s">
        <v>526</v>
      </c>
      <c r="G104" s="144">
        <v>3.2768242683852011</v>
      </c>
      <c r="H104" s="145">
        <v>0.61034704219448044</v>
      </c>
      <c r="I104" s="146">
        <v>0.28991484504237824</v>
      </c>
      <c r="J104" s="147">
        <v>0.99345662098051613</v>
      </c>
      <c r="K104" s="148">
        <v>283</v>
      </c>
      <c r="M104" s="149">
        <f t="shared" si="8"/>
        <v>0.47500000000000003</v>
      </c>
      <c r="N104" s="138">
        <f t="shared" si="9"/>
        <v>0.28991484504237824</v>
      </c>
      <c r="O104" s="149"/>
      <c r="V104" s="158">
        <f t="shared" si="10"/>
        <v>345.05963204191329</v>
      </c>
      <c r="W104" s="158">
        <f t="shared" si="11"/>
        <v>157.81802418136624</v>
      </c>
      <c r="X104" s="158">
        <f t="shared" si="12"/>
        <v>122.49923749798894</v>
      </c>
      <c r="Y104" s="158">
        <f t="shared" si="13"/>
        <v>102.60578323385727</v>
      </c>
      <c r="Z104" s="158">
        <f t="shared" si="14"/>
        <v>77.905345298813572</v>
      </c>
      <c r="AA104" s="158">
        <f t="shared" si="15"/>
        <v>59.45941956765153</v>
      </c>
    </row>
    <row r="105" spans="1:27" ht="19.5" thickBot="1" x14ac:dyDescent="0.35">
      <c r="A105" s="142">
        <v>264</v>
      </c>
      <c r="B105" s="143" t="s">
        <v>513</v>
      </c>
      <c r="C105" s="142">
        <v>5169</v>
      </c>
      <c r="D105" s="143" t="s">
        <v>160</v>
      </c>
      <c r="E105" s="142">
        <v>4196</v>
      </c>
      <c r="F105" s="143" t="s">
        <v>165</v>
      </c>
      <c r="G105" s="144">
        <v>2.5224867724867721</v>
      </c>
      <c r="H105" s="145">
        <v>9.5144205558468808</v>
      </c>
      <c r="I105" s="146">
        <v>6.6006292606187733</v>
      </c>
      <c r="J105" s="147">
        <v>0.85102377557447506</v>
      </c>
      <c r="K105" s="148">
        <v>183</v>
      </c>
      <c r="M105" s="149">
        <f t="shared" si="8"/>
        <v>0.69374999999999998</v>
      </c>
      <c r="N105" s="138">
        <f t="shared" si="9"/>
        <v>6.6006292606187733</v>
      </c>
      <c r="O105" s="149"/>
      <c r="V105" s="158">
        <f t="shared" si="10"/>
        <v>155.79492246732411</v>
      </c>
      <c r="W105" s="158">
        <f t="shared" si="11"/>
        <v>57.10592858199734</v>
      </c>
      <c r="X105" s="158">
        <f t="shared" si="12"/>
        <v>38.490538750326223</v>
      </c>
      <c r="Y105" s="158">
        <f t="shared" si="13"/>
        <v>28.005342598341066</v>
      </c>
      <c r="Z105" s="158">
        <f t="shared" si="14"/>
        <v>14.986540868375526</v>
      </c>
      <c r="AA105" s="158">
        <f t="shared" si="15"/>
        <v>5.2642901758497578</v>
      </c>
    </row>
    <row r="106" spans="1:27" ht="19.5" thickBot="1" x14ac:dyDescent="0.35">
      <c r="A106" s="142">
        <v>264</v>
      </c>
      <c r="B106" s="143" t="s">
        <v>513</v>
      </c>
      <c r="C106" s="142">
        <v>5169</v>
      </c>
      <c r="D106" s="143" t="s">
        <v>160</v>
      </c>
      <c r="E106" s="142">
        <v>4174</v>
      </c>
      <c r="F106" s="143" t="s">
        <v>527</v>
      </c>
      <c r="G106" s="144">
        <v>5.5385385716069759</v>
      </c>
      <c r="H106" s="145">
        <v>5.4165913285850182</v>
      </c>
      <c r="I106" s="146">
        <v>3.7735586255808959</v>
      </c>
      <c r="J106" s="147">
        <v>0.91483076923567219</v>
      </c>
      <c r="K106" s="148">
        <v>245</v>
      </c>
      <c r="M106" s="149">
        <f t="shared" si="8"/>
        <v>0.69666666666666666</v>
      </c>
      <c r="N106" s="138">
        <f t="shared" si="9"/>
        <v>3.7735586255808959</v>
      </c>
      <c r="O106" s="149"/>
      <c r="V106" s="158">
        <f t="shared" si="10"/>
        <v>366.1816868333421</v>
      </c>
      <c r="W106" s="158">
        <f t="shared" si="11"/>
        <v>150.40080021725109</v>
      </c>
      <c r="X106" s="158">
        <f t="shared" si="12"/>
        <v>109.69874049973487</v>
      </c>
      <c r="Y106" s="158">
        <f t="shared" si="13"/>
        <v>86.773135192136564</v>
      </c>
      <c r="Z106" s="158">
        <f t="shared" si="14"/>
        <v>58.307867998965392</v>
      </c>
      <c r="AA106" s="158">
        <f t="shared" si="15"/>
        <v>37.05042284986623</v>
      </c>
    </row>
    <row r="107" spans="1:27" ht="19.5" thickBot="1" x14ac:dyDescent="0.35">
      <c r="A107" s="142">
        <v>264</v>
      </c>
      <c r="B107" s="143" t="s">
        <v>513</v>
      </c>
      <c r="C107" s="142">
        <v>5169</v>
      </c>
      <c r="D107" s="143" t="s">
        <v>160</v>
      </c>
      <c r="E107" s="142">
        <v>4170</v>
      </c>
      <c r="F107" s="143" t="s">
        <v>528</v>
      </c>
      <c r="G107" s="144">
        <v>4.7470153232994274</v>
      </c>
      <c r="H107" s="145">
        <v>8.4263473521290173</v>
      </c>
      <c r="I107" s="146">
        <v>6.2091647051000693</v>
      </c>
      <c r="J107" s="147">
        <v>0.85985913189808194</v>
      </c>
      <c r="K107" s="148">
        <v>194</v>
      </c>
      <c r="M107" s="149">
        <f t="shared" si="8"/>
        <v>0.73687499999999995</v>
      </c>
      <c r="N107" s="138">
        <f t="shared" si="9"/>
        <v>6.2091647051000693</v>
      </c>
      <c r="O107" s="149"/>
      <c r="V107" s="158">
        <f t="shared" si="10"/>
        <v>278.89441905656679</v>
      </c>
      <c r="W107" s="158">
        <f t="shared" si="11"/>
        <v>104.04281080791307</v>
      </c>
      <c r="X107" s="158">
        <f t="shared" si="12"/>
        <v>71.061110193704224</v>
      </c>
      <c r="Y107" s="158">
        <f t="shared" si="13"/>
        <v>52.484029429181554</v>
      </c>
      <c r="Z107" s="158">
        <f t="shared" si="14"/>
        <v>29.418048813350357</v>
      </c>
      <c r="AA107" s="158">
        <f t="shared" si="15"/>
        <v>12.192711899286731</v>
      </c>
    </row>
    <row r="108" spans="1:27" ht="19.5" thickBot="1" x14ac:dyDescent="0.35">
      <c r="A108" s="142">
        <v>264</v>
      </c>
      <c r="B108" s="143" t="s">
        <v>513</v>
      </c>
      <c r="C108" s="142">
        <v>5169</v>
      </c>
      <c r="D108" s="143" t="s">
        <v>160</v>
      </c>
      <c r="E108" s="142">
        <v>4169</v>
      </c>
      <c r="F108" s="143" t="s">
        <v>168</v>
      </c>
      <c r="G108" s="144">
        <v>5.825472477958602</v>
      </c>
      <c r="H108" s="145">
        <v>10.299593762912355</v>
      </c>
      <c r="I108" s="146">
        <v>6.5745740186590531</v>
      </c>
      <c r="J108" s="147">
        <v>0.8516118424724014</v>
      </c>
      <c r="K108" s="148">
        <v>184</v>
      </c>
      <c r="M108" s="149">
        <f t="shared" si="8"/>
        <v>0.63833333333333331</v>
      </c>
      <c r="N108" s="138">
        <f t="shared" si="9"/>
        <v>6.5745740186590531</v>
      </c>
      <c r="O108" s="149"/>
      <c r="V108" s="158">
        <f t="shared" si="10"/>
        <v>391.30106318718219</v>
      </c>
      <c r="W108" s="158">
        <f t="shared" si="11"/>
        <v>143.60080956931506</v>
      </c>
      <c r="X108" s="158">
        <f t="shared" si="12"/>
        <v>96.8779015634003</v>
      </c>
      <c r="Y108" s="158">
        <f t="shared" si="13"/>
        <v>70.561028284728039</v>
      </c>
      <c r="Z108" s="158">
        <f t="shared" si="14"/>
        <v>37.885039166222548</v>
      </c>
      <c r="AA108" s="158">
        <f t="shared" si="15"/>
        <v>13.483088477847222</v>
      </c>
    </row>
    <row r="109" spans="1:27" ht="19.5" thickBot="1" x14ac:dyDescent="0.35">
      <c r="A109" s="142">
        <v>264</v>
      </c>
      <c r="B109" s="143" t="s">
        <v>513</v>
      </c>
      <c r="C109" s="142">
        <v>5169</v>
      </c>
      <c r="D109" s="143" t="s">
        <v>160</v>
      </c>
      <c r="E109" s="142">
        <v>4188</v>
      </c>
      <c r="F109" s="143" t="s">
        <v>169</v>
      </c>
      <c r="G109" s="144">
        <v>2.9978898043414177</v>
      </c>
      <c r="H109" s="145">
        <v>6.0042233620239003</v>
      </c>
      <c r="I109" s="146">
        <v>3.7859963977206261</v>
      </c>
      <c r="J109" s="147">
        <v>0.91455004867699807</v>
      </c>
      <c r="K109" s="148">
        <v>243</v>
      </c>
      <c r="M109" s="149">
        <f t="shared" si="8"/>
        <v>0.63055555555555554</v>
      </c>
      <c r="N109" s="138">
        <f t="shared" si="9"/>
        <v>3.7859963977206261</v>
      </c>
      <c r="O109" s="149"/>
      <c r="V109" s="158">
        <f t="shared" si="10"/>
        <v>218.92002571667729</v>
      </c>
      <c r="W109" s="158">
        <f t="shared" si="11"/>
        <v>89.876824341862473</v>
      </c>
      <c r="X109" s="158">
        <f t="shared" si="12"/>
        <v>65.53581726350194</v>
      </c>
      <c r="Y109" s="158">
        <f t="shared" si="13"/>
        <v>51.825643259020303</v>
      </c>
      <c r="Z109" s="158">
        <f t="shared" si="14"/>
        <v>34.802591476256985</v>
      </c>
      <c r="AA109" s="158">
        <f t="shared" si="15"/>
        <v>22.09002541858872</v>
      </c>
    </row>
    <row r="110" spans="1:27" ht="19.5" thickBot="1" x14ac:dyDescent="0.35">
      <c r="A110" s="142">
        <v>264</v>
      </c>
      <c r="B110" s="143" t="s">
        <v>513</v>
      </c>
      <c r="C110" s="142">
        <v>5169</v>
      </c>
      <c r="D110" s="143" t="s">
        <v>160</v>
      </c>
      <c r="E110" s="142">
        <v>4180</v>
      </c>
      <c r="F110" s="143" t="s">
        <v>529</v>
      </c>
      <c r="G110" s="144">
        <v>3.5180638414217369</v>
      </c>
      <c r="H110" s="145">
        <v>11.085643057642505</v>
      </c>
      <c r="I110" s="146">
        <v>8.2929137488902587</v>
      </c>
      <c r="J110" s="147">
        <v>0.81282890903035221</v>
      </c>
      <c r="K110" s="148">
        <v>137</v>
      </c>
      <c r="M110" s="149">
        <f t="shared" si="8"/>
        <v>0.74807692307692308</v>
      </c>
      <c r="N110" s="138">
        <f t="shared" si="9"/>
        <v>8.2929137488902587</v>
      </c>
      <c r="O110" s="149"/>
      <c r="V110" s="158">
        <f t="shared" si="10"/>
        <v>192.46080786761624</v>
      </c>
      <c r="W110" s="158">
        <f t="shared" si="11"/>
        <v>64.81684511146328</v>
      </c>
      <c r="X110" s="158">
        <f t="shared" si="12"/>
        <v>40.739771946383755</v>
      </c>
      <c r="Y110" s="158">
        <f t="shared" si="13"/>
        <v>27.178259822041976</v>
      </c>
      <c r="Z110" s="158">
        <f t="shared" si="14"/>
        <v>10.339792048417872</v>
      </c>
      <c r="AA110" s="158">
        <f t="shared" si="15"/>
        <v>-2.2349293713255038</v>
      </c>
    </row>
    <row r="111" spans="1:27" ht="19.5" thickBot="1" x14ac:dyDescent="0.35">
      <c r="A111" s="142">
        <v>264</v>
      </c>
      <c r="B111" s="143" t="s">
        <v>513</v>
      </c>
      <c r="C111" s="142">
        <v>5169</v>
      </c>
      <c r="D111" s="143" t="s">
        <v>160</v>
      </c>
      <c r="E111" s="142">
        <v>4185</v>
      </c>
      <c r="F111" s="143" t="s">
        <v>530</v>
      </c>
      <c r="G111" s="144">
        <v>3.3305764510330889</v>
      </c>
      <c r="H111" s="145">
        <v>7.8064564444798243</v>
      </c>
      <c r="I111" s="146">
        <v>5.3519263893404947</v>
      </c>
      <c r="J111" s="147">
        <v>0.87920700354369929</v>
      </c>
      <c r="K111" s="148">
        <v>211</v>
      </c>
      <c r="M111" s="149">
        <f t="shared" si="8"/>
        <v>0.68557692307692308</v>
      </c>
      <c r="N111" s="138">
        <f t="shared" si="9"/>
        <v>5.3519263893404947</v>
      </c>
      <c r="O111" s="149"/>
      <c r="V111" s="158">
        <f t="shared" si="10"/>
        <v>215.0503035881157</v>
      </c>
      <c r="W111" s="158">
        <f t="shared" si="11"/>
        <v>83.192439497452781</v>
      </c>
      <c r="X111" s="158">
        <f t="shared" si="12"/>
        <v>58.320511577391656</v>
      </c>
      <c r="Y111" s="158">
        <f t="shared" si="13"/>
        <v>44.311294189089146</v>
      </c>
      <c r="Z111" s="158">
        <f t="shared" si="14"/>
        <v>26.916939240777985</v>
      </c>
      <c r="AA111" s="158">
        <f t="shared" si="15"/>
        <v>13.927089410512171</v>
      </c>
    </row>
    <row r="112" spans="1:27" ht="19.5" thickBot="1" x14ac:dyDescent="0.35">
      <c r="A112" s="142">
        <v>264</v>
      </c>
      <c r="B112" s="143" t="s">
        <v>513</v>
      </c>
      <c r="C112" s="142">
        <v>5169</v>
      </c>
      <c r="D112" s="143" t="s">
        <v>160</v>
      </c>
      <c r="E112" s="142">
        <v>4178</v>
      </c>
      <c r="F112" s="143" t="s">
        <v>172</v>
      </c>
      <c r="G112" s="144">
        <v>7.6444229507542065</v>
      </c>
      <c r="H112" s="145">
        <v>14.52038966382003</v>
      </c>
      <c r="I112" s="146">
        <v>11.263113063557698</v>
      </c>
      <c r="J112" s="147">
        <v>0.74579150059257604</v>
      </c>
      <c r="K112" s="148">
        <v>76</v>
      </c>
      <c r="M112" s="149">
        <f t="shared" si="8"/>
        <v>0.77567567567567564</v>
      </c>
      <c r="N112" s="138">
        <f t="shared" si="9"/>
        <v>11.263113063557698</v>
      </c>
      <c r="O112" s="149"/>
      <c r="V112" s="158">
        <f t="shared" si="10"/>
        <v>370.05618669297411</v>
      </c>
      <c r="W112" s="158">
        <f t="shared" si="11"/>
        <v>102.5663072143752</v>
      </c>
      <c r="X112" s="158">
        <f t="shared" si="12"/>
        <v>52.11054526480288</v>
      </c>
      <c r="Y112" s="158">
        <f t="shared" si="13"/>
        <v>23.691126395633702</v>
      </c>
      <c r="Z112" s="158">
        <f t="shared" si="14"/>
        <v>-11.595459966272927</v>
      </c>
      <c r="AA112" s="158">
        <f t="shared" si="15"/>
        <v>-37.94696648812738</v>
      </c>
    </row>
    <row r="113" spans="1:27" ht="19.5" thickBot="1" x14ac:dyDescent="0.35">
      <c r="A113" s="142">
        <v>264</v>
      </c>
      <c r="B113" s="143" t="s">
        <v>513</v>
      </c>
      <c r="C113" s="142">
        <v>5169</v>
      </c>
      <c r="D113" s="143" t="s">
        <v>160</v>
      </c>
      <c r="E113" s="142">
        <v>4194</v>
      </c>
      <c r="F113" s="143" t="s">
        <v>173</v>
      </c>
      <c r="G113" s="144">
        <v>6.044791431609327</v>
      </c>
      <c r="H113" s="145">
        <v>9.4296057432083611</v>
      </c>
      <c r="I113" s="146">
        <v>6.4352923405404425</v>
      </c>
      <c r="J113" s="147">
        <v>0.85475543041204816</v>
      </c>
      <c r="K113" s="148">
        <v>187</v>
      </c>
      <c r="M113" s="149">
        <f t="shared" si="8"/>
        <v>0.68245614035087721</v>
      </c>
      <c r="N113" s="138">
        <f t="shared" si="9"/>
        <v>6.4352923405404425</v>
      </c>
      <c r="O113" s="149"/>
      <c r="V113" s="158">
        <f t="shared" si="10"/>
        <v>381.18354810805118</v>
      </c>
      <c r="W113" s="158">
        <f t="shared" si="11"/>
        <v>140.77528265716165</v>
      </c>
      <c r="X113" s="158">
        <f t="shared" si="12"/>
        <v>95.427839098011361</v>
      </c>
      <c r="Y113" s="158">
        <f t="shared" si="13"/>
        <v>69.885701919674233</v>
      </c>
      <c r="Z113" s="158">
        <f t="shared" si="14"/>
        <v>38.171653382642752</v>
      </c>
      <c r="AA113" s="158">
        <f t="shared" si="15"/>
        <v>14.48806584921725</v>
      </c>
    </row>
    <row r="114" spans="1:27" ht="19.5" thickBot="1" x14ac:dyDescent="0.35">
      <c r="A114" s="142">
        <v>264</v>
      </c>
      <c r="B114" s="143" t="s">
        <v>513</v>
      </c>
      <c r="C114" s="142">
        <v>5169</v>
      </c>
      <c r="D114" s="143" t="s">
        <v>160</v>
      </c>
      <c r="E114" s="142">
        <v>4181</v>
      </c>
      <c r="F114" s="143" t="s">
        <v>174</v>
      </c>
      <c r="G114" s="144">
        <v>4.0103442189703635</v>
      </c>
      <c r="H114" s="145">
        <v>22.691319006866649</v>
      </c>
      <c r="I114" s="146">
        <v>15.067285175713376</v>
      </c>
      <c r="J114" s="147">
        <v>0.65993132333415816</v>
      </c>
      <c r="K114" s="148">
        <v>35</v>
      </c>
      <c r="M114" s="149">
        <f t="shared" si="8"/>
        <v>0.66401098901098898</v>
      </c>
      <c r="N114" s="138">
        <f t="shared" si="9"/>
        <v>15.067285175713376</v>
      </c>
      <c r="O114" s="149"/>
      <c r="V114" s="158">
        <f t="shared" si="10"/>
        <v>200.6738723410138</v>
      </c>
      <c r="W114" s="158">
        <f t="shared" si="11"/>
        <v>36.747358052803435</v>
      </c>
      <c r="X114" s="158">
        <f t="shared" si="12"/>
        <v>5.8264230317427499</v>
      </c>
      <c r="Y114" s="158">
        <f t="shared" si="13"/>
        <v>-11.589922896560774</v>
      </c>
      <c r="Z114" s="158">
        <f t="shared" si="14"/>
        <v>-33.2146928307072</v>
      </c>
      <c r="AA114" s="158">
        <f t="shared" si="15"/>
        <v>-49.36375468976064</v>
      </c>
    </row>
    <row r="115" spans="1:27" ht="19.5" thickBot="1" x14ac:dyDescent="0.35">
      <c r="A115" s="142">
        <v>264</v>
      </c>
      <c r="B115" s="143" t="s">
        <v>513</v>
      </c>
      <c r="C115" s="142">
        <v>5169</v>
      </c>
      <c r="D115" s="143" t="s">
        <v>160</v>
      </c>
      <c r="E115" s="142">
        <v>4183</v>
      </c>
      <c r="F115" s="143" t="s">
        <v>531</v>
      </c>
      <c r="G115" s="144">
        <v>2.3561526821289123</v>
      </c>
      <c r="H115" s="145">
        <v>8.0639935366295816</v>
      </c>
      <c r="I115" s="146">
        <v>5.6341849578293521</v>
      </c>
      <c r="J115" s="147">
        <v>0.87283642671156225</v>
      </c>
      <c r="K115" s="148">
        <v>204</v>
      </c>
      <c r="M115" s="149">
        <f t="shared" si="8"/>
        <v>0.6986842105263158</v>
      </c>
      <c r="N115" s="138">
        <f t="shared" si="9"/>
        <v>5.6341849578293521</v>
      </c>
      <c r="O115" s="149"/>
      <c r="V115" s="158">
        <f t="shared" si="10"/>
        <v>148.19756517550434</v>
      </c>
      <c r="W115" s="158">
        <f t="shared" si="11"/>
        <v>56.667173418849195</v>
      </c>
      <c r="X115" s="158">
        <f t="shared" si="12"/>
        <v>39.402087851399202</v>
      </c>
      <c r="Y115" s="158">
        <f t="shared" si="13"/>
        <v>29.677456221739174</v>
      </c>
      <c r="Z115" s="158">
        <f t="shared" si="14"/>
        <v>17.602999125433346</v>
      </c>
      <c r="AA115" s="158">
        <f t="shared" si="15"/>
        <v>8.5859711914237273</v>
      </c>
    </row>
    <row r="116" spans="1:27" ht="19.5" thickBot="1" x14ac:dyDescent="0.35">
      <c r="A116" s="142">
        <v>30</v>
      </c>
      <c r="B116" s="143" t="s">
        <v>532</v>
      </c>
      <c r="C116" s="142">
        <v>6</v>
      </c>
      <c r="D116" s="143" t="s">
        <v>177</v>
      </c>
      <c r="E116" s="142">
        <v>551110</v>
      </c>
      <c r="F116" s="143" t="s">
        <v>178</v>
      </c>
      <c r="G116" s="144">
        <v>5.3611493955112479</v>
      </c>
      <c r="H116" s="145">
        <v>9.5128854351085579</v>
      </c>
      <c r="I116" s="146">
        <v>6.0761224127188491</v>
      </c>
      <c r="J116" s="147">
        <v>0.86286189688082748</v>
      </c>
      <c r="K116" s="148">
        <v>196</v>
      </c>
      <c r="M116" s="149">
        <f t="shared" si="8"/>
        <v>0.63872549019607849</v>
      </c>
      <c r="N116" s="138">
        <f t="shared" si="9"/>
        <v>6.0761224127188491</v>
      </c>
      <c r="O116" s="149"/>
      <c r="V116" s="158">
        <f t="shared" si="10"/>
        <v>364.64533113980377</v>
      </c>
      <c r="W116" s="158">
        <f t="shared" si="11"/>
        <v>136.82814609165172</v>
      </c>
      <c r="X116" s="158">
        <f t="shared" si="12"/>
        <v>93.855717829255028</v>
      </c>
      <c r="Y116" s="158">
        <f t="shared" si="13"/>
        <v>69.651317946542974</v>
      </c>
      <c r="Z116" s="158">
        <f t="shared" si="14"/>
        <v>39.598252796572503</v>
      </c>
      <c r="AA116" s="158">
        <f t="shared" si="15"/>
        <v>17.155063359690601</v>
      </c>
    </row>
    <row r="117" spans="1:27" ht="19.5" thickBot="1" x14ac:dyDescent="0.35">
      <c r="A117" s="142">
        <v>30</v>
      </c>
      <c r="B117" s="143" t="s">
        <v>532</v>
      </c>
      <c r="C117" s="142">
        <v>6</v>
      </c>
      <c r="D117" s="143" t="s">
        <v>177</v>
      </c>
      <c r="E117" s="142">
        <v>451101</v>
      </c>
      <c r="F117" s="143" t="s">
        <v>179</v>
      </c>
      <c r="G117" s="144">
        <v>9.7145609440858518</v>
      </c>
      <c r="H117" s="145">
        <v>12.86728249680692</v>
      </c>
      <c r="I117" s="146">
        <v>8.6159323598619153</v>
      </c>
      <c r="J117" s="147">
        <v>0.80553837790344196</v>
      </c>
      <c r="K117" s="148">
        <v>130</v>
      </c>
      <c r="M117" s="149">
        <f t="shared" si="8"/>
        <v>0.66960000000000008</v>
      </c>
      <c r="N117" s="138">
        <f t="shared" si="9"/>
        <v>8.6159323598619153</v>
      </c>
      <c r="O117" s="149"/>
      <c r="V117" s="158">
        <f t="shared" si="10"/>
        <v>588.4094959687568</v>
      </c>
      <c r="W117" s="158">
        <f t="shared" si="11"/>
        <v>194.63230897167955</v>
      </c>
      <c r="X117" s="158">
        <f t="shared" si="12"/>
        <v>120.35537540310925</v>
      </c>
      <c r="Y117" s="158">
        <f t="shared" si="13"/>
        <v>78.518582025330446</v>
      </c>
      <c r="Z117" s="158">
        <f t="shared" si="14"/>
        <v>26.572494407339917</v>
      </c>
      <c r="AA117" s="158">
        <f t="shared" si="15"/>
        <v>-12.220083956886349</v>
      </c>
    </row>
    <row r="118" spans="1:27" ht="19.5" thickBot="1" x14ac:dyDescent="0.35">
      <c r="A118" s="142">
        <v>30</v>
      </c>
      <c r="B118" s="143" t="s">
        <v>532</v>
      </c>
      <c r="C118" s="142">
        <v>6</v>
      </c>
      <c r="D118" s="143" t="s">
        <v>177</v>
      </c>
      <c r="E118" s="142">
        <v>551103</v>
      </c>
      <c r="F118" s="143" t="s">
        <v>180</v>
      </c>
      <c r="G118" s="144">
        <v>2.7303992303992302</v>
      </c>
      <c r="H118" s="145">
        <v>14.649872280454506</v>
      </c>
      <c r="I118" s="146">
        <v>9.5224169822954288</v>
      </c>
      <c r="J118" s="147">
        <v>0.7850790169519557</v>
      </c>
      <c r="K118" s="148">
        <v>109</v>
      </c>
      <c r="M118" s="149">
        <f t="shared" si="8"/>
        <v>0.65</v>
      </c>
      <c r="N118" s="138">
        <f t="shared" si="9"/>
        <v>9.5224169822954288</v>
      </c>
      <c r="O118" s="149"/>
      <c r="V118" s="158">
        <f t="shared" si="10"/>
        <v>166.03967353655389</v>
      </c>
      <c r="W118" s="158">
        <f t="shared" si="11"/>
        <v>52.026347236510347</v>
      </c>
      <c r="X118" s="158">
        <f t="shared" si="12"/>
        <v>30.520377507535375</v>
      </c>
      <c r="Y118" s="158">
        <f t="shared" si="13"/>
        <v>18.407050143135262</v>
      </c>
      <c r="Z118" s="158">
        <f t="shared" si="14"/>
        <v>3.3667013541015169</v>
      </c>
      <c r="AA118" s="158">
        <f t="shared" si="15"/>
        <v>-7.865211110886877</v>
      </c>
    </row>
    <row r="119" spans="1:27" ht="19.5" thickBot="1" x14ac:dyDescent="0.35">
      <c r="A119" s="142">
        <v>30</v>
      </c>
      <c r="B119" s="143" t="s">
        <v>532</v>
      </c>
      <c r="C119" s="142">
        <v>6</v>
      </c>
      <c r="D119" s="143" t="s">
        <v>177</v>
      </c>
      <c r="E119" s="142">
        <v>551330</v>
      </c>
      <c r="F119" s="143" t="s">
        <v>181</v>
      </c>
      <c r="G119" s="144">
        <v>3.1380264341599156</v>
      </c>
      <c r="H119" s="145">
        <v>8.604134020696419</v>
      </c>
      <c r="I119" s="146">
        <v>5.5926871134526728</v>
      </c>
      <c r="J119" s="147">
        <v>0.87377303319754096</v>
      </c>
      <c r="K119" s="148">
        <v>206</v>
      </c>
      <c r="M119" s="149">
        <f t="shared" si="8"/>
        <v>0.65</v>
      </c>
      <c r="N119" s="138">
        <f t="shared" si="9"/>
        <v>5.5926871134526728</v>
      </c>
      <c r="O119" s="149"/>
      <c r="V119" s="158">
        <f t="shared" si="10"/>
        <v>212.38682997665478</v>
      </c>
      <c r="W119" s="158">
        <f t="shared" si="11"/>
        <v>81.352207716039928</v>
      </c>
      <c r="X119" s="158">
        <f t="shared" si="12"/>
        <v>56.635565274011839</v>
      </c>
      <c r="Y119" s="158">
        <f t="shared" si="13"/>
        <v>42.713813080446279</v>
      </c>
      <c r="Z119" s="158">
        <f t="shared" si="14"/>
        <v>25.428058106045714</v>
      </c>
      <c r="AA119" s="158">
        <f t="shared" si="15"/>
        <v>12.519309147692736</v>
      </c>
    </row>
    <row r="120" spans="1:27" ht="19.5" thickBot="1" x14ac:dyDescent="0.35">
      <c r="A120" s="142">
        <v>30</v>
      </c>
      <c r="B120" s="143" t="s">
        <v>532</v>
      </c>
      <c r="C120" s="142">
        <v>6</v>
      </c>
      <c r="D120" s="143" t="s">
        <v>177</v>
      </c>
      <c r="E120" s="142">
        <v>451115</v>
      </c>
      <c r="F120" s="143" t="s">
        <v>533</v>
      </c>
      <c r="G120" s="144">
        <v>2.9645688839237225</v>
      </c>
      <c r="H120" s="145">
        <v>14.841955684890102</v>
      </c>
      <c r="I120" s="146">
        <v>10.945942317606452</v>
      </c>
      <c r="J120" s="147">
        <v>0.75295004538647259</v>
      </c>
      <c r="K120" s="148">
        <v>81</v>
      </c>
      <c r="M120" s="149">
        <f t="shared" si="8"/>
        <v>0.73750000000000004</v>
      </c>
      <c r="N120" s="138">
        <f t="shared" si="9"/>
        <v>10.945942317606452</v>
      </c>
      <c r="O120" s="149"/>
      <c r="V120" s="158">
        <f t="shared" si="10"/>
        <v>152.38821771174784</v>
      </c>
      <c r="W120" s="158">
        <f t="shared" si="11"/>
        <v>43.283798615427955</v>
      </c>
      <c r="X120" s="158">
        <f t="shared" si="12"/>
        <v>22.703780379595131</v>
      </c>
      <c r="Y120" s="158">
        <f t="shared" si="13"/>
        <v>11.111999065028524</v>
      </c>
      <c r="Z120" s="158">
        <f t="shared" si="14"/>
        <v>-3.2807791380659515</v>
      </c>
      <c r="AA120" s="158">
        <f t="shared" si="15"/>
        <v>-14.029095362156372</v>
      </c>
    </row>
    <row r="121" spans="1:27" ht="19.5" thickBot="1" x14ac:dyDescent="0.35">
      <c r="A121" s="142">
        <v>30</v>
      </c>
      <c r="B121" s="143" t="s">
        <v>532</v>
      </c>
      <c r="C121" s="142">
        <v>6</v>
      </c>
      <c r="D121" s="143" t="s">
        <v>177</v>
      </c>
      <c r="E121" s="142">
        <v>551128</v>
      </c>
      <c r="F121" s="143" t="s">
        <v>183</v>
      </c>
      <c r="G121" s="144">
        <v>3.2593973529457401</v>
      </c>
      <c r="H121" s="145">
        <v>29.146492345936899</v>
      </c>
      <c r="I121" s="146">
        <v>19.159983652671151</v>
      </c>
      <c r="J121" s="147">
        <v>0.56755910505991025</v>
      </c>
      <c r="K121" s="148">
        <v>15</v>
      </c>
      <c r="M121" s="149">
        <f t="shared" si="8"/>
        <v>0.6573684210526316</v>
      </c>
      <c r="N121" s="138">
        <f t="shared" si="9"/>
        <v>19.159983652671151</v>
      </c>
      <c r="O121" s="149"/>
      <c r="V121" s="158">
        <f t="shared" si="10"/>
        <v>141.68545556686914</v>
      </c>
      <c r="W121" s="158">
        <f t="shared" si="11"/>
        <v>7.1083166276928864</v>
      </c>
      <c r="X121" s="158">
        <f t="shared" si="12"/>
        <v>-18.276539425198877</v>
      </c>
      <c r="Y121" s="158">
        <f t="shared" si="13"/>
        <v>-32.574665728825345</v>
      </c>
      <c r="Z121" s="158">
        <f t="shared" si="14"/>
        <v>-50.327740517194997</v>
      </c>
      <c r="AA121" s="158">
        <f t="shared" si="15"/>
        <v>-63.585477076652182</v>
      </c>
    </row>
    <row r="122" spans="1:27" ht="19.5" thickBot="1" x14ac:dyDescent="0.35">
      <c r="A122" s="142">
        <v>30</v>
      </c>
      <c r="B122" s="143" t="s">
        <v>532</v>
      </c>
      <c r="C122" s="142">
        <v>6</v>
      </c>
      <c r="D122" s="143" t="s">
        <v>177</v>
      </c>
      <c r="E122" s="142">
        <v>451120</v>
      </c>
      <c r="F122" s="143" t="s">
        <v>184</v>
      </c>
      <c r="G122" s="144">
        <v>2.4762819978250414</v>
      </c>
      <c r="H122" s="145">
        <v>12.114936839321809</v>
      </c>
      <c r="I122" s="146">
        <v>7.874708945559175</v>
      </c>
      <c r="J122" s="147">
        <v>0.82226779283626417</v>
      </c>
      <c r="K122" s="148">
        <v>150</v>
      </c>
      <c r="M122" s="149">
        <f t="shared" si="8"/>
        <v>0.64999999999999991</v>
      </c>
      <c r="N122" s="138">
        <f t="shared" si="9"/>
        <v>7.874708945559175</v>
      </c>
      <c r="O122" s="149"/>
      <c r="V122" s="158">
        <f t="shared" si="10"/>
        <v>157.71962224122498</v>
      </c>
      <c r="W122" s="158">
        <f t="shared" si="11"/>
        <v>54.317473469131734</v>
      </c>
      <c r="X122" s="158">
        <f t="shared" si="12"/>
        <v>34.813056278886513</v>
      </c>
      <c r="Y122" s="158">
        <f t="shared" si="13"/>
        <v>23.827111750239865</v>
      </c>
      <c r="Z122" s="158">
        <f t="shared" si="14"/>
        <v>10.186562583425088</v>
      </c>
      <c r="AA122" s="158">
        <f t="shared" si="15"/>
        <v>0</v>
      </c>
    </row>
    <row r="123" spans="1:27" ht="19.5" thickBot="1" x14ac:dyDescent="0.35">
      <c r="A123" s="142">
        <v>30</v>
      </c>
      <c r="B123" s="143" t="s">
        <v>532</v>
      </c>
      <c r="C123" s="142">
        <v>6</v>
      </c>
      <c r="D123" s="143" t="s">
        <v>177</v>
      </c>
      <c r="E123" s="142">
        <v>451381</v>
      </c>
      <c r="F123" s="143" t="s">
        <v>534</v>
      </c>
      <c r="G123" s="144">
        <v>6.4918796420425462</v>
      </c>
      <c r="H123" s="145">
        <v>13.709434694941116</v>
      </c>
      <c r="I123" s="146">
        <v>9.3578444687378965</v>
      </c>
      <c r="J123" s="147">
        <v>0.78879341913180501</v>
      </c>
      <c r="K123" s="148">
        <v>111</v>
      </c>
      <c r="M123" s="149">
        <f t="shared" si="8"/>
        <v>0.68258426966292129</v>
      </c>
      <c r="N123" s="138">
        <f t="shared" si="9"/>
        <v>9.3578444687378965</v>
      </c>
      <c r="O123" s="149"/>
      <c r="V123" s="158">
        <f t="shared" si="10"/>
        <v>377.71407379142892</v>
      </c>
      <c r="W123" s="158">
        <f t="shared" si="11"/>
        <v>119.57306439735595</v>
      </c>
      <c r="X123" s="158">
        <f t="shared" si="12"/>
        <v>70.880749963636489</v>
      </c>
      <c r="Y123" s="158">
        <f t="shared" si="13"/>
        <v>43.454600280589347</v>
      </c>
      <c r="Z123" s="158">
        <f t="shared" si="14"/>
        <v>9.4012931450478554</v>
      </c>
      <c r="AA123" s="158">
        <f t="shared" si="15"/>
        <v>-16.029218491001714</v>
      </c>
    </row>
    <row r="124" spans="1:27" ht="19.5" thickBot="1" x14ac:dyDescent="0.35">
      <c r="A124" s="142">
        <v>30</v>
      </c>
      <c r="B124" s="143" t="s">
        <v>532</v>
      </c>
      <c r="C124" s="142">
        <v>6</v>
      </c>
      <c r="D124" s="143" t="s">
        <v>177</v>
      </c>
      <c r="E124" s="142">
        <v>551354</v>
      </c>
      <c r="F124" s="143" t="s">
        <v>186</v>
      </c>
      <c r="G124" s="144">
        <v>2.7823128830548205</v>
      </c>
      <c r="H124" s="145">
        <v>12.220049084727647</v>
      </c>
      <c r="I124" s="146">
        <v>7.4847800643956832</v>
      </c>
      <c r="J124" s="147">
        <v>0.83106848898455232</v>
      </c>
      <c r="K124" s="148">
        <v>163</v>
      </c>
      <c r="M124" s="149">
        <f t="shared" si="8"/>
        <v>0.61249999999999993</v>
      </c>
      <c r="N124" s="138">
        <f t="shared" si="9"/>
        <v>7.4847800643956832</v>
      </c>
      <c r="O124" s="149"/>
      <c r="V124" s="158">
        <f t="shared" si="10"/>
        <v>190.07385983893943</v>
      </c>
      <c r="W124" s="158">
        <f t="shared" si="11"/>
        <v>66.779646589815087</v>
      </c>
      <c r="X124" s="158">
        <f t="shared" si="12"/>
        <v>43.523052786776098</v>
      </c>
      <c r="Y124" s="158">
        <f t="shared" si="13"/>
        <v>30.42367909345522</v>
      </c>
      <c r="Z124" s="158">
        <f t="shared" si="14"/>
        <v>14.159019240832114</v>
      </c>
      <c r="AA124" s="158">
        <f t="shared" si="15"/>
        <v>2.0128091828132382</v>
      </c>
    </row>
    <row r="125" spans="1:27" ht="19.5" thickBot="1" x14ac:dyDescent="0.35">
      <c r="A125" s="142">
        <v>30</v>
      </c>
      <c r="B125" s="143" t="s">
        <v>532</v>
      </c>
      <c r="C125" s="142">
        <v>6</v>
      </c>
      <c r="D125" s="143" t="s">
        <v>177</v>
      </c>
      <c r="E125" s="142">
        <v>451166</v>
      </c>
      <c r="F125" s="143" t="s">
        <v>187</v>
      </c>
      <c r="G125" s="144">
        <v>6.3293904736944011</v>
      </c>
      <c r="H125" s="145">
        <v>3.6338412198758112</v>
      </c>
      <c r="I125" s="146">
        <v>2.2514016253578393</v>
      </c>
      <c r="J125" s="147">
        <v>0.94918585780716036</v>
      </c>
      <c r="K125" s="148">
        <v>267</v>
      </c>
      <c r="M125" s="149">
        <f t="shared" si="8"/>
        <v>0.61956521739130432</v>
      </c>
      <c r="N125" s="138">
        <f t="shared" si="9"/>
        <v>2.2514016253578393</v>
      </c>
      <c r="O125" s="149"/>
      <c r="V125" s="158">
        <f t="shared" si="10"/>
        <v>488.21579323319645</v>
      </c>
      <c r="W125" s="158">
        <f t="shared" si="11"/>
        <v>210.93634524616516</v>
      </c>
      <c r="X125" s="158">
        <f t="shared" si="12"/>
        <v>158.63400824405886</v>
      </c>
      <c r="Y125" s="158">
        <f t="shared" si="13"/>
        <v>129.17449825618314</v>
      </c>
      <c r="Z125" s="158">
        <f t="shared" si="14"/>
        <v>92.596496849744952</v>
      </c>
      <c r="AA125" s="158">
        <f t="shared" si="15"/>
        <v>65.280580463491361</v>
      </c>
    </row>
    <row r="126" spans="1:27" ht="19.5" thickBot="1" x14ac:dyDescent="0.35">
      <c r="A126" s="142">
        <v>30</v>
      </c>
      <c r="B126" s="143" t="s">
        <v>532</v>
      </c>
      <c r="C126" s="142">
        <v>2</v>
      </c>
      <c r="D126" s="143" t="s">
        <v>188</v>
      </c>
      <c r="E126" s="142">
        <v>508815</v>
      </c>
      <c r="F126" s="143" t="s">
        <v>189</v>
      </c>
      <c r="G126" s="144">
        <v>2.9213564213564207</v>
      </c>
      <c r="H126" s="145">
        <v>15.061496665843421</v>
      </c>
      <c r="I126" s="146">
        <v>9.7899728327982238</v>
      </c>
      <c r="J126" s="147">
        <v>0.77904028051379814</v>
      </c>
      <c r="K126" s="148">
        <v>104</v>
      </c>
      <c r="M126" s="149">
        <f t="shared" si="8"/>
        <v>0.65</v>
      </c>
      <c r="N126" s="138">
        <f t="shared" si="9"/>
        <v>9.7899728327982238</v>
      </c>
      <c r="O126" s="149"/>
      <c r="V126" s="158">
        <f t="shared" si="10"/>
        <v>176.28558778163332</v>
      </c>
      <c r="W126" s="158">
        <f t="shared" si="11"/>
        <v>54.298458867106021</v>
      </c>
      <c r="X126" s="158">
        <f t="shared" si="12"/>
        <v>31.288416208966414</v>
      </c>
      <c r="Y126" s="158">
        <f t="shared" si="13"/>
        <v>18.327913478818598</v>
      </c>
      <c r="Z126" s="158">
        <f t="shared" si="14"/>
        <v>2.2356808759477373</v>
      </c>
      <c r="AA126" s="158">
        <f t="shared" si="15"/>
        <v>-9.7817630342270192</v>
      </c>
    </row>
    <row r="127" spans="1:27" ht="19.5" thickBot="1" x14ac:dyDescent="0.35">
      <c r="A127" s="142">
        <v>30</v>
      </c>
      <c r="B127" s="143" t="s">
        <v>532</v>
      </c>
      <c r="C127" s="142">
        <v>2</v>
      </c>
      <c r="D127" s="143" t="s">
        <v>188</v>
      </c>
      <c r="E127" s="142">
        <v>408801</v>
      </c>
      <c r="F127" s="143" t="s">
        <v>190</v>
      </c>
      <c r="G127" s="144">
        <v>8.5281722426518165</v>
      </c>
      <c r="H127" s="145">
        <v>11.374066709731236</v>
      </c>
      <c r="I127" s="146">
        <v>7.8826972635224974</v>
      </c>
      <c r="J127" s="147">
        <v>0.82208749647319068</v>
      </c>
      <c r="K127" s="148">
        <v>149</v>
      </c>
      <c r="M127" s="149">
        <f t="shared" si="8"/>
        <v>0.69304123711340193</v>
      </c>
      <c r="N127" s="138">
        <f t="shared" si="9"/>
        <v>7.8826972635224974</v>
      </c>
      <c r="O127" s="149"/>
      <c r="V127" s="158">
        <f t="shared" si="10"/>
        <v>509.33161460333457</v>
      </c>
      <c r="W127" s="158">
        <f t="shared" si="11"/>
        <v>175.33681360932147</v>
      </c>
      <c r="X127" s="158">
        <f t="shared" si="12"/>
        <v>112.33644064494177</v>
      </c>
      <c r="Y127" s="158">
        <f t="shared" si="13"/>
        <v>76.851217173774586</v>
      </c>
      <c r="Z127" s="158">
        <f t="shared" si="14"/>
        <v>32.791470267925817</v>
      </c>
      <c r="AA127" s="158">
        <f t="shared" si="15"/>
        <v>-0.1117042140955997</v>
      </c>
    </row>
    <row r="128" spans="1:27" ht="19.5" thickBot="1" x14ac:dyDescent="0.35">
      <c r="A128" s="142">
        <v>30</v>
      </c>
      <c r="B128" s="143" t="s">
        <v>532</v>
      </c>
      <c r="C128" s="142">
        <v>2</v>
      </c>
      <c r="D128" s="143" t="s">
        <v>188</v>
      </c>
      <c r="E128" s="142">
        <v>408822</v>
      </c>
      <c r="F128" s="143" t="s">
        <v>188</v>
      </c>
      <c r="G128" s="144">
        <v>4.154172973979426</v>
      </c>
      <c r="H128" s="145">
        <v>16.850526070642786</v>
      </c>
      <c r="I128" s="146">
        <v>11.344014872557734</v>
      </c>
      <c r="J128" s="147">
        <v>0.74396554649363444</v>
      </c>
      <c r="K128" s="148">
        <v>73</v>
      </c>
      <c r="M128" s="149">
        <f t="shared" si="8"/>
        <v>0.67321428571428577</v>
      </c>
      <c r="N128" s="138">
        <f t="shared" si="9"/>
        <v>11.344014872557734</v>
      </c>
      <c r="O128" s="149"/>
      <c r="V128" s="158">
        <f t="shared" si="10"/>
        <v>231.13716436027366</v>
      </c>
      <c r="W128" s="158">
        <f t="shared" si="11"/>
        <v>63.652875787158635</v>
      </c>
      <c r="X128" s="158">
        <f t="shared" si="12"/>
        <v>32.060849161662794</v>
      </c>
      <c r="Y128" s="158">
        <f t="shared" si="13"/>
        <v>14.266508081386597</v>
      </c>
      <c r="Z128" s="158">
        <f t="shared" si="14"/>
        <v>-7.827594411453898</v>
      </c>
      <c r="AA128" s="158">
        <f t="shared" si="15"/>
        <v>-24.327146959929678</v>
      </c>
    </row>
    <row r="129" spans="1:27" ht="19.5" thickBot="1" x14ac:dyDescent="0.35">
      <c r="A129" s="142">
        <v>30</v>
      </c>
      <c r="B129" s="143" t="s">
        <v>532</v>
      </c>
      <c r="C129" s="142">
        <v>2</v>
      </c>
      <c r="D129" s="143" t="s">
        <v>188</v>
      </c>
      <c r="E129" s="142">
        <v>508817</v>
      </c>
      <c r="F129" s="143" t="s">
        <v>191</v>
      </c>
      <c r="G129" s="144">
        <v>3.1974210582415354</v>
      </c>
      <c r="H129" s="145">
        <v>9.069809534546863</v>
      </c>
      <c r="I129" s="146">
        <v>5.7859129789350678</v>
      </c>
      <c r="J129" s="147">
        <v>0.86941192476918738</v>
      </c>
      <c r="K129" s="148">
        <v>201</v>
      </c>
      <c r="M129" s="149">
        <f t="shared" si="8"/>
        <v>0.63793103448275867</v>
      </c>
      <c r="N129" s="138">
        <f t="shared" si="9"/>
        <v>5.7859129789350678</v>
      </c>
      <c r="O129" s="149"/>
      <c r="V129" s="158">
        <f t="shared" si="10"/>
        <v>219.40039121404953</v>
      </c>
      <c r="W129" s="158">
        <f t="shared" si="11"/>
        <v>83.359671637529118</v>
      </c>
      <c r="X129" s="158">
        <f t="shared" si="12"/>
        <v>57.698745041797444</v>
      </c>
      <c r="Y129" s="158">
        <f t="shared" si="13"/>
        <v>43.245120850689901</v>
      </c>
      <c r="Z129" s="158">
        <f t="shared" si="14"/>
        <v>25.298974217292223</v>
      </c>
      <c r="AA129" s="158">
        <f t="shared" si="15"/>
        <v>11.897054428228698</v>
      </c>
    </row>
    <row r="130" spans="1:27" ht="19.5" thickBot="1" x14ac:dyDescent="0.35">
      <c r="A130" s="142">
        <v>30</v>
      </c>
      <c r="B130" s="143" t="s">
        <v>532</v>
      </c>
      <c r="C130" s="142">
        <v>2</v>
      </c>
      <c r="D130" s="143" t="s">
        <v>188</v>
      </c>
      <c r="E130" s="142">
        <v>508802</v>
      </c>
      <c r="F130" s="143" t="s">
        <v>192</v>
      </c>
      <c r="G130" s="144">
        <v>3.6646238141786531</v>
      </c>
      <c r="H130" s="145">
        <v>10.642292900326254</v>
      </c>
      <c r="I130" s="146">
        <v>7.0129981420098648</v>
      </c>
      <c r="J130" s="147">
        <v>0.84171660854621178</v>
      </c>
      <c r="K130" s="148">
        <v>174</v>
      </c>
      <c r="M130" s="149">
        <f t="shared" si="8"/>
        <v>0.65897435897435896</v>
      </c>
      <c r="N130" s="138">
        <f t="shared" si="9"/>
        <v>7.0129981420098648</v>
      </c>
      <c r="O130" s="149"/>
      <c r="V130" s="158">
        <f t="shared" si="10"/>
        <v>235.6744403459746</v>
      </c>
      <c r="W130" s="158">
        <f t="shared" si="11"/>
        <v>84.734663624464162</v>
      </c>
      <c r="X130" s="158">
        <f t="shared" si="12"/>
        <v>56.263375447778387</v>
      </c>
      <c r="Y130" s="158">
        <f t="shared" si="13"/>
        <v>40.226803346325575</v>
      </c>
      <c r="Z130" s="158">
        <f t="shared" si="14"/>
        <v>20.315210888650505</v>
      </c>
      <c r="AA130" s="158">
        <f t="shared" si="15"/>
        <v>5.4455249086156341</v>
      </c>
    </row>
    <row r="131" spans="1:27" ht="19.5" thickBot="1" x14ac:dyDescent="0.35">
      <c r="A131" s="142">
        <v>30</v>
      </c>
      <c r="B131" s="143" t="s">
        <v>532</v>
      </c>
      <c r="C131" s="142">
        <v>2</v>
      </c>
      <c r="D131" s="143" t="s">
        <v>188</v>
      </c>
      <c r="E131" s="142">
        <v>508839</v>
      </c>
      <c r="F131" s="143" t="s">
        <v>193</v>
      </c>
      <c r="G131" s="144">
        <v>2.8205915806701234</v>
      </c>
      <c r="H131" s="145">
        <v>20.917597714016654</v>
      </c>
      <c r="I131" s="146">
        <v>13.968700846309428</v>
      </c>
      <c r="J131" s="147">
        <v>0.68472637531262748</v>
      </c>
      <c r="K131" s="148">
        <v>41</v>
      </c>
      <c r="M131" s="149">
        <f t="shared" si="8"/>
        <v>0.66779661016949154</v>
      </c>
      <c r="N131" s="138">
        <f t="shared" si="9"/>
        <v>13.968700846309428</v>
      </c>
      <c r="O131" s="149"/>
      <c r="V131" s="158">
        <f t="shared" si="10"/>
        <v>145.61253297867555</v>
      </c>
      <c r="W131" s="158">
        <f t="shared" si="11"/>
        <v>30.971836710189777</v>
      </c>
      <c r="X131" s="158">
        <f t="shared" si="12"/>
        <v>9.3475281870752518</v>
      </c>
      <c r="Y131" s="158">
        <f t="shared" si="13"/>
        <v>-2.8324539978879804</v>
      </c>
      <c r="Z131" s="158">
        <f t="shared" si="14"/>
        <v>-17.955563841715477</v>
      </c>
      <c r="AA131" s="158">
        <f t="shared" si="15"/>
        <v>-29.249281051792714</v>
      </c>
    </row>
    <row r="132" spans="1:27" ht="19.5" thickBot="1" x14ac:dyDescent="0.35">
      <c r="A132" s="142">
        <v>30</v>
      </c>
      <c r="B132" s="143" t="s">
        <v>532</v>
      </c>
      <c r="C132" s="142">
        <v>2</v>
      </c>
      <c r="D132" s="143" t="s">
        <v>188</v>
      </c>
      <c r="E132" s="142">
        <v>508819</v>
      </c>
      <c r="F132" s="143" t="s">
        <v>194</v>
      </c>
      <c r="G132" s="144">
        <v>1.9545245414810632</v>
      </c>
      <c r="H132" s="145">
        <v>7.1628673382588177</v>
      </c>
      <c r="I132" s="146">
        <v>4.6558637698682315</v>
      </c>
      <c r="J132" s="147">
        <v>0.89491713918658455</v>
      </c>
      <c r="K132" s="148">
        <v>228</v>
      </c>
      <c r="M132" s="149">
        <f t="shared" si="8"/>
        <v>0.65</v>
      </c>
      <c r="N132" s="138">
        <f t="shared" si="9"/>
        <v>4.6558637698682315</v>
      </c>
      <c r="O132" s="149"/>
      <c r="V132" s="158">
        <f t="shared" si="10"/>
        <v>135.48658661570545</v>
      </c>
      <c r="W132" s="158">
        <f t="shared" si="11"/>
        <v>53.871472668892537</v>
      </c>
      <c r="X132" s="158">
        <f t="shared" si="12"/>
        <v>38.476674298148644</v>
      </c>
      <c r="Y132" s="158">
        <f t="shared" si="13"/>
        <v>29.805489751538467</v>
      </c>
      <c r="Z132" s="158">
        <f t="shared" si="14"/>
        <v>19.039030951920676</v>
      </c>
      <c r="AA132" s="158">
        <f t="shared" si="15"/>
        <v>10.998797012440338</v>
      </c>
    </row>
    <row r="133" spans="1:27" ht="19.5" thickBot="1" x14ac:dyDescent="0.35">
      <c r="A133" s="142">
        <v>30</v>
      </c>
      <c r="B133" s="143" t="s">
        <v>532</v>
      </c>
      <c r="C133" s="142">
        <v>2</v>
      </c>
      <c r="D133" s="143" t="s">
        <v>188</v>
      </c>
      <c r="E133" s="142">
        <v>408840</v>
      </c>
      <c r="F133" s="143" t="s">
        <v>195</v>
      </c>
      <c r="G133" s="144">
        <v>5.9904369278843319</v>
      </c>
      <c r="H133" s="145">
        <v>14.189282188139122</v>
      </c>
      <c r="I133" s="146">
        <v>10.370695952213447</v>
      </c>
      <c r="J133" s="147">
        <v>0.76593335777186211</v>
      </c>
      <c r="K133" s="148">
        <v>96</v>
      </c>
      <c r="M133" s="149">
        <f t="shared" si="8"/>
        <v>0.73088235294117654</v>
      </c>
      <c r="N133" s="138">
        <f t="shared" si="9"/>
        <v>10.370695952213447</v>
      </c>
      <c r="O133" s="149"/>
      <c r="V133" s="158">
        <f t="shared" si="10"/>
        <v>316.07322865822289</v>
      </c>
      <c r="W133" s="158">
        <f t="shared" si="11"/>
        <v>93.612249753177935</v>
      </c>
      <c r="X133" s="158">
        <f t="shared" si="12"/>
        <v>51.650145554765409</v>
      </c>
      <c r="Y133" s="158">
        <f t="shared" si="13"/>
        <v>28.014814925167883</v>
      </c>
      <c r="Z133" s="158">
        <f t="shared" si="14"/>
        <v>-1.3316730974386013</v>
      </c>
      <c r="AA133" s="158">
        <f t="shared" si="15"/>
        <v>-23.247201071435967</v>
      </c>
    </row>
    <row r="134" spans="1:27" ht="19.5" thickBot="1" x14ac:dyDescent="0.35">
      <c r="A134" s="142">
        <v>30</v>
      </c>
      <c r="B134" s="143" t="s">
        <v>532</v>
      </c>
      <c r="C134" s="142">
        <v>2</v>
      </c>
      <c r="D134" s="143" t="s">
        <v>188</v>
      </c>
      <c r="E134" s="142">
        <v>408862</v>
      </c>
      <c r="F134" s="143" t="s">
        <v>196</v>
      </c>
      <c r="G134" s="144">
        <v>3.8731675345588394</v>
      </c>
      <c r="H134" s="145">
        <v>17.8148761664293</v>
      </c>
      <c r="I134" s="146">
        <v>12.212226705392839</v>
      </c>
      <c r="J134" s="147">
        <v>0.72437000253102546</v>
      </c>
      <c r="K134" s="148">
        <v>62</v>
      </c>
      <c r="M134" s="149">
        <f t="shared" ref="M134:M197" si="16">IF(ISERROR(I134/H134),$O$3,(I134/H134))</f>
        <v>0.6855072463768116</v>
      </c>
      <c r="N134" s="138">
        <f t="shared" ref="N134:N197" si="17">I134</f>
        <v>12.212226705392839</v>
      </c>
      <c r="O134" s="149"/>
      <c r="V134" s="158">
        <f t="shared" ref="V134:V197" si="18">(((($O$5-N134))/M134)*G134)+((((($O$5-N134)/$T$2))*$T$3/M134)*G134)</f>
        <v>206.06317854306405</v>
      </c>
      <c r="W134" s="158">
        <f t="shared" ref="W134:W197" si="19">(((($P$5-N134))/M134)*G134)+((((($P$5-N134)/$T$2))*$T$3/M134)*G134)</f>
        <v>52.708491899229998</v>
      </c>
      <c r="X134" s="158">
        <f t="shared" ref="X134:X197" si="20">(((($Q$5-N134))/M134)*G134)+((((($Q$5-N134)/$T$2))*$T$3/M134)*G134)</f>
        <v>23.781686973993139</v>
      </c>
      <c r="Y134" s="158">
        <f t="shared" ref="Y134:Y197" si="21">(((($R$5-N134))/M134)*G134)+((((($R$5-N134)/$T$2))*$T$3/M134)*G134)</f>
        <v>7.4885431594437195</v>
      </c>
      <c r="Z134" s="158">
        <f t="shared" ref="Z134:Z197" si="22">(((($S$5-N134))/M134)*G134)+((((($S$5-N134)/$T$2))*$T$3/M134)*G134)</f>
        <v>-12.741618089306352</v>
      </c>
      <c r="AA134" s="158">
        <f t="shared" ref="AA134:AA197" si="23">(((($T$5-N134))/M134)*G134)+((((($T$5-N134)/$T$2))*$T$3/M134)*G134)</f>
        <v>-27.849206582482438</v>
      </c>
    </row>
    <row r="135" spans="1:27" ht="19.5" thickBot="1" x14ac:dyDescent="0.35">
      <c r="A135" s="142">
        <v>30</v>
      </c>
      <c r="B135" s="143" t="s">
        <v>532</v>
      </c>
      <c r="C135" s="142">
        <v>2</v>
      </c>
      <c r="D135" s="143" t="s">
        <v>188</v>
      </c>
      <c r="E135" s="142">
        <v>508860</v>
      </c>
      <c r="F135" s="143" t="s">
        <v>197</v>
      </c>
      <c r="G135" s="144">
        <v>2.780643064148463</v>
      </c>
      <c r="H135" s="145">
        <v>22.297000574932376</v>
      </c>
      <c r="I135" s="146">
        <v>15.374141525457404</v>
      </c>
      <c r="J135" s="147">
        <v>0.65300557449705743</v>
      </c>
      <c r="K135" s="148">
        <v>33</v>
      </c>
      <c r="M135" s="149">
        <f t="shared" si="16"/>
        <v>0.68951612903225801</v>
      </c>
      <c r="N135" s="138">
        <f t="shared" si="17"/>
        <v>15.374141525457404</v>
      </c>
      <c r="O135" s="149"/>
      <c r="V135" s="158">
        <f t="shared" si="18"/>
        <v>132.58775227812518</v>
      </c>
      <c r="W135" s="158">
        <f t="shared" si="19"/>
        <v>23.13072856117995</v>
      </c>
      <c r="X135" s="158">
        <f t="shared" si="20"/>
        <v>2.4841996415213625</v>
      </c>
      <c r="Y135" s="158">
        <f t="shared" si="21"/>
        <v>-9.1450440937853799</v>
      </c>
      <c r="Z135" s="158">
        <f t="shared" si="22"/>
        <v>-23.584337003984125</v>
      </c>
      <c r="AA135" s="158">
        <f t="shared" si="23"/>
        <v>-34.367389730921516</v>
      </c>
    </row>
    <row r="136" spans="1:27" ht="19.5" thickBot="1" x14ac:dyDescent="0.35">
      <c r="A136" s="142">
        <v>30</v>
      </c>
      <c r="B136" s="143" t="s">
        <v>532</v>
      </c>
      <c r="C136" s="142">
        <v>2</v>
      </c>
      <c r="D136" s="143" t="s">
        <v>188</v>
      </c>
      <c r="E136" s="142">
        <v>408806</v>
      </c>
      <c r="F136" s="143" t="s">
        <v>535</v>
      </c>
      <c r="G136" s="144">
        <v>8.6991771745688098</v>
      </c>
      <c r="H136" s="145">
        <v>10.000945865815442</v>
      </c>
      <c r="I136" s="146">
        <v>7.0638864764868847</v>
      </c>
      <c r="J136" s="147">
        <v>0.84056805866735074</v>
      </c>
      <c r="K136" s="148">
        <v>171</v>
      </c>
      <c r="M136" s="149">
        <f t="shared" si="16"/>
        <v>0.70632183908045987</v>
      </c>
      <c r="N136" s="138">
        <f t="shared" si="17"/>
        <v>7.0638864764868847</v>
      </c>
      <c r="O136" s="149"/>
      <c r="V136" s="158">
        <f t="shared" si="18"/>
        <v>521.23567082199702</v>
      </c>
      <c r="W136" s="158">
        <f t="shared" si="19"/>
        <v>186.94953767921868</v>
      </c>
      <c r="X136" s="158">
        <f t="shared" si="20"/>
        <v>123.89421166175521</v>
      </c>
      <c r="Y136" s="158">
        <f t="shared" si="21"/>
        <v>88.378035653684734</v>
      </c>
      <c r="Z136" s="158">
        <f t="shared" si="22"/>
        <v>44.279856949790201</v>
      </c>
      <c r="AA136" s="158">
        <f t="shared" si="23"/>
        <v>11.34798216316968</v>
      </c>
    </row>
    <row r="137" spans="1:27" ht="19.5" thickBot="1" x14ac:dyDescent="0.35">
      <c r="A137" s="142">
        <v>30</v>
      </c>
      <c r="B137" s="143" t="s">
        <v>532</v>
      </c>
      <c r="C137" s="142">
        <v>2</v>
      </c>
      <c r="D137" s="143" t="s">
        <v>188</v>
      </c>
      <c r="E137" s="142">
        <v>508833</v>
      </c>
      <c r="F137" s="143" t="s">
        <v>199</v>
      </c>
      <c r="G137" s="144">
        <v>2.9260884420239259</v>
      </c>
      <c r="H137" s="145">
        <v>35.884082822654968</v>
      </c>
      <c r="I137" s="146">
        <v>24.076510808152786</v>
      </c>
      <c r="J137" s="147">
        <v>0.45659307076387756</v>
      </c>
      <c r="K137" s="148">
        <v>5</v>
      </c>
      <c r="M137" s="149">
        <f t="shared" si="16"/>
        <v>0.67095238095238097</v>
      </c>
      <c r="N137" s="138">
        <f t="shared" si="17"/>
        <v>24.076510808152786</v>
      </c>
      <c r="O137" s="149"/>
      <c r="V137" s="158">
        <f t="shared" si="18"/>
        <v>100.25609189582784</v>
      </c>
      <c r="W137" s="158">
        <f t="shared" si="19"/>
        <v>-18.113069377105212</v>
      </c>
      <c r="X137" s="158">
        <f t="shared" si="20"/>
        <v>-40.440666350116977</v>
      </c>
      <c r="Y137" s="158">
        <f t="shared" si="21"/>
        <v>-53.016778694871562</v>
      </c>
      <c r="Z137" s="158">
        <f t="shared" si="22"/>
        <v>-68.631738184125737</v>
      </c>
      <c r="AA137" s="158">
        <f t="shared" si="23"/>
        <v>-80.292761514616629</v>
      </c>
    </row>
    <row r="138" spans="1:27" ht="19.5" thickBot="1" x14ac:dyDescent="0.35">
      <c r="A138" s="142">
        <v>30</v>
      </c>
      <c r="B138" s="143" t="s">
        <v>532</v>
      </c>
      <c r="C138" s="142">
        <v>2</v>
      </c>
      <c r="D138" s="143" t="s">
        <v>188</v>
      </c>
      <c r="E138" s="142">
        <v>508820</v>
      </c>
      <c r="F138" s="143" t="s">
        <v>200</v>
      </c>
      <c r="G138" s="144">
        <v>2.846087604152121</v>
      </c>
      <c r="H138" s="145">
        <v>33.379155252075059</v>
      </c>
      <c r="I138" s="146">
        <v>23.172160935519479</v>
      </c>
      <c r="J138" s="147">
        <v>0.47700425040525385</v>
      </c>
      <c r="K138" s="148">
        <v>7</v>
      </c>
      <c r="M138" s="149">
        <f t="shared" si="16"/>
        <v>0.69421052631578961</v>
      </c>
      <c r="N138" s="138">
        <f t="shared" si="17"/>
        <v>23.172160935519479</v>
      </c>
      <c r="O138" s="149"/>
      <c r="V138" s="158">
        <f t="shared" si="18"/>
        <v>98.461176925982912</v>
      </c>
      <c r="W138" s="158">
        <f t="shared" si="19"/>
        <v>-12.814408863058475</v>
      </c>
      <c r="X138" s="158">
        <f t="shared" si="20"/>
        <v>-33.803967340242977</v>
      </c>
      <c r="Y138" s="158">
        <f t="shared" si="21"/>
        <v>-45.626423908002394</v>
      </c>
      <c r="Z138" s="158">
        <f t="shared" si="22"/>
        <v>-60.305616913623787</v>
      </c>
      <c r="AA138" s="158">
        <f t="shared" si="23"/>
        <v>-71.267823522557208</v>
      </c>
    </row>
    <row r="139" spans="1:27" ht="19.5" thickBot="1" x14ac:dyDescent="0.35">
      <c r="A139" s="142">
        <v>30</v>
      </c>
      <c r="B139" s="143" t="s">
        <v>532</v>
      </c>
      <c r="C139" s="142">
        <v>2</v>
      </c>
      <c r="D139" s="143" t="s">
        <v>188</v>
      </c>
      <c r="E139" s="142">
        <v>408814</v>
      </c>
      <c r="F139" s="143" t="s">
        <v>201</v>
      </c>
      <c r="G139" s="144">
        <v>0.62457229747552401</v>
      </c>
      <c r="H139" s="145">
        <v>36.825200369860035</v>
      </c>
      <c r="I139" s="146">
        <v>23.936380240409022</v>
      </c>
      <c r="J139" s="147">
        <v>0.45975581814519534</v>
      </c>
      <c r="K139" s="148">
        <v>6</v>
      </c>
      <c r="M139" s="149">
        <f t="shared" si="16"/>
        <v>0.65</v>
      </c>
      <c r="N139" s="138">
        <f t="shared" si="17"/>
        <v>23.936380240409022</v>
      </c>
      <c r="O139" s="149"/>
      <c r="V139" s="158">
        <f t="shared" si="18"/>
        <v>22.242433422829883</v>
      </c>
      <c r="W139" s="158">
        <f t="shared" si="19"/>
        <v>-3.8378424420416239</v>
      </c>
      <c r="X139" s="158">
        <f t="shared" si="20"/>
        <v>-8.7572816117856718</v>
      </c>
      <c r="Y139" s="158">
        <f t="shared" si="21"/>
        <v>-11.528176291883529</v>
      </c>
      <c r="Z139" s="158">
        <f t="shared" si="22"/>
        <v>-14.968620126401637</v>
      </c>
      <c r="AA139" s="158">
        <f t="shared" si="23"/>
        <v>-17.53789325510672</v>
      </c>
    </row>
    <row r="140" spans="1:27" ht="19.5" thickBot="1" x14ac:dyDescent="0.35">
      <c r="A140" s="142">
        <v>30</v>
      </c>
      <c r="B140" s="143" t="s">
        <v>532</v>
      </c>
      <c r="C140" s="142">
        <v>11</v>
      </c>
      <c r="D140" s="143" t="s">
        <v>202</v>
      </c>
      <c r="E140" s="142">
        <v>551367</v>
      </c>
      <c r="F140" s="143" t="s">
        <v>203</v>
      </c>
      <c r="G140" s="144">
        <v>2.7066750453847233</v>
      </c>
      <c r="H140" s="145">
        <v>14.039365406939247</v>
      </c>
      <c r="I140" s="146">
        <v>9.1255875145105101</v>
      </c>
      <c r="J140" s="147">
        <v>0.79403545936330311</v>
      </c>
      <c r="K140" s="148">
        <v>117</v>
      </c>
      <c r="M140" s="149">
        <f t="shared" si="16"/>
        <v>0.65</v>
      </c>
      <c r="N140" s="138">
        <f t="shared" si="17"/>
        <v>9.1255875145105101</v>
      </c>
      <c r="O140" s="149"/>
      <c r="V140" s="158">
        <f t="shared" si="18"/>
        <v>166.47474720720706</v>
      </c>
      <c r="W140" s="158">
        <f t="shared" si="19"/>
        <v>53.452072097343532</v>
      </c>
      <c r="X140" s="158">
        <f t="shared" si="20"/>
        <v>32.132965739514468</v>
      </c>
      <c r="Y140" s="158">
        <f t="shared" si="21"/>
        <v>20.124889950171493</v>
      </c>
      <c r="Z140" s="158">
        <f t="shared" si="22"/>
        <v>5.2152253531712987</v>
      </c>
      <c r="AA140" s="158">
        <f t="shared" si="23"/>
        <v>-5.9190940688586231</v>
      </c>
    </row>
    <row r="141" spans="1:27" ht="19.5" thickBot="1" x14ac:dyDescent="0.35">
      <c r="A141" s="142">
        <v>30</v>
      </c>
      <c r="B141" s="143" t="s">
        <v>532</v>
      </c>
      <c r="C141" s="142">
        <v>11</v>
      </c>
      <c r="D141" s="143" t="s">
        <v>202</v>
      </c>
      <c r="E141" s="142">
        <v>551340</v>
      </c>
      <c r="F141" s="143" t="s">
        <v>204</v>
      </c>
      <c r="G141" s="144">
        <v>2.9894179894179898</v>
      </c>
      <c r="H141" s="145">
        <v>11.038938053097343</v>
      </c>
      <c r="I141" s="146">
        <v>7.1753097345132737</v>
      </c>
      <c r="J141" s="147">
        <v>0.83805323536209408</v>
      </c>
      <c r="K141" s="148">
        <v>168</v>
      </c>
      <c r="M141" s="149">
        <f t="shared" si="16"/>
        <v>0.65</v>
      </c>
      <c r="N141" s="138">
        <f t="shared" si="17"/>
        <v>7.1753097345132737</v>
      </c>
      <c r="O141" s="149"/>
      <c r="V141" s="158">
        <f t="shared" si="18"/>
        <v>194.05757439085397</v>
      </c>
      <c r="W141" s="158">
        <f t="shared" si="19"/>
        <v>69.228397441189443</v>
      </c>
      <c r="X141" s="158">
        <f t="shared" si="20"/>
        <v>45.682268336005009</v>
      </c>
      <c r="Y141" s="158">
        <f t="shared" si="21"/>
        <v>32.419812673229224</v>
      </c>
      <c r="Z141" s="158">
        <f t="shared" si="22"/>
        <v>15.952664302957981</v>
      </c>
      <c r="AA141" s="158">
        <f t="shared" si="23"/>
        <v>3.6552387819674244</v>
      </c>
    </row>
    <row r="142" spans="1:27" ht="19.5" thickBot="1" x14ac:dyDescent="0.35">
      <c r="A142" s="142">
        <v>30</v>
      </c>
      <c r="B142" s="143" t="s">
        <v>532</v>
      </c>
      <c r="C142" s="142">
        <v>11</v>
      </c>
      <c r="D142" s="143" t="s">
        <v>202</v>
      </c>
      <c r="E142" s="142">
        <v>551369</v>
      </c>
      <c r="F142" s="143" t="s">
        <v>205</v>
      </c>
      <c r="G142" s="144">
        <v>2.9247757073844021</v>
      </c>
      <c r="H142" s="145">
        <v>9.5733836715431835</v>
      </c>
      <c r="I142" s="146">
        <v>6.3423666823973592</v>
      </c>
      <c r="J142" s="147">
        <v>0.85685276282624823</v>
      </c>
      <c r="K142" s="148">
        <v>191</v>
      </c>
      <c r="M142" s="149">
        <f t="shared" si="16"/>
        <v>0.66249999999999998</v>
      </c>
      <c r="N142" s="138">
        <f t="shared" si="17"/>
        <v>6.3423666823973592</v>
      </c>
      <c r="O142" s="149"/>
      <c r="V142" s="158">
        <f t="shared" si="18"/>
        <v>190.45772406997031</v>
      </c>
      <c r="W142" s="158">
        <f t="shared" si="19"/>
        <v>70.632153860270236</v>
      </c>
      <c r="X142" s="158">
        <f t="shared" si="20"/>
        <v>48.029839119401281</v>
      </c>
      <c r="Y142" s="158">
        <f t="shared" si="21"/>
        <v>35.298990843330486</v>
      </c>
      <c r="Z142" s="158">
        <f t="shared" si="22"/>
        <v>19.491905581596015</v>
      </c>
      <c r="AA142" s="158">
        <f t="shared" si="23"/>
        <v>7.6874055346382768</v>
      </c>
    </row>
    <row r="143" spans="1:27" ht="19.5" thickBot="1" x14ac:dyDescent="0.35">
      <c r="A143" s="142">
        <v>30</v>
      </c>
      <c r="B143" s="143" t="s">
        <v>532</v>
      </c>
      <c r="C143" s="142">
        <v>11</v>
      </c>
      <c r="D143" s="143" t="s">
        <v>202</v>
      </c>
      <c r="E143" s="142">
        <v>551365</v>
      </c>
      <c r="F143" s="143" t="s">
        <v>206</v>
      </c>
      <c r="G143" s="144">
        <v>2.668153180775902</v>
      </c>
      <c r="H143" s="145">
        <v>7.1210304329209384</v>
      </c>
      <c r="I143" s="146">
        <v>4.6286697813986093</v>
      </c>
      <c r="J143" s="147">
        <v>0.89553090759703702</v>
      </c>
      <c r="K143" s="148">
        <v>229</v>
      </c>
      <c r="M143" s="149">
        <f t="shared" si="16"/>
        <v>0.64999999999999991</v>
      </c>
      <c r="N143" s="138">
        <f t="shared" si="17"/>
        <v>4.6286697813986093</v>
      </c>
      <c r="O143" s="149"/>
      <c r="V143" s="158">
        <f t="shared" si="18"/>
        <v>185.08178801291592</v>
      </c>
      <c r="W143" s="158">
        <f t="shared" si="19"/>
        <v>73.667671047382569</v>
      </c>
      <c r="X143" s="158">
        <f t="shared" si="20"/>
        <v>52.651981876665673</v>
      </c>
      <c r="Y143" s="158">
        <f t="shared" si="21"/>
        <v>40.81480708652402</v>
      </c>
      <c r="Z143" s="158">
        <f t="shared" si="22"/>
        <v>26.117339399510463</v>
      </c>
      <c r="AA143" s="158">
        <f t="shared" si="23"/>
        <v>15.141485525835952</v>
      </c>
    </row>
    <row r="144" spans="1:27" ht="19.5" thickBot="1" x14ac:dyDescent="0.35">
      <c r="A144" s="142">
        <v>30</v>
      </c>
      <c r="B144" s="143" t="s">
        <v>532</v>
      </c>
      <c r="C144" s="142">
        <v>11</v>
      </c>
      <c r="D144" s="143" t="s">
        <v>202</v>
      </c>
      <c r="E144" s="142">
        <v>451370</v>
      </c>
      <c r="F144" s="143" t="s">
        <v>536</v>
      </c>
      <c r="G144" s="144">
        <v>10.628939992255416</v>
      </c>
      <c r="H144" s="145">
        <v>19.098800082408243</v>
      </c>
      <c r="I144" s="146">
        <v>13.378568333588433</v>
      </c>
      <c r="J144" s="147">
        <v>0.69804566809285551</v>
      </c>
      <c r="K144" s="148">
        <v>50</v>
      </c>
      <c r="M144" s="149">
        <f t="shared" si="16"/>
        <v>0.70049261083743841</v>
      </c>
      <c r="N144" s="138">
        <f t="shared" si="17"/>
        <v>13.378568333588433</v>
      </c>
      <c r="O144" s="149"/>
      <c r="V144" s="158">
        <f t="shared" si="18"/>
        <v>533.28078743748563</v>
      </c>
      <c r="W144" s="158">
        <f t="shared" si="19"/>
        <v>121.44013169279684</v>
      </c>
      <c r="X144" s="158">
        <f t="shared" si="20"/>
        <v>43.755943685705091</v>
      </c>
      <c r="Y144" s="158">
        <f t="shared" si="21"/>
        <v>0</v>
      </c>
      <c r="Z144" s="158">
        <f t="shared" si="22"/>
        <v>-54.328974593754374</v>
      </c>
      <c r="AA144" s="158">
        <f t="shared" si="23"/>
        <v>-94.901058094540701</v>
      </c>
    </row>
    <row r="145" spans="1:27" ht="19.5" thickBot="1" x14ac:dyDescent="0.35">
      <c r="A145" s="142">
        <v>30</v>
      </c>
      <c r="B145" s="143" t="s">
        <v>532</v>
      </c>
      <c r="C145" s="142">
        <v>11</v>
      </c>
      <c r="D145" s="143" t="s">
        <v>202</v>
      </c>
      <c r="E145" s="142">
        <v>551314</v>
      </c>
      <c r="F145" s="143" t="s">
        <v>208</v>
      </c>
      <c r="G145" s="144">
        <v>2.3655582742539263</v>
      </c>
      <c r="H145" s="145">
        <v>11.836529374373972</v>
      </c>
      <c r="I145" s="146">
        <v>7.6937440933430814</v>
      </c>
      <c r="J145" s="147">
        <v>0.82635217015430629</v>
      </c>
      <c r="K145" s="148">
        <v>156</v>
      </c>
      <c r="M145" s="149">
        <f t="shared" si="16"/>
        <v>0.64999999999999991</v>
      </c>
      <c r="N145" s="138">
        <f t="shared" si="17"/>
        <v>7.6937440933430814</v>
      </c>
      <c r="O145" s="149"/>
      <c r="V145" s="158">
        <f t="shared" si="18"/>
        <v>151.41579148546376</v>
      </c>
      <c r="W145" s="158">
        <f t="shared" si="19"/>
        <v>52.637135089180859</v>
      </c>
      <c r="X145" s="158">
        <f t="shared" si="20"/>
        <v>34.00483250433409</v>
      </c>
      <c r="Y145" s="158">
        <f t="shared" si="21"/>
        <v>23.510110173412031</v>
      </c>
      <c r="Z145" s="158">
        <f t="shared" si="22"/>
        <v>10.479480392447153</v>
      </c>
      <c r="AA145" s="158">
        <f t="shared" si="23"/>
        <v>0.74839668445615248</v>
      </c>
    </row>
    <row r="146" spans="1:27" ht="19.5" thickBot="1" x14ac:dyDescent="0.35">
      <c r="A146" s="142">
        <v>30</v>
      </c>
      <c r="B146" s="143" t="s">
        <v>532</v>
      </c>
      <c r="C146" s="142">
        <v>11</v>
      </c>
      <c r="D146" s="143" t="s">
        <v>202</v>
      </c>
      <c r="E146" s="142">
        <v>451361</v>
      </c>
      <c r="F146" s="143" t="s">
        <v>209</v>
      </c>
      <c r="G146" s="144">
        <v>1.8899021605893966</v>
      </c>
      <c r="H146" s="145">
        <v>22.223372656974803</v>
      </c>
      <c r="I146" s="146">
        <v>15.741555632023818</v>
      </c>
      <c r="J146" s="147">
        <v>0.64471303688651294</v>
      </c>
      <c r="K146" s="148">
        <v>32</v>
      </c>
      <c r="M146" s="149">
        <f t="shared" si="16"/>
        <v>0.70833333333333326</v>
      </c>
      <c r="N146" s="138">
        <f t="shared" si="17"/>
        <v>15.741555632023818</v>
      </c>
      <c r="O146" s="149"/>
      <c r="V146" s="158">
        <f t="shared" si="18"/>
        <v>86.607160230875266</v>
      </c>
      <c r="W146" s="158">
        <f t="shared" si="19"/>
        <v>14.189504508412162</v>
      </c>
      <c r="X146" s="158">
        <f t="shared" si="20"/>
        <v>0.52959331774963336</v>
      </c>
      <c r="Y146" s="158">
        <f t="shared" si="21"/>
        <v>-7.1644087712700584</v>
      </c>
      <c r="Z146" s="158">
        <f t="shared" si="22"/>
        <v>-16.717562213032199</v>
      </c>
      <c r="AA146" s="158">
        <f t="shared" si="23"/>
        <v>-23.851717459532193</v>
      </c>
    </row>
    <row r="147" spans="1:27" ht="19.5" thickBot="1" x14ac:dyDescent="0.35">
      <c r="A147" s="142">
        <v>30</v>
      </c>
      <c r="B147" s="143" t="s">
        <v>532</v>
      </c>
      <c r="C147" s="142">
        <v>11</v>
      </c>
      <c r="D147" s="143" t="s">
        <v>202</v>
      </c>
      <c r="E147" s="142">
        <v>451350</v>
      </c>
      <c r="F147" s="143" t="s">
        <v>210</v>
      </c>
      <c r="G147" s="144">
        <v>8.0221390946569269</v>
      </c>
      <c r="H147" s="145">
        <v>15.083258788244018</v>
      </c>
      <c r="I147" s="146">
        <v>10.514651890813081</v>
      </c>
      <c r="J147" s="147">
        <v>0.76268427175756959</v>
      </c>
      <c r="K147" s="148">
        <v>92</v>
      </c>
      <c r="M147" s="149">
        <f t="shared" si="16"/>
        <v>0.69710743801652886</v>
      </c>
      <c r="N147" s="138">
        <f t="shared" si="17"/>
        <v>10.514651890813081</v>
      </c>
      <c r="O147" s="149"/>
      <c r="V147" s="158">
        <f t="shared" si="18"/>
        <v>441.89691152512478</v>
      </c>
      <c r="W147" s="158">
        <f t="shared" si="19"/>
        <v>129.55282266030537</v>
      </c>
      <c r="X147" s="158">
        <f t="shared" si="20"/>
        <v>70.636354400502384</v>
      </c>
      <c r="Y147" s="158">
        <f t="shared" si="21"/>
        <v>37.451407328631959</v>
      </c>
      <c r="Z147" s="158">
        <f t="shared" si="22"/>
        <v>-3.752232554279173</v>
      </c>
      <c r="AA147" s="158">
        <f t="shared" si="23"/>
        <v>-34.522508090787824</v>
      </c>
    </row>
    <row r="148" spans="1:27" ht="19.5" thickBot="1" x14ac:dyDescent="0.35">
      <c r="A148" s="142">
        <v>30</v>
      </c>
      <c r="B148" s="143" t="s">
        <v>532</v>
      </c>
      <c r="C148" s="142">
        <v>11</v>
      </c>
      <c r="D148" s="143" t="s">
        <v>202</v>
      </c>
      <c r="E148" s="142">
        <v>551310</v>
      </c>
      <c r="F148" s="143" t="s">
        <v>211</v>
      </c>
      <c r="G148" s="144">
        <v>3.6958525562848132</v>
      </c>
      <c r="H148" s="145">
        <v>30.5748127878757</v>
      </c>
      <c r="I148" s="146">
        <v>20.908572196310573</v>
      </c>
      <c r="J148" s="147">
        <v>0.52809345579835665</v>
      </c>
      <c r="K148" s="148">
        <v>9</v>
      </c>
      <c r="M148" s="149">
        <f t="shared" si="16"/>
        <v>0.68384955752212384</v>
      </c>
      <c r="N148" s="138">
        <f t="shared" si="17"/>
        <v>20.908572196310573</v>
      </c>
      <c r="O148" s="149"/>
      <c r="V148" s="158">
        <f t="shared" si="18"/>
        <v>143.69794487344817</v>
      </c>
      <c r="W148" s="158">
        <f t="shared" si="19"/>
        <v>-2.9908318089909938</v>
      </c>
      <c r="X148" s="158">
        <f t="shared" si="20"/>
        <v>-30.660267420498997</v>
      </c>
      <c r="Y148" s="158">
        <f t="shared" si="21"/>
        <v>-46.24519271214087</v>
      </c>
      <c r="Z148" s="158">
        <f t="shared" si="22"/>
        <v>-65.596004028131063</v>
      </c>
      <c r="AA148" s="158">
        <f t="shared" si="23"/>
        <v>-80.04690685467861</v>
      </c>
    </row>
    <row r="149" spans="1:27" ht="19.5" thickBot="1" x14ac:dyDescent="0.35">
      <c r="A149" s="142">
        <v>30</v>
      </c>
      <c r="B149" s="143" t="s">
        <v>532</v>
      </c>
      <c r="C149" s="142">
        <v>11</v>
      </c>
      <c r="D149" s="143" t="s">
        <v>202</v>
      </c>
      <c r="E149" s="142">
        <v>551309</v>
      </c>
      <c r="F149" s="143" t="s">
        <v>212</v>
      </c>
      <c r="G149" s="144">
        <v>2.8061909416748136</v>
      </c>
      <c r="H149" s="145">
        <v>19.243166670537139</v>
      </c>
      <c r="I149" s="146">
        <v>12.837686653816673</v>
      </c>
      <c r="J149" s="147">
        <v>0.71025336940916584</v>
      </c>
      <c r="K149" s="148">
        <v>58</v>
      </c>
      <c r="M149" s="149">
        <f t="shared" si="16"/>
        <v>0.66712962962962952</v>
      </c>
      <c r="N149" s="138">
        <f t="shared" si="17"/>
        <v>12.837686653816673</v>
      </c>
      <c r="O149" s="149"/>
      <c r="V149" s="158">
        <f t="shared" si="18"/>
        <v>150.42014258318792</v>
      </c>
      <c r="W149" s="158">
        <f t="shared" si="19"/>
        <v>36.25071890198199</v>
      </c>
      <c r="X149" s="158">
        <f t="shared" si="20"/>
        <v>14.715305022371362</v>
      </c>
      <c r="Y149" s="158">
        <f t="shared" si="21"/>
        <v>2.5853931170223308</v>
      </c>
      <c r="Z149" s="158">
        <f t="shared" si="22"/>
        <v>-12.475547642563685</v>
      </c>
      <c r="AA149" s="158">
        <f t="shared" si="23"/>
        <v>-23.722837889940568</v>
      </c>
    </row>
    <row r="150" spans="1:27" ht="19.5" thickBot="1" x14ac:dyDescent="0.35">
      <c r="A150" s="142">
        <v>30</v>
      </c>
      <c r="B150" s="143" t="s">
        <v>532</v>
      </c>
      <c r="C150" s="142">
        <v>11</v>
      </c>
      <c r="D150" s="143" t="s">
        <v>202</v>
      </c>
      <c r="E150" s="142">
        <v>551305</v>
      </c>
      <c r="F150" s="143" t="s">
        <v>213</v>
      </c>
      <c r="G150" s="144">
        <v>3.7250110427726142</v>
      </c>
      <c r="H150" s="145">
        <v>9.6644008800586931</v>
      </c>
      <c r="I150" s="146">
        <v>6.3758200250387205</v>
      </c>
      <c r="J150" s="147">
        <v>0.85609772077126456</v>
      </c>
      <c r="K150" s="148">
        <v>189</v>
      </c>
      <c r="M150" s="149">
        <f t="shared" si="16"/>
        <v>0.6597222222222221</v>
      </c>
      <c r="N150" s="138">
        <f t="shared" si="17"/>
        <v>6.3758200250387205</v>
      </c>
      <c r="O150" s="149"/>
      <c r="V150" s="158">
        <f t="shared" si="18"/>
        <v>243.37473786936181</v>
      </c>
      <c r="W150" s="158">
        <f t="shared" si="19"/>
        <v>90.121636735153061</v>
      </c>
      <c r="X150" s="158">
        <f t="shared" si="20"/>
        <v>61.213993560264178</v>
      </c>
      <c r="Y150" s="158">
        <f t="shared" si="21"/>
        <v>44.931642681711836</v>
      </c>
      <c r="Z150" s="158">
        <f t="shared" si="22"/>
        <v>24.714882335700583</v>
      </c>
      <c r="AA150" s="158">
        <f t="shared" si="23"/>
        <v>9.6173014406610449</v>
      </c>
    </row>
    <row r="151" spans="1:27" ht="19.5" thickBot="1" x14ac:dyDescent="0.35">
      <c r="A151" s="142">
        <v>30</v>
      </c>
      <c r="B151" s="143" t="s">
        <v>532</v>
      </c>
      <c r="C151" s="142">
        <v>11</v>
      </c>
      <c r="D151" s="143" t="s">
        <v>202</v>
      </c>
      <c r="E151" s="142">
        <v>451301</v>
      </c>
      <c r="F151" s="143" t="s">
        <v>214</v>
      </c>
      <c r="G151" s="144">
        <v>7.9314378250547959</v>
      </c>
      <c r="H151" s="145">
        <v>8.1952353953617401</v>
      </c>
      <c r="I151" s="146">
        <v>5.4277674426203522</v>
      </c>
      <c r="J151" s="147">
        <v>0.87749527071823996</v>
      </c>
      <c r="K151" s="148">
        <v>208</v>
      </c>
      <c r="M151" s="149">
        <f t="shared" si="16"/>
        <v>0.66230769230769226</v>
      </c>
      <c r="N151" s="138">
        <f t="shared" si="17"/>
        <v>5.4277674426203522</v>
      </c>
      <c r="O151" s="149"/>
      <c r="V151" s="158">
        <f t="shared" si="18"/>
        <v>529.08154621580923</v>
      </c>
      <c r="W151" s="158">
        <f t="shared" si="19"/>
        <v>204.04294151823723</v>
      </c>
      <c r="X151" s="158">
        <f t="shared" si="20"/>
        <v>142.73194726675581</v>
      </c>
      <c r="Y151" s="158">
        <f t="shared" si="21"/>
        <v>108.19827341877136</v>
      </c>
      <c r="Z151" s="158">
        <f t="shared" si="22"/>
        <v>65.320005209255257</v>
      </c>
      <c r="AA151" s="158">
        <f t="shared" si="23"/>
        <v>33.299141734950155</v>
      </c>
    </row>
    <row r="152" spans="1:27" ht="19.5" thickBot="1" x14ac:dyDescent="0.35">
      <c r="A152" s="142">
        <v>30</v>
      </c>
      <c r="B152" s="143" t="s">
        <v>532</v>
      </c>
      <c r="C152" s="142">
        <v>11</v>
      </c>
      <c r="D152" s="143" t="s">
        <v>202</v>
      </c>
      <c r="E152" s="142">
        <v>551341</v>
      </c>
      <c r="F152" s="143" t="s">
        <v>215</v>
      </c>
      <c r="G152" s="144">
        <v>4.0442520442520431</v>
      </c>
      <c r="H152" s="145">
        <v>5.1925547098001914</v>
      </c>
      <c r="I152" s="146">
        <v>3.1711673406279739</v>
      </c>
      <c r="J152" s="147">
        <v>0.92842674254605839</v>
      </c>
      <c r="K152" s="148">
        <v>253</v>
      </c>
      <c r="M152" s="149">
        <f t="shared" si="16"/>
        <v>0.61071428571428565</v>
      </c>
      <c r="N152" s="138">
        <f t="shared" si="17"/>
        <v>3.1711673406279739</v>
      </c>
      <c r="O152" s="149"/>
      <c r="V152" s="158">
        <f t="shared" si="18"/>
        <v>309.55190475509693</v>
      </c>
      <c r="W152" s="158">
        <f t="shared" si="19"/>
        <v>129.81264254540255</v>
      </c>
      <c r="X152" s="158">
        <f t="shared" si="20"/>
        <v>95.908999369363542</v>
      </c>
      <c r="Y152" s="158">
        <f t="shared" si="21"/>
        <v>76.812630602329804</v>
      </c>
      <c r="Z152" s="158">
        <f t="shared" si="22"/>
        <v>53.101883074421195</v>
      </c>
      <c r="AA152" s="158">
        <f t="shared" si="23"/>
        <v>35.395043662087417</v>
      </c>
    </row>
    <row r="153" spans="1:27" ht="19.5" thickBot="1" x14ac:dyDescent="0.35">
      <c r="A153" s="142">
        <v>30</v>
      </c>
      <c r="B153" s="143" t="s">
        <v>532</v>
      </c>
      <c r="C153" s="142">
        <v>11</v>
      </c>
      <c r="D153" s="143" t="s">
        <v>202</v>
      </c>
      <c r="E153" s="142">
        <v>551306</v>
      </c>
      <c r="F153" s="143" t="s">
        <v>217</v>
      </c>
      <c r="G153" s="144">
        <v>4.911395056556346</v>
      </c>
      <c r="H153" s="145">
        <v>12.623704525099162</v>
      </c>
      <c r="I153" s="146">
        <v>8.2104981447519965</v>
      </c>
      <c r="J153" s="147">
        <v>0.81468902949061206</v>
      </c>
      <c r="K153" s="148">
        <v>142</v>
      </c>
      <c r="M153" s="149">
        <f t="shared" si="16"/>
        <v>0.65040322580645171</v>
      </c>
      <c r="N153" s="138">
        <f t="shared" si="17"/>
        <v>8.2104981447519965</v>
      </c>
      <c r="O153" s="149"/>
      <c r="V153" s="158">
        <f t="shared" si="18"/>
        <v>309.74175517934594</v>
      </c>
      <c r="W153" s="158">
        <f t="shared" si="19"/>
        <v>104.78369491167697</v>
      </c>
      <c r="X153" s="158">
        <f t="shared" si="20"/>
        <v>66.12311037416373</v>
      </c>
      <c r="Y153" s="158">
        <f t="shared" si="21"/>
        <v>44.347374496929056</v>
      </c>
      <c r="Z153" s="158">
        <f t="shared" si="22"/>
        <v>17.309827101486022</v>
      </c>
      <c r="AA153" s="158">
        <f t="shared" si="23"/>
        <v>-2.881417787396706</v>
      </c>
    </row>
    <row r="154" spans="1:27" ht="19.5" thickBot="1" x14ac:dyDescent="0.35">
      <c r="A154" s="142">
        <v>30</v>
      </c>
      <c r="B154" s="143" t="s">
        <v>532</v>
      </c>
      <c r="C154" s="142">
        <v>11</v>
      </c>
      <c r="D154" s="143" t="s">
        <v>202</v>
      </c>
      <c r="E154" s="142">
        <v>551349</v>
      </c>
      <c r="F154" s="143" t="s">
        <v>218</v>
      </c>
      <c r="G154" s="144">
        <v>2.8078154285050836</v>
      </c>
      <c r="H154" s="145">
        <v>25.642711151542361</v>
      </c>
      <c r="I154" s="146">
        <v>17.130755644294272</v>
      </c>
      <c r="J154" s="147">
        <v>0.61335878797653187</v>
      </c>
      <c r="K154" s="148">
        <v>21</v>
      </c>
      <c r="M154" s="149">
        <f t="shared" si="16"/>
        <v>0.66805555555555551</v>
      </c>
      <c r="N154" s="138">
        <f t="shared" si="17"/>
        <v>17.130755644294272</v>
      </c>
      <c r="O154" s="149"/>
      <c r="V154" s="158">
        <f t="shared" si="18"/>
        <v>129.79449493189955</v>
      </c>
      <c r="W154" s="158">
        <f t="shared" si="19"/>
        <v>15.717309850315695</v>
      </c>
      <c r="X154" s="158">
        <f t="shared" si="20"/>
        <v>-5.8007053567389271</v>
      </c>
      <c r="Y154" s="158">
        <f t="shared" si="21"/>
        <v>-17.920817387028478</v>
      </c>
      <c r="Z154" s="158">
        <f t="shared" si="22"/>
        <v>-32.969590264533082</v>
      </c>
      <c r="AA154" s="158">
        <f t="shared" si="23"/>
        <v>-44.20779371556371</v>
      </c>
    </row>
    <row r="155" spans="1:27" ht="19.5" thickBot="1" x14ac:dyDescent="0.35">
      <c r="A155" s="142">
        <v>30</v>
      </c>
      <c r="B155" s="143" t="s">
        <v>532</v>
      </c>
      <c r="C155" s="142">
        <v>11</v>
      </c>
      <c r="D155" s="143" t="s">
        <v>202</v>
      </c>
      <c r="E155" s="142">
        <v>451308</v>
      </c>
      <c r="F155" s="143" t="s">
        <v>219</v>
      </c>
      <c r="G155" s="144">
        <v>8.1451756454500952</v>
      </c>
      <c r="H155" s="145">
        <v>10.190081050782975</v>
      </c>
      <c r="I155" s="146">
        <v>7.3233534298699325</v>
      </c>
      <c r="J155" s="147">
        <v>0.83471188866416279</v>
      </c>
      <c r="K155" s="148">
        <v>166</v>
      </c>
      <c r="M155" s="149">
        <f t="shared" si="16"/>
        <v>0.71867469879518064</v>
      </c>
      <c r="N155" s="138">
        <f t="shared" si="17"/>
        <v>7.3233534298699325</v>
      </c>
      <c r="O155" s="149"/>
      <c r="V155" s="158">
        <f t="shared" si="18"/>
        <v>476.31077059657116</v>
      </c>
      <c r="W155" s="158">
        <f t="shared" si="19"/>
        <v>168.69335552834534</v>
      </c>
      <c r="X155" s="158">
        <f t="shared" si="20"/>
        <v>110.66846465591522</v>
      </c>
      <c r="Y155" s="158">
        <f t="shared" si="21"/>
        <v>77.985702275088641</v>
      </c>
      <c r="Z155" s="158">
        <f t="shared" si="22"/>
        <v>37.405593209317857</v>
      </c>
      <c r="AA155" s="158">
        <f t="shared" si="23"/>
        <v>7.1009613660225845</v>
      </c>
    </row>
    <row r="156" spans="1:27" ht="19.5" thickBot="1" x14ac:dyDescent="0.35">
      <c r="A156" s="142">
        <v>30</v>
      </c>
      <c r="B156" s="143" t="s">
        <v>532</v>
      </c>
      <c r="C156" s="142">
        <v>11</v>
      </c>
      <c r="D156" s="143" t="s">
        <v>202</v>
      </c>
      <c r="E156" s="142">
        <v>551307</v>
      </c>
      <c r="F156" s="143" t="s">
        <v>216</v>
      </c>
      <c r="G156" s="144">
        <v>2.8994516251467903</v>
      </c>
      <c r="H156" s="145">
        <v>10.001891305405662</v>
      </c>
      <c r="I156" s="146">
        <v>6.6219418297858175</v>
      </c>
      <c r="J156" s="147">
        <v>0.85054275081729669</v>
      </c>
      <c r="K156" s="148">
        <v>182</v>
      </c>
      <c r="M156" s="149">
        <f t="shared" si="16"/>
        <v>0.66206896551724137</v>
      </c>
      <c r="N156" s="138">
        <f t="shared" si="17"/>
        <v>6.6219418297858175</v>
      </c>
      <c r="O156" s="149"/>
      <c r="V156" s="158">
        <f t="shared" si="18"/>
        <v>187.54024910881711</v>
      </c>
      <c r="W156" s="158">
        <f t="shared" si="19"/>
        <v>68.674849005035995</v>
      </c>
      <c r="X156" s="158">
        <f t="shared" si="20"/>
        <v>46.253648085705933</v>
      </c>
      <c r="Y156" s="158">
        <f t="shared" si="21"/>
        <v>33.624812926837755</v>
      </c>
      <c r="Z156" s="158">
        <f t="shared" si="22"/>
        <v>17.944390869822193</v>
      </c>
      <c r="AA156" s="158">
        <f t="shared" si="23"/>
        <v>6.2344810513154618</v>
      </c>
    </row>
    <row r="157" spans="1:27" ht="19.5" thickBot="1" x14ac:dyDescent="0.35">
      <c r="A157" s="142">
        <v>30</v>
      </c>
      <c r="B157" s="143" t="s">
        <v>532</v>
      </c>
      <c r="C157" s="142">
        <v>11</v>
      </c>
      <c r="D157" s="143" t="s">
        <v>202</v>
      </c>
      <c r="E157" s="142">
        <v>451336</v>
      </c>
      <c r="F157" s="143" t="s">
        <v>220</v>
      </c>
      <c r="G157" s="144">
        <v>4.9912352884692046</v>
      </c>
      <c r="H157" s="145">
        <v>10.818965021495034</v>
      </c>
      <c r="I157" s="146">
        <v>8.0541184048907475</v>
      </c>
      <c r="J157" s="147">
        <v>0.81821852074081303</v>
      </c>
      <c r="K157" s="148">
        <v>146</v>
      </c>
      <c r="M157" s="149">
        <f t="shared" si="16"/>
        <v>0.74444444444444446</v>
      </c>
      <c r="N157" s="138">
        <f t="shared" si="17"/>
        <v>8.0541184048907475</v>
      </c>
      <c r="O157" s="149"/>
      <c r="V157" s="158">
        <f t="shared" si="18"/>
        <v>276.20450651709734</v>
      </c>
      <c r="W157" s="158">
        <f t="shared" si="19"/>
        <v>94.226639668734265</v>
      </c>
      <c r="X157" s="158">
        <f t="shared" si="20"/>
        <v>59.900735646909062</v>
      </c>
      <c r="Y157" s="158">
        <f t="shared" si="21"/>
        <v>40.56652669305106</v>
      </c>
      <c r="Z157" s="158">
        <f t="shared" si="22"/>
        <v>16.560468119855344</v>
      </c>
      <c r="AA157" s="158">
        <f t="shared" si="23"/>
        <v>-1.3669052612802455</v>
      </c>
    </row>
    <row r="158" spans="1:27" ht="19.5" thickBot="1" x14ac:dyDescent="0.35">
      <c r="A158" s="142">
        <v>110</v>
      </c>
      <c r="B158" s="143" t="s">
        <v>221</v>
      </c>
      <c r="C158" s="142">
        <v>26</v>
      </c>
      <c r="D158" s="143" t="s">
        <v>222</v>
      </c>
      <c r="E158" s="142">
        <v>554116</v>
      </c>
      <c r="F158" s="143" t="s">
        <v>223</v>
      </c>
      <c r="G158" s="144">
        <v>2.502116364877657</v>
      </c>
      <c r="H158" s="145">
        <v>10.790865036894552</v>
      </c>
      <c r="I158" s="146">
        <v>6.8741806901698626</v>
      </c>
      <c r="J158" s="147">
        <v>0.84484971889720217</v>
      </c>
      <c r="K158" s="148">
        <v>177</v>
      </c>
      <c r="M158" s="149">
        <f t="shared" si="16"/>
        <v>0.63703703703703707</v>
      </c>
      <c r="N158" s="138">
        <f t="shared" si="17"/>
        <v>6.8741806901698626</v>
      </c>
      <c r="O158" s="149"/>
      <c r="V158" s="158">
        <f t="shared" si="18"/>
        <v>167.07366098157021</v>
      </c>
      <c r="W158" s="158">
        <f t="shared" si="19"/>
        <v>60.466680984515385</v>
      </c>
      <c r="X158" s="158">
        <f t="shared" si="20"/>
        <v>40.357746712388746</v>
      </c>
      <c r="Y158" s="158">
        <f t="shared" si="21"/>
        <v>29.031305409939993</v>
      </c>
      <c r="Z158" s="158">
        <f t="shared" si="22"/>
        <v>14.967983037591704</v>
      </c>
      <c r="AA158" s="158">
        <f t="shared" si="23"/>
        <v>4.4656996086130052</v>
      </c>
    </row>
    <row r="159" spans="1:27" ht="19.5" thickBot="1" x14ac:dyDescent="0.35">
      <c r="A159" s="142">
        <v>110</v>
      </c>
      <c r="B159" s="143" t="s">
        <v>221</v>
      </c>
      <c r="C159" s="142">
        <v>26</v>
      </c>
      <c r="D159" s="143" t="s">
        <v>222</v>
      </c>
      <c r="E159" s="142">
        <v>454161</v>
      </c>
      <c r="F159" s="143" t="s">
        <v>224</v>
      </c>
      <c r="G159" s="144">
        <v>1.3746450681934557</v>
      </c>
      <c r="H159" s="145">
        <v>16.004131181958243</v>
      </c>
      <c r="I159" s="146">
        <v>10.402685268272858</v>
      </c>
      <c r="J159" s="147">
        <v>0.76521135880171542</v>
      </c>
      <c r="K159" s="148">
        <v>95</v>
      </c>
      <c r="M159" s="149">
        <f t="shared" si="16"/>
        <v>0.65</v>
      </c>
      <c r="N159" s="138">
        <f t="shared" si="17"/>
        <v>10.402685268272858</v>
      </c>
      <c r="O159" s="149"/>
      <c r="V159" s="158">
        <f t="shared" si="18"/>
        <v>81.478745617369611</v>
      </c>
      <c r="W159" s="158">
        <f t="shared" si="19"/>
        <v>24.077668528811461</v>
      </c>
      <c r="X159" s="158">
        <f t="shared" si="20"/>
        <v>13.250286622345506</v>
      </c>
      <c r="Y159" s="158">
        <f t="shared" si="21"/>
        <v>7.1517184952036326</v>
      </c>
      <c r="Z159" s="158">
        <f t="shared" si="22"/>
        <v>-0.42048598557905359</v>
      </c>
      <c r="AA159" s="158">
        <f t="shared" si="23"/>
        <v>-6.0752975253989376</v>
      </c>
    </row>
    <row r="160" spans="1:27" ht="19.5" thickBot="1" x14ac:dyDescent="0.35">
      <c r="A160" s="142">
        <v>110</v>
      </c>
      <c r="B160" s="143" t="s">
        <v>221</v>
      </c>
      <c r="C160" s="142">
        <v>26</v>
      </c>
      <c r="D160" s="143" t="s">
        <v>222</v>
      </c>
      <c r="E160" s="142">
        <v>554166</v>
      </c>
      <c r="F160" s="143" t="s">
        <v>225</v>
      </c>
      <c r="G160" s="144">
        <v>2.7294855338704069</v>
      </c>
      <c r="H160" s="145">
        <v>9.8919740240257052</v>
      </c>
      <c r="I160" s="146">
        <v>6.6862417014247821</v>
      </c>
      <c r="J160" s="147">
        <v>0.84909150249996257</v>
      </c>
      <c r="K160" s="148">
        <v>180</v>
      </c>
      <c r="M160" s="149">
        <f t="shared" si="16"/>
        <v>0.67592592592592593</v>
      </c>
      <c r="N160" s="138">
        <f t="shared" si="17"/>
        <v>6.6862417014247821</v>
      </c>
      <c r="O160" s="149"/>
      <c r="V160" s="158">
        <f t="shared" si="18"/>
        <v>172.63223430757583</v>
      </c>
      <c r="W160" s="158">
        <f t="shared" si="19"/>
        <v>63.028711722246896</v>
      </c>
      <c r="X160" s="158">
        <f t="shared" si="20"/>
        <v>42.354549188772864</v>
      </c>
      <c r="Y160" s="158">
        <f t="shared" si="21"/>
        <v>30.709740704950889</v>
      </c>
      <c r="Z160" s="158">
        <f t="shared" si="22"/>
        <v>16.251122035657186</v>
      </c>
      <c r="AA160" s="158">
        <f t="shared" si="23"/>
        <v>5.4536371145254465</v>
      </c>
    </row>
    <row r="161" spans="1:27" ht="19.5" thickBot="1" x14ac:dyDescent="0.35">
      <c r="A161" s="142">
        <v>110</v>
      </c>
      <c r="B161" s="143" t="s">
        <v>221</v>
      </c>
      <c r="C161" s="142">
        <v>26</v>
      </c>
      <c r="D161" s="143" t="s">
        <v>222</v>
      </c>
      <c r="E161" s="142">
        <v>454171</v>
      </c>
      <c r="F161" s="143" t="s">
        <v>226</v>
      </c>
      <c r="G161" s="144">
        <v>1.1783439328771577</v>
      </c>
      <c r="H161" s="145">
        <v>5.9405406220475276</v>
      </c>
      <c r="I161" s="146">
        <v>3.8613514043308927</v>
      </c>
      <c r="J161" s="147">
        <v>0.9128492859264925</v>
      </c>
      <c r="K161" s="148">
        <v>239</v>
      </c>
      <c r="M161" s="149">
        <f t="shared" si="16"/>
        <v>0.64999999999999991</v>
      </c>
      <c r="N161" s="138">
        <f t="shared" si="17"/>
        <v>3.8613514043308927</v>
      </c>
      <c r="O161" s="149"/>
      <c r="V161" s="158">
        <f t="shared" si="18"/>
        <v>83.318894345800445</v>
      </c>
      <c r="W161" s="158">
        <f t="shared" si="19"/>
        <v>34.114767045648719</v>
      </c>
      <c r="X161" s="158">
        <f t="shared" si="20"/>
        <v>24.83354960732116</v>
      </c>
      <c r="Y161" s="158">
        <f t="shared" si="21"/>
        <v>19.60586508123496</v>
      </c>
      <c r="Z161" s="158">
        <f t="shared" si="22"/>
        <v>13.114981423418053</v>
      </c>
      <c r="AA161" s="158">
        <f t="shared" si="23"/>
        <v>8.2676844565963901</v>
      </c>
    </row>
    <row r="162" spans="1:27" ht="19.5" thickBot="1" x14ac:dyDescent="0.35">
      <c r="A162" s="142">
        <v>110</v>
      </c>
      <c r="B162" s="143" t="s">
        <v>221</v>
      </c>
      <c r="C162" s="142">
        <v>26</v>
      </c>
      <c r="D162" s="143" t="s">
        <v>222</v>
      </c>
      <c r="E162" s="142">
        <v>554266</v>
      </c>
      <c r="F162" s="143" t="s">
        <v>227</v>
      </c>
      <c r="G162" s="144">
        <v>3.1786816063864465</v>
      </c>
      <c r="H162" s="145">
        <v>27.684433641669191</v>
      </c>
      <c r="I162" s="146">
        <v>18.395991559052341</v>
      </c>
      <c r="J162" s="147">
        <v>0.58480240916083059</v>
      </c>
      <c r="K162" s="148">
        <v>16</v>
      </c>
      <c r="M162" s="149">
        <f t="shared" si="16"/>
        <v>0.66448863636363642</v>
      </c>
      <c r="N162" s="138">
        <f t="shared" si="17"/>
        <v>18.395991559052341</v>
      </c>
      <c r="O162" s="149"/>
      <c r="V162" s="158">
        <f t="shared" si="18"/>
        <v>140.84918170620097</v>
      </c>
      <c r="W162" s="158">
        <f t="shared" si="19"/>
        <v>11.011040153389947</v>
      </c>
      <c r="X162" s="158">
        <f t="shared" si="20"/>
        <v>-13.479913952735936</v>
      </c>
      <c r="Y162" s="158">
        <f t="shared" si="21"/>
        <v>-27.274546247521641</v>
      </c>
      <c r="Z162" s="158">
        <f t="shared" si="22"/>
        <v>-44.402464522049407</v>
      </c>
      <c r="AA162" s="158">
        <f t="shared" si="23"/>
        <v>-57.193343341777251</v>
      </c>
    </row>
    <row r="163" spans="1:27" ht="19.5" thickBot="1" x14ac:dyDescent="0.35">
      <c r="A163" s="142">
        <v>110</v>
      </c>
      <c r="B163" s="143" t="s">
        <v>221</v>
      </c>
      <c r="C163" s="142">
        <v>26</v>
      </c>
      <c r="D163" s="143" t="s">
        <v>222</v>
      </c>
      <c r="E163" s="142">
        <v>554296</v>
      </c>
      <c r="F163" s="143" t="s">
        <v>228</v>
      </c>
      <c r="G163" s="144">
        <v>3.7074923414334346</v>
      </c>
      <c r="H163" s="145">
        <v>5.9339299920156003</v>
      </c>
      <c r="I163" s="146">
        <v>4.2076958125201527</v>
      </c>
      <c r="J163" s="147">
        <v>0.90503229147858855</v>
      </c>
      <c r="K163" s="148">
        <v>233</v>
      </c>
      <c r="M163" s="149">
        <f t="shared" si="16"/>
        <v>0.70909090909090899</v>
      </c>
      <c r="N163" s="138">
        <f t="shared" si="17"/>
        <v>4.2076958125201527</v>
      </c>
      <c r="O163" s="149"/>
      <c r="V163" s="158">
        <f t="shared" si="18"/>
        <v>238.24737523137651</v>
      </c>
      <c r="W163" s="158">
        <f t="shared" si="19"/>
        <v>96.334707201674718</v>
      </c>
      <c r="X163" s="158">
        <f t="shared" si="20"/>
        <v>69.566173716623027</v>
      </c>
      <c r="Y163" s="158">
        <f t="shared" si="21"/>
        <v>54.488685314299659</v>
      </c>
      <c r="Z163" s="158">
        <f t="shared" si="22"/>
        <v>35.767926136271385</v>
      </c>
      <c r="AA163" s="158">
        <f t="shared" si="23"/>
        <v>21.787537029932693</v>
      </c>
    </row>
    <row r="164" spans="1:27" ht="19.5" thickBot="1" x14ac:dyDescent="0.35">
      <c r="A164" s="142">
        <v>110</v>
      </c>
      <c r="B164" s="143" t="s">
        <v>221</v>
      </c>
      <c r="C164" s="142">
        <v>26</v>
      </c>
      <c r="D164" s="143" t="s">
        <v>222</v>
      </c>
      <c r="E164" s="142">
        <v>554356</v>
      </c>
      <c r="F164" s="143" t="s">
        <v>229</v>
      </c>
      <c r="G164" s="144">
        <v>3.5906872100420477</v>
      </c>
      <c r="H164" s="145">
        <v>19.773373687753931</v>
      </c>
      <c r="I164" s="146">
        <v>13.110303751422766</v>
      </c>
      <c r="J164" s="147">
        <v>0.70410040060700763</v>
      </c>
      <c r="K164" s="148">
        <v>55</v>
      </c>
      <c r="M164" s="149">
        <f t="shared" si="16"/>
        <v>0.66302816901408457</v>
      </c>
      <c r="N164" s="138">
        <f t="shared" si="17"/>
        <v>13.110303751422766</v>
      </c>
      <c r="O164" s="149"/>
      <c r="V164" s="158">
        <f t="shared" si="18"/>
        <v>191.98437787700934</v>
      </c>
      <c r="W164" s="158">
        <f t="shared" si="19"/>
        <v>44.994166368887399</v>
      </c>
      <c r="X164" s="158">
        <f t="shared" si="20"/>
        <v>17.267872068603566</v>
      </c>
      <c r="Y164" s="158">
        <f t="shared" si="21"/>
        <v>1.6509208827875481</v>
      </c>
      <c r="Z164" s="158">
        <f t="shared" si="22"/>
        <v>-17.739654950759999</v>
      </c>
      <c r="AA164" s="158">
        <f t="shared" si="23"/>
        <v>-32.220253337342854</v>
      </c>
    </row>
    <row r="165" spans="1:27" ht="19.5" thickBot="1" x14ac:dyDescent="0.35">
      <c r="A165" s="142">
        <v>110</v>
      </c>
      <c r="B165" s="143" t="s">
        <v>221</v>
      </c>
      <c r="C165" s="142">
        <v>26</v>
      </c>
      <c r="D165" s="143" t="s">
        <v>222</v>
      </c>
      <c r="E165" s="142">
        <v>454426</v>
      </c>
      <c r="F165" s="143" t="s">
        <v>230</v>
      </c>
      <c r="G165" s="144">
        <v>8.270629616811938</v>
      </c>
      <c r="H165" s="145">
        <v>15.718271283209853</v>
      </c>
      <c r="I165" s="146">
        <v>10.85165267436988</v>
      </c>
      <c r="J165" s="147">
        <v>0.75507816294878172</v>
      </c>
      <c r="K165" s="148">
        <v>84</v>
      </c>
      <c r="M165" s="149">
        <f t="shared" si="16"/>
        <v>0.69038461538461549</v>
      </c>
      <c r="N165" s="138">
        <f t="shared" si="17"/>
        <v>10.85165267436988</v>
      </c>
      <c r="O165" s="149"/>
      <c r="V165" s="158">
        <f t="shared" si="18"/>
        <v>455.43361527627377</v>
      </c>
      <c r="W165" s="158">
        <f t="shared" si="19"/>
        <v>130.27872705558693</v>
      </c>
      <c r="X165" s="158">
        <f t="shared" si="20"/>
        <v>68.945798614399436</v>
      </c>
      <c r="Y165" s="158">
        <f t="shared" si="21"/>
        <v>34.399770242358152</v>
      </c>
      <c r="Z165" s="158">
        <f t="shared" si="22"/>
        <v>-8.493837794552018</v>
      </c>
      <c r="AA165" s="158">
        <f t="shared" si="23"/>
        <v>-40.526156827563561</v>
      </c>
    </row>
    <row r="166" spans="1:27" ht="19.5" thickBot="1" x14ac:dyDescent="0.35">
      <c r="A166" s="142">
        <v>110</v>
      </c>
      <c r="B166" s="143" t="s">
        <v>221</v>
      </c>
      <c r="C166" s="142">
        <v>26</v>
      </c>
      <c r="D166" s="143" t="s">
        <v>222</v>
      </c>
      <c r="E166" s="142">
        <v>554431</v>
      </c>
      <c r="F166" s="143" t="s">
        <v>231</v>
      </c>
      <c r="G166" s="144">
        <v>2.0619326909649489</v>
      </c>
      <c r="H166" s="145">
        <v>8.7296739020012879</v>
      </c>
      <c r="I166" s="146">
        <v>5.6742880363008368</v>
      </c>
      <c r="J166" s="147">
        <v>0.87193130009671549</v>
      </c>
      <c r="K166" s="148">
        <v>202</v>
      </c>
      <c r="M166" s="149">
        <f t="shared" si="16"/>
        <v>0.64999999999999991</v>
      </c>
      <c r="N166" s="138">
        <f t="shared" si="17"/>
        <v>5.6742880363008368</v>
      </c>
      <c r="O166" s="149"/>
      <c r="V166" s="158">
        <f t="shared" si="18"/>
        <v>139.26086877229071</v>
      </c>
      <c r="W166" s="158">
        <f t="shared" si="19"/>
        <v>53.160710932244797</v>
      </c>
      <c r="X166" s="158">
        <f t="shared" si="20"/>
        <v>36.919913051345787</v>
      </c>
      <c r="Y166" s="158">
        <f t="shared" si="21"/>
        <v>27.772215743591701</v>
      </c>
      <c r="Z166" s="158">
        <f t="shared" si="22"/>
        <v>16.414101330744728</v>
      </c>
      <c r="AA166" s="158">
        <f t="shared" si="23"/>
        <v>7.9320276340604643</v>
      </c>
    </row>
    <row r="167" spans="1:27" ht="19.5" thickBot="1" x14ac:dyDescent="0.35">
      <c r="A167" s="142">
        <v>110</v>
      </c>
      <c r="B167" s="143" t="s">
        <v>221</v>
      </c>
      <c r="C167" s="142">
        <v>26</v>
      </c>
      <c r="D167" s="143" t="s">
        <v>222</v>
      </c>
      <c r="E167" s="142">
        <v>554476</v>
      </c>
      <c r="F167" s="143" t="s">
        <v>232</v>
      </c>
      <c r="G167" s="144">
        <v>2.0199468106564877</v>
      </c>
      <c r="H167" s="145">
        <v>12.871626056108841</v>
      </c>
      <c r="I167" s="146">
        <v>9.3443054541943997</v>
      </c>
      <c r="J167" s="147">
        <v>0.78909899473520484</v>
      </c>
      <c r="K167" s="148">
        <v>112</v>
      </c>
      <c r="M167" s="149">
        <f t="shared" si="16"/>
        <v>0.72596153846153855</v>
      </c>
      <c r="N167" s="138">
        <f t="shared" si="17"/>
        <v>9.3443054541943997</v>
      </c>
      <c r="O167" s="149"/>
      <c r="V167" s="158">
        <f t="shared" si="18"/>
        <v>110.54612305683791</v>
      </c>
      <c r="W167" s="158">
        <f t="shared" si="19"/>
        <v>35.024877959683593</v>
      </c>
      <c r="X167" s="158">
        <f t="shared" si="20"/>
        <v>20.779546614120708</v>
      </c>
      <c r="Y167" s="158">
        <f t="shared" si="21"/>
        <v>12.75580417526356</v>
      </c>
      <c r="Z167" s="158">
        <f t="shared" si="22"/>
        <v>2.7932330960363796</v>
      </c>
      <c r="AA167" s="158">
        <f t="shared" si="23"/>
        <v>-4.6466692531493328</v>
      </c>
    </row>
    <row r="168" spans="1:27" ht="19.5" thickBot="1" x14ac:dyDescent="0.35">
      <c r="A168" s="142">
        <v>110</v>
      </c>
      <c r="B168" s="143" t="s">
        <v>221</v>
      </c>
      <c r="C168" s="142">
        <v>26</v>
      </c>
      <c r="D168" s="143" t="s">
        <v>222</v>
      </c>
      <c r="E168" s="142">
        <v>554471</v>
      </c>
      <c r="F168" s="143" t="s">
        <v>233</v>
      </c>
      <c r="G168" s="144">
        <v>1.8614832399778634</v>
      </c>
      <c r="H168" s="145">
        <v>12.892944445895418</v>
      </c>
      <c r="I168" s="146">
        <v>8.5012852440122906</v>
      </c>
      <c r="J168" s="147">
        <v>0.80812596369052059</v>
      </c>
      <c r="K168" s="148">
        <v>135</v>
      </c>
      <c r="M168" s="149">
        <f t="shared" si="16"/>
        <v>0.65937499999999993</v>
      </c>
      <c r="N168" s="138">
        <f t="shared" si="17"/>
        <v>8.5012852440122906</v>
      </c>
      <c r="O168" s="149"/>
      <c r="V168" s="158">
        <f t="shared" si="18"/>
        <v>114.86597891854858</v>
      </c>
      <c r="W168" s="158">
        <f t="shared" si="19"/>
        <v>38.241157842309306</v>
      </c>
      <c r="X168" s="158">
        <f t="shared" si="20"/>
        <v>23.78766248320499</v>
      </c>
      <c r="Y168" s="158">
        <f t="shared" si="21"/>
        <v>15.646670793405329</v>
      </c>
      <c r="Z168" s="158">
        <f t="shared" si="22"/>
        <v>5.5385187704474426</v>
      </c>
      <c r="AA168" s="158">
        <f t="shared" si="23"/>
        <v>-2.0101012979540585</v>
      </c>
    </row>
    <row r="169" spans="1:27" ht="19.5" thickBot="1" x14ac:dyDescent="0.35">
      <c r="A169" s="142">
        <v>110</v>
      </c>
      <c r="B169" s="143" t="s">
        <v>221</v>
      </c>
      <c r="C169" s="142">
        <v>26</v>
      </c>
      <c r="D169" s="143" t="s">
        <v>222</v>
      </c>
      <c r="E169" s="142">
        <v>454481</v>
      </c>
      <c r="F169" s="143" t="s">
        <v>234</v>
      </c>
      <c r="G169" s="144">
        <v>10.399239442446538</v>
      </c>
      <c r="H169" s="145">
        <v>15.193418795137266</v>
      </c>
      <c r="I169" s="146">
        <v>10.558464453835896</v>
      </c>
      <c r="J169" s="147">
        <v>0.76169542206402807</v>
      </c>
      <c r="K169" s="148">
        <v>90</v>
      </c>
      <c r="M169" s="149">
        <f t="shared" si="16"/>
        <v>0.69493670886075942</v>
      </c>
      <c r="N169" s="138">
        <f t="shared" si="17"/>
        <v>10.558464453835896</v>
      </c>
      <c r="O169" s="149"/>
      <c r="V169" s="158">
        <f t="shared" si="18"/>
        <v>573.88301963893605</v>
      </c>
      <c r="W169" s="158">
        <f t="shared" si="19"/>
        <v>167.72115440826528</v>
      </c>
      <c r="X169" s="158">
        <f t="shared" si="20"/>
        <v>91.108138525125668</v>
      </c>
      <c r="Y169" s="158">
        <f t="shared" si="21"/>
        <v>47.955537016712384</v>
      </c>
      <c r="Z169" s="158">
        <f t="shared" si="22"/>
        <v>-5.624305937764011</v>
      </c>
      <c r="AA169" s="158">
        <f t="shared" si="23"/>
        <v>-45.636948888657066</v>
      </c>
    </row>
    <row r="170" spans="1:27" ht="19.5" thickBot="1" x14ac:dyDescent="0.35">
      <c r="A170" s="142">
        <v>110</v>
      </c>
      <c r="B170" s="143" t="s">
        <v>221</v>
      </c>
      <c r="C170" s="142">
        <v>26</v>
      </c>
      <c r="D170" s="143" t="s">
        <v>222</v>
      </c>
      <c r="E170" s="142">
        <v>554486</v>
      </c>
      <c r="F170" s="143" t="s">
        <v>235</v>
      </c>
      <c r="G170" s="144">
        <v>4.7502856913022802</v>
      </c>
      <c r="H170" s="145">
        <v>10.52568271663101</v>
      </c>
      <c r="I170" s="146">
        <v>7.3048238053419219</v>
      </c>
      <c r="J170" s="147">
        <v>0.83513010235155694</v>
      </c>
      <c r="K170" s="148">
        <v>167</v>
      </c>
      <c r="M170" s="149">
        <f t="shared" si="16"/>
        <v>0.69400000000000006</v>
      </c>
      <c r="N170" s="138">
        <f t="shared" si="17"/>
        <v>7.3048238053419219</v>
      </c>
      <c r="O170" s="149"/>
      <c r="V170" s="158">
        <f t="shared" si="18"/>
        <v>287.80617125406269</v>
      </c>
      <c r="W170" s="158">
        <f t="shared" si="19"/>
        <v>102.02440849382003</v>
      </c>
      <c r="X170" s="158">
        <f t="shared" si="20"/>
        <v>66.980987730857308</v>
      </c>
      <c r="Y170" s="158">
        <f t="shared" si="21"/>
        <v>47.242634472679647</v>
      </c>
      <c r="Z170" s="158">
        <f t="shared" si="22"/>
        <v>22.734775600093606</v>
      </c>
      <c r="AA170" s="158">
        <f t="shared" si="23"/>
        <v>4.4326650957227711</v>
      </c>
    </row>
    <row r="171" spans="1:27" ht="19.5" thickBot="1" x14ac:dyDescent="0.35">
      <c r="A171" s="142">
        <v>110</v>
      </c>
      <c r="B171" s="143" t="s">
        <v>221</v>
      </c>
      <c r="C171" s="142">
        <v>26</v>
      </c>
      <c r="D171" s="143" t="s">
        <v>222</v>
      </c>
      <c r="E171" s="142">
        <v>554491</v>
      </c>
      <c r="F171" s="143" t="s">
        <v>236</v>
      </c>
      <c r="G171" s="144">
        <v>3.3012442740771761</v>
      </c>
      <c r="H171" s="145">
        <v>12.116643507448877</v>
      </c>
      <c r="I171" s="146">
        <v>8.5119420639828363</v>
      </c>
      <c r="J171" s="147">
        <v>0.80788543922824452</v>
      </c>
      <c r="K171" s="148">
        <v>134</v>
      </c>
      <c r="M171" s="149">
        <f t="shared" si="16"/>
        <v>0.70250000000000001</v>
      </c>
      <c r="N171" s="138">
        <f t="shared" si="17"/>
        <v>8.5119420639828363</v>
      </c>
      <c r="O171" s="149"/>
      <c r="V171" s="158">
        <f t="shared" si="18"/>
        <v>191.14670575695644</v>
      </c>
      <c r="W171" s="158">
        <f t="shared" si="19"/>
        <v>63.59855911702013</v>
      </c>
      <c r="X171" s="158">
        <f t="shared" si="20"/>
        <v>39.539559440029898</v>
      </c>
      <c r="Y171" s="158">
        <f t="shared" si="21"/>
        <v>25.988227283418059</v>
      </c>
      <c r="Z171" s="158">
        <f t="shared" si="22"/>
        <v>9.1623993287894638</v>
      </c>
      <c r="AA171" s="158">
        <f t="shared" si="23"/>
        <v>-3.4028828590237055</v>
      </c>
    </row>
    <row r="172" spans="1:27" ht="19.5" thickBot="1" x14ac:dyDescent="0.35">
      <c r="A172" s="142">
        <v>110</v>
      </c>
      <c r="B172" s="143" t="s">
        <v>221</v>
      </c>
      <c r="C172" s="142">
        <v>26</v>
      </c>
      <c r="D172" s="143" t="s">
        <v>222</v>
      </c>
      <c r="E172" s="142">
        <v>554601</v>
      </c>
      <c r="F172" s="143" t="s">
        <v>237</v>
      </c>
      <c r="G172" s="144">
        <v>3.9852030364082958</v>
      </c>
      <c r="H172" s="145">
        <v>2.5092824402273366</v>
      </c>
      <c r="I172" s="146">
        <v>1.5432087007398121</v>
      </c>
      <c r="J172" s="147">
        <v>0.96516977447764052</v>
      </c>
      <c r="K172" s="148">
        <v>273</v>
      </c>
      <c r="M172" s="149">
        <f t="shared" si="16"/>
        <v>0.61499999999999999</v>
      </c>
      <c r="N172" s="138">
        <f t="shared" si="17"/>
        <v>1.5432087007398121</v>
      </c>
      <c r="O172" s="149"/>
      <c r="V172" s="158">
        <f t="shared" si="18"/>
        <v>314.8942673166427</v>
      </c>
      <c r="W172" s="158">
        <f t="shared" si="19"/>
        <v>139.01357890958377</v>
      </c>
      <c r="X172" s="158">
        <f t="shared" si="20"/>
        <v>105.83776619064507</v>
      </c>
      <c r="Y172" s="158">
        <f t="shared" si="21"/>
        <v>87.151350971567808</v>
      </c>
      <c r="Z172" s="158">
        <f t="shared" si="22"/>
        <v>63.949616711697161</v>
      </c>
      <c r="AA172" s="158">
        <f t="shared" si="23"/>
        <v>46.62290096207316</v>
      </c>
    </row>
    <row r="173" spans="1:27" ht="19.5" thickBot="1" x14ac:dyDescent="0.35">
      <c r="A173" s="142">
        <v>110</v>
      </c>
      <c r="B173" s="143" t="s">
        <v>221</v>
      </c>
      <c r="C173" s="142">
        <v>26</v>
      </c>
      <c r="D173" s="143" t="s">
        <v>222</v>
      </c>
      <c r="E173" s="142">
        <v>554611</v>
      </c>
      <c r="F173" s="143" t="s">
        <v>238</v>
      </c>
      <c r="G173" s="144">
        <v>3.0016649497715413</v>
      </c>
      <c r="H173" s="145">
        <v>6.6629688305226118</v>
      </c>
      <c r="I173" s="146">
        <v>4.7556940027855141</v>
      </c>
      <c r="J173" s="147">
        <v>0.89266397049670365</v>
      </c>
      <c r="K173" s="148">
        <v>224</v>
      </c>
      <c r="M173" s="149">
        <f t="shared" si="16"/>
        <v>0.71375</v>
      </c>
      <c r="N173" s="138">
        <f t="shared" si="17"/>
        <v>4.7556940027855141</v>
      </c>
      <c r="O173" s="149"/>
      <c r="V173" s="158">
        <f t="shared" si="18"/>
        <v>189.0121854252647</v>
      </c>
      <c r="W173" s="158">
        <f t="shared" si="19"/>
        <v>74.866654412165772</v>
      </c>
      <c r="X173" s="158">
        <f t="shared" si="20"/>
        <v>53.335747330257909</v>
      </c>
      <c r="Y173" s="158">
        <f t="shared" si="21"/>
        <v>41.208373897557486</v>
      </c>
      <c r="Z173" s="158">
        <f t="shared" si="22"/>
        <v>26.150584998139855</v>
      </c>
      <c r="AA173" s="158">
        <f t="shared" si="23"/>
        <v>14.905648513831219</v>
      </c>
    </row>
    <row r="174" spans="1:27" ht="19.5" thickBot="1" x14ac:dyDescent="0.35">
      <c r="A174" s="142">
        <v>110</v>
      </c>
      <c r="B174" s="143" t="s">
        <v>221</v>
      </c>
      <c r="C174" s="142">
        <v>26</v>
      </c>
      <c r="D174" s="143" t="s">
        <v>222</v>
      </c>
      <c r="E174" s="142">
        <v>554636</v>
      </c>
      <c r="F174" s="143" t="s">
        <v>239</v>
      </c>
      <c r="G174" s="144">
        <v>2.7065897065897064</v>
      </c>
      <c r="H174" s="145">
        <v>6.6504354007464013</v>
      </c>
      <c r="I174" s="146">
        <v>4.7107250755287016</v>
      </c>
      <c r="J174" s="147">
        <v>0.8936789193348631</v>
      </c>
      <c r="K174" s="148">
        <v>226</v>
      </c>
      <c r="M174" s="149">
        <f t="shared" si="16"/>
        <v>0.70833333333333348</v>
      </c>
      <c r="N174" s="138">
        <f t="shared" si="17"/>
        <v>4.7107250755287016</v>
      </c>
      <c r="O174" s="149"/>
      <c r="V174" s="158">
        <f t="shared" si="18"/>
        <v>171.93011924772537</v>
      </c>
      <c r="W174" s="158">
        <f t="shared" si="19"/>
        <v>68.218463882111934</v>
      </c>
      <c r="X174" s="158">
        <f t="shared" si="20"/>
        <v>48.655665451294496</v>
      </c>
      <c r="Y174" s="158">
        <f t="shared" si="21"/>
        <v>37.636837444808741</v>
      </c>
      <c r="Z174" s="158">
        <f t="shared" si="22"/>
        <v>23.955458953299075</v>
      </c>
      <c r="AA174" s="158">
        <f t="shared" si="23"/>
        <v>13.738405627444397</v>
      </c>
    </row>
    <row r="175" spans="1:27" ht="19.5" thickBot="1" x14ac:dyDescent="0.35">
      <c r="A175" s="142">
        <v>110</v>
      </c>
      <c r="B175" s="143" t="s">
        <v>221</v>
      </c>
      <c r="C175" s="142">
        <v>26</v>
      </c>
      <c r="D175" s="143" t="s">
        <v>222</v>
      </c>
      <c r="E175" s="142">
        <v>454671</v>
      </c>
      <c r="F175" s="143" t="s">
        <v>240</v>
      </c>
      <c r="G175" s="144">
        <v>4.3740007442467412</v>
      </c>
      <c r="H175" s="145">
        <v>10.745311386108144</v>
      </c>
      <c r="I175" s="146">
        <v>7.5160023791128765</v>
      </c>
      <c r="J175" s="147">
        <v>0.83036380123725773</v>
      </c>
      <c r="K175" s="148">
        <v>162</v>
      </c>
      <c r="M175" s="149">
        <f t="shared" si="16"/>
        <v>0.69946808510638292</v>
      </c>
      <c r="N175" s="138">
        <f t="shared" si="17"/>
        <v>7.5160023791128765</v>
      </c>
      <c r="O175" s="149"/>
      <c r="V175" s="158">
        <f t="shared" si="18"/>
        <v>261.43580244878427</v>
      </c>
      <c r="W175" s="158">
        <f t="shared" si="19"/>
        <v>91.70769483642195</v>
      </c>
      <c r="X175" s="158">
        <f t="shared" si="20"/>
        <v>59.692423789406824</v>
      </c>
      <c r="Y175" s="158">
        <f t="shared" si="21"/>
        <v>41.659688519162451</v>
      </c>
      <c r="Z175" s="158">
        <f t="shared" si="22"/>
        <v>19.269587110537827</v>
      </c>
      <c r="AA175" s="158">
        <f t="shared" si="23"/>
        <v>2.5489869016352653</v>
      </c>
    </row>
    <row r="176" spans="1:27" ht="19.5" thickBot="1" x14ac:dyDescent="0.35">
      <c r="A176" s="142">
        <v>110</v>
      </c>
      <c r="B176" s="143" t="s">
        <v>221</v>
      </c>
      <c r="C176" s="142">
        <v>27</v>
      </c>
      <c r="D176" s="143" t="s">
        <v>241</v>
      </c>
      <c r="E176" s="142">
        <v>554184</v>
      </c>
      <c r="F176" s="143" t="s">
        <v>537</v>
      </c>
      <c r="G176" s="144">
        <v>3.9752389572564639</v>
      </c>
      <c r="H176" s="145">
        <v>2.7671292514178112</v>
      </c>
      <c r="I176" s="146">
        <v>1.8866790350575986</v>
      </c>
      <c r="J176" s="147">
        <v>0.957417647886601</v>
      </c>
      <c r="K176" s="148">
        <v>271</v>
      </c>
      <c r="M176" s="149">
        <f t="shared" si="16"/>
        <v>0.68181818181818188</v>
      </c>
      <c r="N176" s="138">
        <f t="shared" si="17"/>
        <v>1.8866790350575986</v>
      </c>
      <c r="O176" s="149"/>
      <c r="V176" s="158">
        <f t="shared" si="18"/>
        <v>281.04883841812767</v>
      </c>
      <c r="W176" s="158">
        <f t="shared" si="19"/>
        <v>122.80111108439257</v>
      </c>
      <c r="X176" s="158">
        <f t="shared" si="20"/>
        <v>92.951347515858785</v>
      </c>
      <c r="Y176" s="158">
        <f t="shared" si="21"/>
        <v>76.138343386664047</v>
      </c>
      <c r="Z176" s="158">
        <f t="shared" si="22"/>
        <v>55.262704622229755</v>
      </c>
      <c r="AA176" s="158">
        <f t="shared" si="23"/>
        <v>39.673082962404671</v>
      </c>
    </row>
    <row r="177" spans="1:27" ht="19.5" thickBot="1" x14ac:dyDescent="0.35">
      <c r="A177" s="142">
        <v>110</v>
      </c>
      <c r="B177" s="143" t="s">
        <v>221</v>
      </c>
      <c r="C177" s="142">
        <v>27</v>
      </c>
      <c r="D177" s="143" t="s">
        <v>241</v>
      </c>
      <c r="E177" s="142">
        <v>554506</v>
      </c>
      <c r="F177" s="143" t="s">
        <v>243</v>
      </c>
      <c r="G177" s="144">
        <v>2.6208074601622977</v>
      </c>
      <c r="H177" s="145">
        <v>14.499348226689948</v>
      </c>
      <c r="I177" s="146">
        <v>9.7775210081297352</v>
      </c>
      <c r="J177" s="147">
        <v>0.77932131823809325</v>
      </c>
      <c r="K177" s="148">
        <v>105</v>
      </c>
      <c r="M177" s="149">
        <f t="shared" si="16"/>
        <v>0.67434210526315796</v>
      </c>
      <c r="N177" s="138">
        <f t="shared" si="17"/>
        <v>9.7775210081297352</v>
      </c>
      <c r="O177" s="149"/>
      <c r="V177" s="158">
        <f t="shared" si="18"/>
        <v>152.49552517120964</v>
      </c>
      <c r="W177" s="158">
        <f t="shared" si="19"/>
        <v>47.008836676081948</v>
      </c>
      <c r="X177" s="158">
        <f t="shared" si="20"/>
        <v>27.111219413202718</v>
      </c>
      <c r="Y177" s="158">
        <f t="shared" si="21"/>
        <v>15.903803299710262</v>
      </c>
      <c r="Z177" s="158">
        <f t="shared" si="22"/>
        <v>1.9882669404639159</v>
      </c>
      <c r="AA177" s="158">
        <f t="shared" si="23"/>
        <v>-8.403652055748374</v>
      </c>
    </row>
    <row r="178" spans="1:27" ht="19.5" thickBot="1" x14ac:dyDescent="0.35">
      <c r="A178" s="142">
        <v>110</v>
      </c>
      <c r="B178" s="143" t="s">
        <v>221</v>
      </c>
      <c r="C178" s="142">
        <v>27</v>
      </c>
      <c r="D178" s="143" t="s">
        <v>241</v>
      </c>
      <c r="E178" s="142">
        <v>554196</v>
      </c>
      <c r="F178" s="143" t="s">
        <v>244</v>
      </c>
      <c r="G178" s="144">
        <v>3.1714420394420397</v>
      </c>
      <c r="H178" s="145">
        <v>11.035989169821828</v>
      </c>
      <c r="I178" s="146">
        <v>7.1733929603841879</v>
      </c>
      <c r="J178" s="147">
        <v>0.83809649696058008</v>
      </c>
      <c r="K178" s="148">
        <v>169</v>
      </c>
      <c r="M178" s="149">
        <f t="shared" si="16"/>
        <v>0.64999999999999991</v>
      </c>
      <c r="N178" s="138">
        <f t="shared" si="17"/>
        <v>7.1733929603841879</v>
      </c>
      <c r="O178" s="149"/>
      <c r="V178" s="158">
        <f t="shared" si="18"/>
        <v>205.88426300896859</v>
      </c>
      <c r="W178" s="158">
        <f t="shared" si="19"/>
        <v>73.454304760075132</v>
      </c>
      <c r="X178" s="158">
        <f t="shared" si="20"/>
        <v>48.474464545475271</v>
      </c>
      <c r="Y178" s="158">
        <f t="shared" si="21"/>
        <v>34.404465106102087</v>
      </c>
      <c r="Z178" s="158">
        <f t="shared" si="22"/>
        <v>16.934640947662693</v>
      </c>
      <c r="AA178" s="158">
        <f t="shared" si="23"/>
        <v>3.8884318152389241</v>
      </c>
    </row>
    <row r="179" spans="1:27" ht="19.5" thickBot="1" x14ac:dyDescent="0.35">
      <c r="A179" s="142">
        <v>110</v>
      </c>
      <c r="B179" s="143" t="s">
        <v>221</v>
      </c>
      <c r="C179" s="142">
        <v>27</v>
      </c>
      <c r="D179" s="143" t="s">
        <v>241</v>
      </c>
      <c r="E179" s="142">
        <v>554257</v>
      </c>
      <c r="F179" s="143" t="s">
        <v>245</v>
      </c>
      <c r="G179" s="144">
        <v>3.4906875203649386</v>
      </c>
      <c r="H179" s="145">
        <v>12.604966713090366</v>
      </c>
      <c r="I179" s="146">
        <v>8.2934951441810476</v>
      </c>
      <c r="J179" s="147">
        <v>0.81281578693669998</v>
      </c>
      <c r="K179" s="148">
        <v>136</v>
      </c>
      <c r="M179" s="149">
        <f t="shared" si="16"/>
        <v>0.65795454545454546</v>
      </c>
      <c r="N179" s="138">
        <f t="shared" si="17"/>
        <v>8.2934951441810476</v>
      </c>
      <c r="O179" s="149"/>
      <c r="V179" s="158">
        <f t="shared" si="18"/>
        <v>217.11654354681892</v>
      </c>
      <c r="W179" s="158">
        <f t="shared" si="19"/>
        <v>73.118065551423058</v>
      </c>
      <c r="X179" s="158">
        <f t="shared" si="20"/>
        <v>45.956092391919938</v>
      </c>
      <c r="Y179" s="158">
        <f t="shared" si="21"/>
        <v>30.656997448025379</v>
      </c>
      <c r="Z179" s="158">
        <f t="shared" si="22"/>
        <v>11.661083510376079</v>
      </c>
      <c r="AA179" s="158">
        <f t="shared" si="23"/>
        <v>-2.5247871454757225</v>
      </c>
    </row>
    <row r="180" spans="1:27" ht="19.5" thickBot="1" x14ac:dyDescent="0.35">
      <c r="A180" s="142">
        <v>110</v>
      </c>
      <c r="B180" s="143" t="s">
        <v>221</v>
      </c>
      <c r="C180" s="142">
        <v>27</v>
      </c>
      <c r="D180" s="143" t="s">
        <v>241</v>
      </c>
      <c r="E180" s="142">
        <v>554321</v>
      </c>
      <c r="F180" s="143" t="s">
        <v>246</v>
      </c>
      <c r="G180" s="144">
        <v>2.5343313424514755</v>
      </c>
      <c r="H180" s="145">
        <v>9.4699535131758434</v>
      </c>
      <c r="I180" s="146">
        <v>6.2935732722981115</v>
      </c>
      <c r="J180" s="147">
        <v>0.85795403025491634</v>
      </c>
      <c r="K180" s="148">
        <v>192</v>
      </c>
      <c r="M180" s="149">
        <f t="shared" si="16"/>
        <v>0.66458333333333319</v>
      </c>
      <c r="N180" s="138">
        <f t="shared" si="17"/>
        <v>6.2935732722981115</v>
      </c>
      <c r="O180" s="149"/>
      <c r="V180" s="158">
        <f t="shared" si="18"/>
        <v>164.7265763447638</v>
      </c>
      <c r="W180" s="158">
        <f t="shared" si="19"/>
        <v>61.222663296230806</v>
      </c>
      <c r="X180" s="158">
        <f t="shared" si="20"/>
        <v>41.699050635424172</v>
      </c>
      <c r="Y180" s="158">
        <f t="shared" si="21"/>
        <v>30.702294177729229</v>
      </c>
      <c r="Z180" s="158">
        <f t="shared" si="22"/>
        <v>17.048320525710952</v>
      </c>
      <c r="AA180" s="158">
        <f t="shared" si="23"/>
        <v>6.8517327331096549</v>
      </c>
    </row>
    <row r="181" spans="1:27" ht="19.5" thickBot="1" x14ac:dyDescent="0.35">
      <c r="A181" s="142">
        <v>110</v>
      </c>
      <c r="B181" s="143" t="s">
        <v>221</v>
      </c>
      <c r="C181" s="142">
        <v>27</v>
      </c>
      <c r="D181" s="143" t="s">
        <v>241</v>
      </c>
      <c r="E181" s="142">
        <v>454355</v>
      </c>
      <c r="F181" s="143" t="s">
        <v>247</v>
      </c>
      <c r="G181" s="144">
        <v>3.729047579312796</v>
      </c>
      <c r="H181" s="145">
        <v>7.2404546806494947</v>
      </c>
      <c r="I181" s="146">
        <v>4.9878687800029855</v>
      </c>
      <c r="J181" s="147">
        <v>0.88742378500059338</v>
      </c>
      <c r="K181" s="148">
        <v>219</v>
      </c>
      <c r="M181" s="149">
        <f t="shared" si="16"/>
        <v>0.68888888888888888</v>
      </c>
      <c r="N181" s="138">
        <f t="shared" si="17"/>
        <v>4.9878687800029855</v>
      </c>
      <c r="O181" s="149"/>
      <c r="V181" s="158">
        <f t="shared" si="18"/>
        <v>241.86081599699031</v>
      </c>
      <c r="W181" s="158">
        <f t="shared" si="19"/>
        <v>94.937214824659378</v>
      </c>
      <c r="X181" s="158">
        <f t="shared" si="20"/>
        <v>67.223485019348601</v>
      </c>
      <c r="Y181" s="158">
        <f t="shared" si="21"/>
        <v>51.613610837857202</v>
      </c>
      <c r="Z181" s="158">
        <f t="shared" si="22"/>
        <v>32.231822070837438</v>
      </c>
      <c r="AA181" s="158">
        <f t="shared" si="23"/>
        <v>17.757785737000063</v>
      </c>
    </row>
    <row r="182" spans="1:27" ht="19.5" thickBot="1" x14ac:dyDescent="0.35">
      <c r="A182" s="142">
        <v>110</v>
      </c>
      <c r="B182" s="143" t="s">
        <v>221</v>
      </c>
      <c r="C182" s="142">
        <v>27</v>
      </c>
      <c r="D182" s="143" t="s">
        <v>241</v>
      </c>
      <c r="E182" s="142">
        <v>554357</v>
      </c>
      <c r="F182" s="143" t="s">
        <v>538</v>
      </c>
      <c r="G182" s="144">
        <v>4.4497067785987827</v>
      </c>
      <c r="H182" s="145">
        <v>5.6183477347854653</v>
      </c>
      <c r="I182" s="146">
        <v>3.9384617620846107</v>
      </c>
      <c r="J182" s="147">
        <v>0.91110890489482477</v>
      </c>
      <c r="K182" s="148">
        <v>236</v>
      </c>
      <c r="M182" s="149">
        <f t="shared" si="16"/>
        <v>0.70099999999999996</v>
      </c>
      <c r="N182" s="138">
        <f t="shared" si="17"/>
        <v>3.9384617620846107</v>
      </c>
      <c r="O182" s="149"/>
      <c r="V182" s="158">
        <f t="shared" si="18"/>
        <v>291.18524950799508</v>
      </c>
      <c r="W182" s="158">
        <f t="shared" si="19"/>
        <v>118.89678700796857</v>
      </c>
      <c r="X182" s="158">
        <f t="shared" si="20"/>
        <v>86.398564392953119</v>
      </c>
      <c r="Y182" s="158">
        <f t="shared" si="21"/>
        <v>68.093804632854813</v>
      </c>
      <c r="Z182" s="158">
        <f t="shared" si="22"/>
        <v>45.365947702276245</v>
      </c>
      <c r="AA182" s="158">
        <f t="shared" si="23"/>
        <v>28.393116610276124</v>
      </c>
    </row>
    <row r="183" spans="1:27" ht="19.5" thickBot="1" x14ac:dyDescent="0.35">
      <c r="A183" s="142">
        <v>110</v>
      </c>
      <c r="B183" s="143" t="s">
        <v>221</v>
      </c>
      <c r="C183" s="142">
        <v>27</v>
      </c>
      <c r="D183" s="143" t="s">
        <v>241</v>
      </c>
      <c r="E183" s="142">
        <v>554381</v>
      </c>
      <c r="F183" s="143" t="s">
        <v>249</v>
      </c>
      <c r="G183" s="144">
        <v>4.5199524895653918</v>
      </c>
      <c r="H183" s="145">
        <v>7.522202960869885</v>
      </c>
      <c r="I183" s="146">
        <v>4.8119974823211766</v>
      </c>
      <c r="J183" s="147">
        <v>0.89139320077580952</v>
      </c>
      <c r="K183" s="148">
        <v>222</v>
      </c>
      <c r="M183" s="149">
        <f t="shared" si="16"/>
        <v>0.63970588235294124</v>
      </c>
      <c r="N183" s="138">
        <f t="shared" si="17"/>
        <v>4.8119974823211766</v>
      </c>
      <c r="O183" s="149"/>
      <c r="V183" s="158">
        <f t="shared" si="18"/>
        <v>317.10898483494987</v>
      </c>
      <c r="W183" s="158">
        <f t="shared" si="19"/>
        <v>125.33206209698363</v>
      </c>
      <c r="X183" s="158">
        <f t="shared" si="20"/>
        <v>89.157793448204643</v>
      </c>
      <c r="Y183" s="158">
        <f t="shared" si="21"/>
        <v>68.782485390366119</v>
      </c>
      <c r="Z183" s="158">
        <f t="shared" si="22"/>
        <v>43.483760221381331</v>
      </c>
      <c r="AA183" s="158">
        <f t="shared" si="23"/>
        <v>24.591042335675226</v>
      </c>
    </row>
    <row r="184" spans="1:27" ht="19.5" thickBot="1" x14ac:dyDescent="0.35">
      <c r="A184" s="142">
        <v>110</v>
      </c>
      <c r="B184" s="143" t="s">
        <v>221</v>
      </c>
      <c r="C184" s="142">
        <v>27</v>
      </c>
      <c r="D184" s="143" t="s">
        <v>241</v>
      </c>
      <c r="E184" s="142">
        <v>554376</v>
      </c>
      <c r="F184" s="143" t="s">
        <v>539</v>
      </c>
      <c r="G184" s="144">
        <v>3.0343497082627509</v>
      </c>
      <c r="H184" s="145">
        <v>17.796234841671065</v>
      </c>
      <c r="I184" s="146">
        <v>11.567552647086194</v>
      </c>
      <c r="J184" s="147">
        <v>0.73892029817701987</v>
      </c>
      <c r="K184" s="148">
        <v>70</v>
      </c>
      <c r="M184" s="149">
        <f t="shared" si="16"/>
        <v>0.65</v>
      </c>
      <c r="N184" s="138">
        <f t="shared" si="17"/>
        <v>11.567552647086194</v>
      </c>
      <c r="O184" s="149"/>
      <c r="V184" s="158">
        <f t="shared" si="18"/>
        <v>173.67430773989548</v>
      </c>
      <c r="W184" s="158">
        <f t="shared" si="19"/>
        <v>46.96891625543541</v>
      </c>
      <c r="X184" s="158">
        <f t="shared" si="20"/>
        <v>23.068882792753413</v>
      </c>
      <c r="Y184" s="158">
        <f t="shared" si="21"/>
        <v>9.607089020974362</v>
      </c>
      <c r="Z184" s="158">
        <f t="shared" si="22"/>
        <v>-7.1075648113524093</v>
      </c>
      <c r="AA184" s="158">
        <f t="shared" si="23"/>
        <v>-19.589823790888893</v>
      </c>
    </row>
    <row r="185" spans="1:27" ht="19.5" thickBot="1" x14ac:dyDescent="0.35">
      <c r="A185" s="142">
        <v>110</v>
      </c>
      <c r="B185" s="143" t="s">
        <v>221</v>
      </c>
      <c r="C185" s="142">
        <v>27</v>
      </c>
      <c r="D185" s="143" t="s">
        <v>241</v>
      </c>
      <c r="E185" s="142">
        <v>554416</v>
      </c>
      <c r="F185" s="143" t="s">
        <v>251</v>
      </c>
      <c r="G185" s="144">
        <v>3.9243355211097128</v>
      </c>
      <c r="H185" s="145">
        <v>7.3897860781790286</v>
      </c>
      <c r="I185" s="146">
        <v>4.7141738774590358</v>
      </c>
      <c r="J185" s="147">
        <v>0.89360107986379367</v>
      </c>
      <c r="K185" s="148">
        <v>225</v>
      </c>
      <c r="M185" s="149">
        <f t="shared" si="16"/>
        <v>0.63793103448275867</v>
      </c>
      <c r="N185" s="138">
        <f t="shared" si="17"/>
        <v>4.7141738774590358</v>
      </c>
      <c r="O185" s="149"/>
      <c r="V185" s="158">
        <f t="shared" si="18"/>
        <v>276.77176955277548</v>
      </c>
      <c r="W185" s="158">
        <f t="shared" si="19"/>
        <v>109.80300990962945</v>
      </c>
      <c r="X185" s="158">
        <f t="shared" si="20"/>
        <v>78.308225860261501</v>
      </c>
      <c r="Y185" s="158">
        <f t="shared" si="21"/>
        <v>60.568657067551918</v>
      </c>
      <c r="Z185" s="158">
        <f t="shared" si="22"/>
        <v>38.542561843415839</v>
      </c>
      <c r="AA185" s="158">
        <f t="shared" si="23"/>
        <v>22.0937961283962</v>
      </c>
    </row>
    <row r="186" spans="1:27" ht="19.5" thickBot="1" x14ac:dyDescent="0.35">
      <c r="A186" s="142">
        <v>110</v>
      </c>
      <c r="B186" s="143" t="s">
        <v>221</v>
      </c>
      <c r="C186" s="142">
        <v>27</v>
      </c>
      <c r="D186" s="143" t="s">
        <v>241</v>
      </c>
      <c r="E186" s="142">
        <v>454466</v>
      </c>
      <c r="F186" s="143" t="s">
        <v>252</v>
      </c>
      <c r="G186" s="144">
        <v>1.8288818863853922</v>
      </c>
      <c r="H186" s="145">
        <v>2.1871286657585158</v>
      </c>
      <c r="I186" s="146">
        <v>1.4216336327430352</v>
      </c>
      <c r="J186" s="147">
        <v>0.96791372416778532</v>
      </c>
      <c r="K186" s="148">
        <v>274</v>
      </c>
      <c r="M186" s="149">
        <f t="shared" si="16"/>
        <v>0.65</v>
      </c>
      <c r="N186" s="138">
        <f t="shared" si="17"/>
        <v>1.4216336327430352</v>
      </c>
      <c r="O186" s="149"/>
      <c r="V186" s="158">
        <f t="shared" si="18"/>
        <v>137.11805820447051</v>
      </c>
      <c r="W186" s="158">
        <f t="shared" si="19"/>
        <v>60.74940670649594</v>
      </c>
      <c r="X186" s="158">
        <f t="shared" si="20"/>
        <v>46.344231797065596</v>
      </c>
      <c r="Y186" s="158">
        <f t="shared" si="21"/>
        <v>38.230456802568334</v>
      </c>
      <c r="Z186" s="158">
        <f t="shared" si="22"/>
        <v>28.156098020552307</v>
      </c>
      <c r="AA186" s="158">
        <f t="shared" si="23"/>
        <v>20.632714250157665</v>
      </c>
    </row>
    <row r="187" spans="1:27" ht="19.5" thickBot="1" x14ac:dyDescent="0.35">
      <c r="A187" s="142">
        <v>110</v>
      </c>
      <c r="B187" s="143" t="s">
        <v>221</v>
      </c>
      <c r="C187" s="142">
        <v>27</v>
      </c>
      <c r="D187" s="143" t="s">
        <v>241</v>
      </c>
      <c r="E187" s="142">
        <v>554496</v>
      </c>
      <c r="F187" s="143" t="s">
        <v>253</v>
      </c>
      <c r="G187" s="144">
        <v>3.0121534750010834</v>
      </c>
      <c r="H187" s="145">
        <v>18.25936176774001</v>
      </c>
      <c r="I187" s="146">
        <v>12.524262230690763</v>
      </c>
      <c r="J187" s="147">
        <v>0.71732735968440053</v>
      </c>
      <c r="K187" s="148">
        <v>60</v>
      </c>
      <c r="M187" s="149">
        <f t="shared" si="16"/>
        <v>0.68590909090909091</v>
      </c>
      <c r="N187" s="138">
        <f t="shared" si="17"/>
        <v>12.524262230690763</v>
      </c>
      <c r="O187" s="149"/>
      <c r="V187" s="158">
        <f t="shared" si="18"/>
        <v>158.60381793660594</v>
      </c>
      <c r="W187" s="158">
        <f t="shared" si="19"/>
        <v>39.410102567711725</v>
      </c>
      <c r="X187" s="158">
        <f t="shared" si="20"/>
        <v>16.926972588137414</v>
      </c>
      <c r="Y187" s="158">
        <f t="shared" si="21"/>
        <v>4.2632556271667497</v>
      </c>
      <c r="Z187" s="158">
        <f t="shared" si="22"/>
        <v>-11.460476946788475</v>
      </c>
      <c r="AA187" s="158">
        <f t="shared" si="23"/>
        <v>-23.202730425798237</v>
      </c>
    </row>
    <row r="188" spans="1:27" ht="19.5" thickBot="1" x14ac:dyDescent="0.35">
      <c r="A188" s="142">
        <v>110</v>
      </c>
      <c r="B188" s="143" t="s">
        <v>221</v>
      </c>
      <c r="C188" s="142">
        <v>27</v>
      </c>
      <c r="D188" s="143" t="s">
        <v>241</v>
      </c>
      <c r="E188" s="142">
        <v>554516</v>
      </c>
      <c r="F188" s="143" t="s">
        <v>254</v>
      </c>
      <c r="G188" s="144">
        <v>2.6973816843382079</v>
      </c>
      <c r="H188" s="145">
        <v>11.492626416200245</v>
      </c>
      <c r="I188" s="146">
        <v>7.7297180896056492</v>
      </c>
      <c r="J188" s="147">
        <v>0.82554023693868561</v>
      </c>
      <c r="K188" s="148">
        <v>155</v>
      </c>
      <c r="M188" s="149">
        <f t="shared" si="16"/>
        <v>0.67258064516129035</v>
      </c>
      <c r="N188" s="138">
        <f t="shared" si="17"/>
        <v>7.7297180896056492</v>
      </c>
      <c r="O188" s="149"/>
      <c r="V188" s="158">
        <f t="shared" si="18"/>
        <v>166.69477571029154</v>
      </c>
      <c r="W188" s="158">
        <f t="shared" si="19"/>
        <v>57.841661400561499</v>
      </c>
      <c r="X188" s="158">
        <f t="shared" si="20"/>
        <v>37.309045984280885</v>
      </c>
      <c r="Y188" s="158">
        <f t="shared" si="21"/>
        <v>25.743964506014056</v>
      </c>
      <c r="Z188" s="158">
        <f t="shared" si="22"/>
        <v>11.384337792884168</v>
      </c>
      <c r="AA188" s="158">
        <f t="shared" si="23"/>
        <v>0.66077861655833636</v>
      </c>
    </row>
    <row r="189" spans="1:27" ht="19.5" thickBot="1" x14ac:dyDescent="0.35">
      <c r="A189" s="142">
        <v>110</v>
      </c>
      <c r="B189" s="143" t="s">
        <v>221</v>
      </c>
      <c r="C189" s="142">
        <v>27</v>
      </c>
      <c r="D189" s="143" t="s">
        <v>241</v>
      </c>
      <c r="E189" s="142">
        <v>554531</v>
      </c>
      <c r="F189" s="143" t="s">
        <v>255</v>
      </c>
      <c r="G189" s="144">
        <v>2.5112282917332012</v>
      </c>
      <c r="H189" s="145">
        <v>21.901632830856673</v>
      </c>
      <c r="I189" s="146">
        <v>14.236061340056837</v>
      </c>
      <c r="J189" s="147">
        <v>0.6786920480770906</v>
      </c>
      <c r="K189" s="148">
        <v>40</v>
      </c>
      <c r="M189" s="149">
        <f t="shared" si="16"/>
        <v>0.65</v>
      </c>
      <c r="N189" s="138">
        <f t="shared" si="17"/>
        <v>14.236061340056837</v>
      </c>
      <c r="O189" s="149"/>
      <c r="V189" s="158">
        <f t="shared" si="18"/>
        <v>132.01743919178031</v>
      </c>
      <c r="W189" s="158">
        <f t="shared" si="19"/>
        <v>27.156037440866907</v>
      </c>
      <c r="X189" s="158">
        <f t="shared" si="20"/>
        <v>7.3763660201922363</v>
      </c>
      <c r="Y189" s="158">
        <f t="shared" si="21"/>
        <v>-3.7646166045573732</v>
      </c>
      <c r="Z189" s="158">
        <f t="shared" si="22"/>
        <v>-17.597666722665618</v>
      </c>
      <c r="AA189" s="158">
        <f t="shared" si="23"/>
        <v>-27.927986200607119</v>
      </c>
    </row>
    <row r="190" spans="1:27" ht="19.5" thickBot="1" x14ac:dyDescent="0.35">
      <c r="A190" s="142">
        <v>110</v>
      </c>
      <c r="B190" s="143" t="s">
        <v>221</v>
      </c>
      <c r="C190" s="142">
        <v>27</v>
      </c>
      <c r="D190" s="143" t="s">
        <v>241</v>
      </c>
      <c r="E190" s="142">
        <v>554533</v>
      </c>
      <c r="F190" s="143" t="s">
        <v>256</v>
      </c>
      <c r="G190" s="144">
        <v>3.5167137566137558</v>
      </c>
      <c r="H190" s="145">
        <v>2.8435638189754178</v>
      </c>
      <c r="I190" s="146">
        <v>3.0994845626832057</v>
      </c>
      <c r="J190" s="147">
        <v>0.93004462308333657</v>
      </c>
      <c r="K190" s="148">
        <v>255</v>
      </c>
      <c r="M190" s="149">
        <f t="shared" si="16"/>
        <v>1.0900000000000001</v>
      </c>
      <c r="N190" s="138">
        <f t="shared" si="17"/>
        <v>3.0994845626832057</v>
      </c>
      <c r="O190" s="149"/>
      <c r="V190" s="158">
        <f t="shared" si="18"/>
        <v>151.07757780026805</v>
      </c>
      <c r="W190" s="158">
        <f t="shared" si="19"/>
        <v>63.507982548948597</v>
      </c>
      <c r="X190" s="158">
        <f t="shared" si="20"/>
        <v>46.990009380642327</v>
      </c>
      <c r="Y190" s="158">
        <f t="shared" si="21"/>
        <v>37.686191933410768</v>
      </c>
      <c r="Z190" s="158">
        <f t="shared" si="22"/>
        <v>26.134233064775831</v>
      </c>
      <c r="AA190" s="158">
        <f t="shared" si="23"/>
        <v>17.507399164071465</v>
      </c>
    </row>
    <row r="191" spans="1:27" ht="19.5" thickBot="1" x14ac:dyDescent="0.35">
      <c r="A191" s="142">
        <v>110</v>
      </c>
      <c r="B191" s="143" t="s">
        <v>221</v>
      </c>
      <c r="C191" s="142">
        <v>27</v>
      </c>
      <c r="D191" s="143" t="s">
        <v>241</v>
      </c>
      <c r="E191" s="142">
        <v>454535</v>
      </c>
      <c r="F191" s="143" t="s">
        <v>257</v>
      </c>
      <c r="G191" s="144">
        <v>7.4460326411109019</v>
      </c>
      <c r="H191" s="145">
        <v>13.429970672957005</v>
      </c>
      <c r="I191" s="146">
        <v>8.6354711427113529</v>
      </c>
      <c r="J191" s="147">
        <v>0.80509738750936755</v>
      </c>
      <c r="K191" s="148">
        <v>128</v>
      </c>
      <c r="M191" s="149">
        <f t="shared" si="16"/>
        <v>0.6429999999999999</v>
      </c>
      <c r="N191" s="138">
        <f t="shared" si="17"/>
        <v>8.6354711427113529</v>
      </c>
      <c r="O191" s="149"/>
      <c r="V191" s="158">
        <f t="shared" si="18"/>
        <v>469.40540365562345</v>
      </c>
      <c r="W191" s="158">
        <f t="shared" si="19"/>
        <v>155.09642831851065</v>
      </c>
      <c r="X191" s="158">
        <f t="shared" si="20"/>
        <v>95.809329796743285</v>
      </c>
      <c r="Y191" s="158">
        <f t="shared" si="21"/>
        <v>62.415623680249141</v>
      </c>
      <c r="Z191" s="158">
        <f t="shared" si="22"/>
        <v>20.952780958220977</v>
      </c>
      <c r="AA191" s="158">
        <f t="shared" si="23"/>
        <v>-10.011063466913553</v>
      </c>
    </row>
    <row r="192" spans="1:27" ht="19.5" thickBot="1" x14ac:dyDescent="0.35">
      <c r="A192" s="142">
        <v>110</v>
      </c>
      <c r="B192" s="143" t="s">
        <v>221</v>
      </c>
      <c r="C192" s="142">
        <v>27</v>
      </c>
      <c r="D192" s="143" t="s">
        <v>241</v>
      </c>
      <c r="E192" s="142">
        <v>454651</v>
      </c>
      <c r="F192" s="143" t="s">
        <v>540</v>
      </c>
      <c r="G192" s="144">
        <v>10.895669109990308</v>
      </c>
      <c r="H192" s="145">
        <v>66.08130191286989</v>
      </c>
      <c r="I192" s="146">
        <v>44.306595136719366</v>
      </c>
      <c r="J192" s="147">
        <v>0</v>
      </c>
      <c r="K192" s="148">
        <v>1</v>
      </c>
      <c r="M192" s="149">
        <f t="shared" si="16"/>
        <v>0.67048611111111123</v>
      </c>
      <c r="N192" s="138">
        <f t="shared" si="17"/>
        <v>44.306595136719366</v>
      </c>
      <c r="O192" s="149"/>
      <c r="V192" s="158">
        <f t="shared" si="18"/>
        <v>0</v>
      </c>
      <c r="W192" s="158">
        <f t="shared" si="19"/>
        <v>-441.06941104169067</v>
      </c>
      <c r="X192" s="158">
        <f t="shared" si="20"/>
        <v>-524.26692584164073</v>
      </c>
      <c r="Y192" s="158">
        <f t="shared" si="21"/>
        <v>-571.1282738941544</v>
      </c>
      <c r="Z192" s="158">
        <f t="shared" si="22"/>
        <v>-629.31303174239724</v>
      </c>
      <c r="AA192" s="158">
        <f t="shared" si="23"/>
        <v>-672.76455777512501</v>
      </c>
    </row>
    <row r="193" spans="1:27" ht="19.5" thickBot="1" x14ac:dyDescent="0.35">
      <c r="A193" s="142">
        <v>110</v>
      </c>
      <c r="B193" s="143" t="s">
        <v>221</v>
      </c>
      <c r="C193" s="142">
        <v>27</v>
      </c>
      <c r="D193" s="143" t="s">
        <v>241</v>
      </c>
      <c r="E193" s="142">
        <v>554686</v>
      </c>
      <c r="F193" s="143" t="s">
        <v>259</v>
      </c>
      <c r="G193" s="144">
        <v>1.7385762385762389</v>
      </c>
      <c r="H193" s="145">
        <v>12.078849080094063</v>
      </c>
      <c r="I193" s="146">
        <v>7.8512519020611418</v>
      </c>
      <c r="J193" s="147">
        <v>0.82279721838624498</v>
      </c>
      <c r="K193" s="148">
        <v>152</v>
      </c>
      <c r="M193" s="149">
        <f t="shared" si="16"/>
        <v>0.65</v>
      </c>
      <c r="N193" s="138">
        <f t="shared" si="17"/>
        <v>7.8512519020611418</v>
      </c>
      <c r="O193" s="149"/>
      <c r="V193" s="158">
        <f t="shared" si="18"/>
        <v>110.80488377083537</v>
      </c>
      <c r="W193" s="158">
        <f t="shared" si="19"/>
        <v>38.207126717808407</v>
      </c>
      <c r="X193" s="158">
        <f t="shared" si="20"/>
        <v>24.51324358817218</v>
      </c>
      <c r="Y193" s="158">
        <f t="shared" si="21"/>
        <v>16.800106662491881</v>
      </c>
      <c r="Z193" s="158">
        <f t="shared" si="22"/>
        <v>7.2231947100630123</v>
      </c>
      <c r="AA193" s="158">
        <f t="shared" si="23"/>
        <v>7.1296955337289941E-2</v>
      </c>
    </row>
    <row r="194" spans="1:27" ht="19.5" thickBot="1" x14ac:dyDescent="0.35">
      <c r="A194" s="142">
        <v>110</v>
      </c>
      <c r="B194" s="143" t="s">
        <v>221</v>
      </c>
      <c r="C194" s="142">
        <v>27</v>
      </c>
      <c r="D194" s="143" t="s">
        <v>241</v>
      </c>
      <c r="E194" s="142">
        <v>454696</v>
      </c>
      <c r="F194" s="143" t="s">
        <v>260</v>
      </c>
      <c r="G194" s="144">
        <v>4.5380946795140344</v>
      </c>
      <c r="H194" s="145">
        <v>6.3903470614909006</v>
      </c>
      <c r="I194" s="146">
        <v>4.5118053822077995</v>
      </c>
      <c r="J194" s="147">
        <v>0.89816853747652092</v>
      </c>
      <c r="K194" s="148">
        <v>230</v>
      </c>
      <c r="M194" s="149">
        <f t="shared" si="16"/>
        <v>0.70603448275862069</v>
      </c>
      <c r="N194" s="138">
        <f t="shared" si="17"/>
        <v>4.5118053822077995</v>
      </c>
      <c r="O194" s="149"/>
      <c r="V194" s="158">
        <f t="shared" si="18"/>
        <v>290.66395749042783</v>
      </c>
      <c r="W194" s="158">
        <f t="shared" si="19"/>
        <v>116.20612999515413</v>
      </c>
      <c r="X194" s="158">
        <f t="shared" si="20"/>
        <v>83.298706987229323</v>
      </c>
      <c r="Y194" s="158">
        <f t="shared" si="21"/>
        <v>64.763463394994204</v>
      </c>
      <c r="Z194" s="158">
        <f t="shared" si="22"/>
        <v>41.749429337249204</v>
      </c>
      <c r="AA194" s="158">
        <f t="shared" si="23"/>
        <v>24.562885352888571</v>
      </c>
    </row>
    <row r="195" spans="1:27" ht="19.5" thickBot="1" x14ac:dyDescent="0.35">
      <c r="A195" s="142">
        <v>110</v>
      </c>
      <c r="B195" s="143" t="s">
        <v>221</v>
      </c>
      <c r="C195" s="142">
        <v>31</v>
      </c>
      <c r="D195" s="143" t="s">
        <v>261</v>
      </c>
      <c r="E195" s="142">
        <v>455151</v>
      </c>
      <c r="F195" s="143" t="s">
        <v>262</v>
      </c>
      <c r="G195" s="144">
        <v>9.600868431864221</v>
      </c>
      <c r="H195" s="145">
        <v>16.144372886683055</v>
      </c>
      <c r="I195" s="146">
        <v>10.834957351852935</v>
      </c>
      <c r="J195" s="147">
        <v>0.75545497643366877</v>
      </c>
      <c r="K195" s="148">
        <v>85</v>
      </c>
      <c r="M195" s="149">
        <f t="shared" si="16"/>
        <v>0.67112903225806464</v>
      </c>
      <c r="N195" s="138">
        <f t="shared" si="17"/>
        <v>10.834957351852935</v>
      </c>
      <c r="O195" s="149"/>
      <c r="V195" s="158">
        <f t="shared" si="18"/>
        <v>544.12512877788606</v>
      </c>
      <c r="W195" s="158">
        <f t="shared" si="19"/>
        <v>155.84308046602109</v>
      </c>
      <c r="X195" s="158">
        <f t="shared" si="20"/>
        <v>82.602677363281529</v>
      </c>
      <c r="Y195" s="158">
        <f t="shared" si="21"/>
        <v>41.34971410402396</v>
      </c>
      <c r="Z195" s="158">
        <f t="shared" si="22"/>
        <v>-9.8714687580768672</v>
      </c>
      <c r="AA195" s="158">
        <f t="shared" si="23"/>
        <v>-48.122698854532679</v>
      </c>
    </row>
    <row r="196" spans="1:27" ht="19.5" thickBot="1" x14ac:dyDescent="0.35">
      <c r="A196" s="142">
        <v>110</v>
      </c>
      <c r="B196" s="143" t="s">
        <v>221</v>
      </c>
      <c r="C196" s="142">
        <v>31</v>
      </c>
      <c r="D196" s="143" t="s">
        <v>261</v>
      </c>
      <c r="E196" s="142">
        <v>455231</v>
      </c>
      <c r="F196" s="143" t="s">
        <v>263</v>
      </c>
      <c r="G196" s="144">
        <v>4.5932318577479867</v>
      </c>
      <c r="H196" s="145">
        <v>20.029470065790807</v>
      </c>
      <c r="I196" s="146">
        <v>13.781146251788675</v>
      </c>
      <c r="J196" s="147">
        <v>0.68895948313646271</v>
      </c>
      <c r="K196" s="148">
        <v>46</v>
      </c>
      <c r="M196" s="149">
        <f t="shared" si="16"/>
        <v>0.68804347826086953</v>
      </c>
      <c r="N196" s="138">
        <f t="shared" si="17"/>
        <v>13.781146251788675</v>
      </c>
      <c r="O196" s="149"/>
      <c r="V196" s="158">
        <f t="shared" si="18"/>
        <v>231.56977442750198</v>
      </c>
      <c r="W196" s="158">
        <f t="shared" si="19"/>
        <v>50.375151434424829</v>
      </c>
      <c r="X196" s="158">
        <f t="shared" si="20"/>
        <v>16.196988200355044</v>
      </c>
      <c r="Y196" s="158">
        <f t="shared" si="21"/>
        <v>-3.0540051371085699</v>
      </c>
      <c r="Z196" s="158">
        <f t="shared" si="22"/>
        <v>-26.956740167761847</v>
      </c>
      <c r="AA196" s="158">
        <f t="shared" si="23"/>
        <v>-44.806953038746542</v>
      </c>
    </row>
    <row r="197" spans="1:27" ht="19.5" thickBot="1" x14ac:dyDescent="0.35">
      <c r="A197" s="142">
        <v>110</v>
      </c>
      <c r="B197" s="143" t="s">
        <v>221</v>
      </c>
      <c r="C197" s="142">
        <v>31</v>
      </c>
      <c r="D197" s="143" t="s">
        <v>261</v>
      </c>
      <c r="E197" s="142">
        <v>455298</v>
      </c>
      <c r="F197" s="143" t="s">
        <v>264</v>
      </c>
      <c r="G197" s="144">
        <v>1.9563433722788568</v>
      </c>
      <c r="H197" s="145">
        <v>12.267785062723153</v>
      </c>
      <c r="I197" s="146">
        <v>8.2679759745644592</v>
      </c>
      <c r="J197" s="147">
        <v>0.81339175468005387</v>
      </c>
      <c r="K197" s="148">
        <v>139</v>
      </c>
      <c r="M197" s="149">
        <f t="shared" si="16"/>
        <v>0.67395833333333344</v>
      </c>
      <c r="N197" s="138">
        <f t="shared" si="17"/>
        <v>8.2679759745644592</v>
      </c>
      <c r="O197" s="149"/>
      <c r="V197" s="158">
        <f t="shared" si="18"/>
        <v>118.87690950225694</v>
      </c>
      <c r="W197" s="158">
        <f t="shared" si="19"/>
        <v>40.089856571224459</v>
      </c>
      <c r="X197" s="158">
        <f t="shared" si="20"/>
        <v>25.22850632072057</v>
      </c>
      <c r="Y197" s="158">
        <f t="shared" si="21"/>
        <v>16.857788658134915</v>
      </c>
      <c r="Z197" s="158">
        <f t="shared" si="22"/>
        <v>6.4644004938046997</v>
      </c>
      <c r="AA197" s="158">
        <f t="shared" si="23"/>
        <v>-1.2972297525310406</v>
      </c>
    </row>
    <row r="198" spans="1:27" ht="19.5" thickBot="1" x14ac:dyDescent="0.35">
      <c r="A198" s="142">
        <v>110</v>
      </c>
      <c r="B198" s="143" t="s">
        <v>221</v>
      </c>
      <c r="C198" s="142">
        <v>31</v>
      </c>
      <c r="D198" s="143" t="s">
        <v>261</v>
      </c>
      <c r="E198" s="142">
        <v>555406</v>
      </c>
      <c r="F198" s="143" t="s">
        <v>265</v>
      </c>
      <c r="G198" s="144">
        <v>2.6404956531183768</v>
      </c>
      <c r="H198" s="145">
        <v>7.1956187383082222</v>
      </c>
      <c r="I198" s="146">
        <v>4.6771521799003448</v>
      </c>
      <c r="J198" s="147">
        <v>0.89443665970116204</v>
      </c>
      <c r="K198" s="148">
        <v>227</v>
      </c>
      <c r="M198" s="149">
        <f t="shared" ref="M198:M261" si="24">IF(ISERROR(I198/H198),$O$3,(I198/H198))</f>
        <v>0.65</v>
      </c>
      <c r="N198" s="138">
        <f t="shared" ref="N198:N261" si="25">I198</f>
        <v>4.6771521799003448</v>
      </c>
      <c r="O198" s="149"/>
      <c r="V198" s="158">
        <f t="shared" ref="V198:V261" si="26">(((($O$5-N198))/M198)*G198)+((((($O$5-N198)/$T$2))*$T$3/M198)*G198)</f>
        <v>182.93946129892186</v>
      </c>
      <c r="W198" s="158">
        <f t="shared" ref="W198:W261" si="27">(((($P$5-N198))/M198)*G198)+((((($P$5-N198)/$T$2))*$T$3/M198)*G198)</f>
        <v>72.68024017805547</v>
      </c>
      <c r="X198" s="158">
        <f t="shared" ref="X198:X261" si="28">(((($Q$5-N198))/M198)*G198)+((((($Q$5-N198)/$T$2))*$T$3/M198)*G198)</f>
        <v>51.882395323275503</v>
      </c>
      <c r="Y198" s="158">
        <f t="shared" ref="Y198:Y261" si="29">(((($R$5-N198))/M198)*G198)+((((($R$5-N198)/$T$2))*$T$3/M198)*G198)</f>
        <v>40.167922254873112</v>
      </c>
      <c r="Z198" s="158">
        <f t="shared" ref="Z198:Z261" si="30">(((($S$5-N198))/M198)*G198)+((((($S$5-N198)/$T$2))*$T$3/M198)*G198)</f>
        <v>25.622805498075245</v>
      </c>
      <c r="AA198" s="158">
        <f t="shared" ref="AA198:AA261" si="31">(((($T$5-N198))/M198)*G198)+((((($T$5-N198)/$T$2))*$T$3/M198)*G198)</f>
        <v>14.760725070491951</v>
      </c>
    </row>
    <row r="199" spans="1:27" ht="19.5" thickBot="1" x14ac:dyDescent="0.35">
      <c r="A199" s="142">
        <v>110</v>
      </c>
      <c r="B199" s="143" t="s">
        <v>221</v>
      </c>
      <c r="C199" s="142">
        <v>31</v>
      </c>
      <c r="D199" s="143" t="s">
        <v>261</v>
      </c>
      <c r="E199" s="142">
        <v>554412</v>
      </c>
      <c r="F199" s="143" t="s">
        <v>266</v>
      </c>
      <c r="G199" s="144">
        <v>2.6921407279830221</v>
      </c>
      <c r="H199" s="145">
        <v>8.1719353566195672</v>
      </c>
      <c r="I199" s="146">
        <v>5.1817499193110441</v>
      </c>
      <c r="J199" s="147">
        <v>0.88304788703980919</v>
      </c>
      <c r="K199" s="148">
        <v>216</v>
      </c>
      <c r="M199" s="149">
        <f t="shared" si="24"/>
        <v>0.63409090909090915</v>
      </c>
      <c r="N199" s="138">
        <f t="shared" si="25"/>
        <v>5.1817499193110441</v>
      </c>
      <c r="O199" s="149"/>
      <c r="V199" s="158">
        <f t="shared" si="26"/>
        <v>188.76270481329155</v>
      </c>
      <c r="W199" s="158">
        <f t="shared" si="27"/>
        <v>73.526472206463779</v>
      </c>
      <c r="X199" s="158">
        <f t="shared" si="28"/>
        <v>51.789829565220082</v>
      </c>
      <c r="Y199" s="158">
        <f t="shared" si="29"/>
        <v>39.546574718561587</v>
      </c>
      <c r="Z199" s="158">
        <f t="shared" si="30"/>
        <v>24.344903231671108</v>
      </c>
      <c r="AA199" s="158">
        <f t="shared" si="31"/>
        <v>12.992517335756437</v>
      </c>
    </row>
    <row r="200" spans="1:27" ht="19.5" thickBot="1" x14ac:dyDescent="0.35">
      <c r="A200" s="142">
        <v>110</v>
      </c>
      <c r="B200" s="143" t="s">
        <v>221</v>
      </c>
      <c r="C200" s="142">
        <v>31</v>
      </c>
      <c r="D200" s="143" t="s">
        <v>261</v>
      </c>
      <c r="E200" s="142">
        <v>554413</v>
      </c>
      <c r="F200" s="143" t="s">
        <v>267</v>
      </c>
      <c r="G200" s="144">
        <v>3.8745519713261647</v>
      </c>
      <c r="H200" s="145">
        <v>13.679000925069381</v>
      </c>
      <c r="I200" s="146">
        <v>8.8913506012950982</v>
      </c>
      <c r="J200" s="147">
        <v>0.79932218727576432</v>
      </c>
      <c r="K200" s="148">
        <v>123</v>
      </c>
      <c r="M200" s="149">
        <f t="shared" si="24"/>
        <v>0.65</v>
      </c>
      <c r="N200" s="138">
        <f t="shared" si="25"/>
        <v>8.8913506012950982</v>
      </c>
      <c r="O200" s="149"/>
      <c r="V200" s="158">
        <f t="shared" si="26"/>
        <v>239.89196770931164</v>
      </c>
      <c r="W200" s="158">
        <f t="shared" si="27"/>
        <v>78.102236282858101</v>
      </c>
      <c r="X200" s="158">
        <f t="shared" si="28"/>
        <v>47.584355790891664</v>
      </c>
      <c r="Y200" s="158">
        <f t="shared" si="29"/>
        <v>30.39503201123577</v>
      </c>
      <c r="Z200" s="158">
        <f t="shared" si="30"/>
        <v>9.0521410518565233</v>
      </c>
      <c r="AA200" s="158">
        <f t="shared" si="31"/>
        <v>-6.8864177121746808</v>
      </c>
    </row>
    <row r="201" spans="1:27" ht="19.5" thickBot="1" x14ac:dyDescent="0.35">
      <c r="A201" s="142">
        <v>110</v>
      </c>
      <c r="B201" s="143" t="s">
        <v>221</v>
      </c>
      <c r="C201" s="142">
        <v>31</v>
      </c>
      <c r="D201" s="143" t="s">
        <v>261</v>
      </c>
      <c r="E201" s="142">
        <v>454414</v>
      </c>
      <c r="F201" s="143" t="s">
        <v>268</v>
      </c>
      <c r="G201" s="144">
        <v>3.2393056718394044</v>
      </c>
      <c r="H201" s="145">
        <v>12.03961711271733</v>
      </c>
      <c r="I201" s="146">
        <v>8.2579425067997061</v>
      </c>
      <c r="J201" s="147">
        <v>0.81361821008096635</v>
      </c>
      <c r="K201" s="148">
        <v>140</v>
      </c>
      <c r="M201" s="149">
        <f t="shared" si="24"/>
        <v>0.68589743589743579</v>
      </c>
      <c r="N201" s="138">
        <f t="shared" si="25"/>
        <v>8.2579425067997061</v>
      </c>
      <c r="O201" s="149"/>
      <c r="V201" s="158">
        <f t="shared" si="26"/>
        <v>193.4635340749542</v>
      </c>
      <c r="W201" s="158">
        <f t="shared" si="27"/>
        <v>65.279016826048718</v>
      </c>
      <c r="X201" s="158">
        <f t="shared" si="28"/>
        <v>41.099980592832715</v>
      </c>
      <c r="Y201" s="158">
        <f t="shared" si="29"/>
        <v>27.481037344064507</v>
      </c>
      <c r="Z201" s="158">
        <f t="shared" si="30"/>
        <v>10.571260992975677</v>
      </c>
      <c r="AA201" s="158">
        <f t="shared" si="31"/>
        <v>-2.0567126293144007</v>
      </c>
    </row>
    <row r="202" spans="1:27" ht="19.5" thickBot="1" x14ac:dyDescent="0.35">
      <c r="A202" s="142">
        <v>110</v>
      </c>
      <c r="B202" s="143" t="s">
        <v>221</v>
      </c>
      <c r="C202" s="142">
        <v>31</v>
      </c>
      <c r="D202" s="143" t="s">
        <v>261</v>
      </c>
      <c r="E202" s="142">
        <v>455456</v>
      </c>
      <c r="F202" s="143" t="s">
        <v>269</v>
      </c>
      <c r="G202" s="144">
        <v>1.6022852177690901</v>
      </c>
      <c r="H202" s="145">
        <v>2.4964344397867695</v>
      </c>
      <c r="I202" s="146">
        <v>1.4042443723800577</v>
      </c>
      <c r="J202" s="147">
        <v>0.9683061998321717</v>
      </c>
      <c r="K202" s="148">
        <v>275</v>
      </c>
      <c r="M202" s="149">
        <f t="shared" si="24"/>
        <v>0.5625</v>
      </c>
      <c r="N202" s="138">
        <f t="shared" si="25"/>
        <v>1.4042443723800577</v>
      </c>
      <c r="O202" s="149"/>
      <c r="V202" s="158">
        <f t="shared" si="26"/>
        <v>138.87232815605108</v>
      </c>
      <c r="W202" s="158">
        <f t="shared" si="27"/>
        <v>61.557976329424335</v>
      </c>
      <c r="X202" s="158">
        <f t="shared" si="28"/>
        <v>46.974416986343208</v>
      </c>
      <c r="Y202" s="158">
        <f t="shared" si="29"/>
        <v>38.760166213782611</v>
      </c>
      <c r="Z202" s="158">
        <f t="shared" si="30"/>
        <v>28.561053043359387</v>
      </c>
      <c r="AA202" s="158">
        <f t="shared" si="31"/>
        <v>20.944504520613101</v>
      </c>
    </row>
    <row r="203" spans="1:27" ht="19.5" thickBot="1" x14ac:dyDescent="0.35">
      <c r="A203" s="142">
        <v>110</v>
      </c>
      <c r="B203" s="143" t="s">
        <v>221</v>
      </c>
      <c r="C203" s="142">
        <v>31</v>
      </c>
      <c r="D203" s="143" t="s">
        <v>261</v>
      </c>
      <c r="E203" s="142">
        <v>455566</v>
      </c>
      <c r="F203" s="143" t="s">
        <v>270</v>
      </c>
      <c r="G203" s="144">
        <v>2.8902111342504053</v>
      </c>
      <c r="H203" s="145">
        <v>20.067738066839421</v>
      </c>
      <c r="I203" s="146">
        <v>13.286226582183341</v>
      </c>
      <c r="J203" s="147">
        <v>0.70012982173003191</v>
      </c>
      <c r="K203" s="148">
        <v>51</v>
      </c>
      <c r="M203" s="149">
        <f t="shared" si="24"/>
        <v>0.66206896551724137</v>
      </c>
      <c r="N203" s="138">
        <f t="shared" si="25"/>
        <v>13.286226582183341</v>
      </c>
      <c r="O203" s="149"/>
      <c r="V203" s="158">
        <f t="shared" si="26"/>
        <v>153.88299141579455</v>
      </c>
      <c r="W203" s="158">
        <f t="shared" si="27"/>
        <v>35.396412823649619</v>
      </c>
      <c r="X203" s="158">
        <f t="shared" si="28"/>
        <v>13.046667796593871</v>
      </c>
      <c r="Y203" s="158">
        <f t="shared" si="29"/>
        <v>0.45808046779996631</v>
      </c>
      <c r="Z203" s="158">
        <f t="shared" si="30"/>
        <v>-15.172368416353301</v>
      </c>
      <c r="AA203" s="158">
        <f t="shared" si="31"/>
        <v>-26.844959000375503</v>
      </c>
    </row>
    <row r="204" spans="1:27" ht="19.5" thickBot="1" x14ac:dyDescent="0.35">
      <c r="A204" s="142">
        <v>110</v>
      </c>
      <c r="B204" s="143" t="s">
        <v>221</v>
      </c>
      <c r="C204" s="142">
        <v>31</v>
      </c>
      <c r="D204" s="143" t="s">
        <v>261</v>
      </c>
      <c r="E204" s="142">
        <v>555624</v>
      </c>
      <c r="F204" s="143" t="s">
        <v>271</v>
      </c>
      <c r="G204" s="144">
        <v>2.6579356498262534</v>
      </c>
      <c r="H204" s="145">
        <v>18.811591621214927</v>
      </c>
      <c r="I204" s="146">
        <v>12.095853412441198</v>
      </c>
      <c r="J204" s="147">
        <v>0.72699654814105341</v>
      </c>
      <c r="K204" s="148">
        <v>63</v>
      </c>
      <c r="M204" s="149">
        <f t="shared" si="24"/>
        <v>0.64300000000000002</v>
      </c>
      <c r="N204" s="138">
        <f t="shared" si="25"/>
        <v>12.095853412441198</v>
      </c>
      <c r="O204" s="149"/>
      <c r="V204" s="158">
        <f t="shared" si="26"/>
        <v>151.30439476937809</v>
      </c>
      <c r="W204" s="158">
        <f t="shared" si="27"/>
        <v>39.108669760545169</v>
      </c>
      <c r="X204" s="158">
        <f t="shared" si="28"/>
        <v>17.945548360065171</v>
      </c>
      <c r="Y204" s="158">
        <f t="shared" si="29"/>
        <v>6.0253317501083483</v>
      </c>
      <c r="Z204" s="158">
        <f t="shared" si="30"/>
        <v>-8.7752436872799624</v>
      </c>
      <c r="AA204" s="158">
        <f t="shared" si="31"/>
        <v>-19.82809692067115</v>
      </c>
    </row>
    <row r="205" spans="1:27" ht="19.5" thickBot="1" x14ac:dyDescent="0.35">
      <c r="A205" s="142">
        <v>110</v>
      </c>
      <c r="B205" s="143" t="s">
        <v>221</v>
      </c>
      <c r="C205" s="142">
        <v>31</v>
      </c>
      <c r="D205" s="143" t="s">
        <v>261</v>
      </c>
      <c r="E205" s="142">
        <v>455676</v>
      </c>
      <c r="F205" s="143" t="s">
        <v>272</v>
      </c>
      <c r="G205" s="144">
        <v>1.9523576781641299</v>
      </c>
      <c r="H205" s="145">
        <v>1.5366036836144721</v>
      </c>
      <c r="I205" s="146">
        <v>0.8195219645943852</v>
      </c>
      <c r="J205" s="147">
        <v>0.98150338652596658</v>
      </c>
      <c r="K205" s="148">
        <v>279</v>
      </c>
      <c r="M205" s="149">
        <f t="shared" si="24"/>
        <v>0.53333333333333344</v>
      </c>
      <c r="N205" s="138">
        <f t="shared" si="25"/>
        <v>0.8195219645943852</v>
      </c>
      <c r="O205" s="149"/>
      <c r="V205" s="158">
        <f t="shared" si="26"/>
        <v>180.89983212034844</v>
      </c>
      <c r="W205" s="158">
        <f t="shared" si="27"/>
        <v>81.541686627731281</v>
      </c>
      <c r="X205" s="158">
        <f t="shared" si="28"/>
        <v>62.800076864781168</v>
      </c>
      <c r="Y205" s="158">
        <f t="shared" si="29"/>
        <v>52.243786808788769</v>
      </c>
      <c r="Z205" s="158">
        <f t="shared" si="30"/>
        <v>39.136712296219685</v>
      </c>
      <c r="AA205" s="158">
        <f t="shared" si="31"/>
        <v>29.348540780902439</v>
      </c>
    </row>
    <row r="206" spans="1:27" ht="19.5" thickBot="1" x14ac:dyDescent="0.35">
      <c r="A206" s="142">
        <v>110</v>
      </c>
      <c r="B206" s="143" t="s">
        <v>221</v>
      </c>
      <c r="C206" s="142">
        <v>31</v>
      </c>
      <c r="D206" s="143" t="s">
        <v>261</v>
      </c>
      <c r="E206" s="142">
        <v>455678</v>
      </c>
      <c r="F206" s="143" t="s">
        <v>273</v>
      </c>
      <c r="G206" s="144">
        <v>9.0627591209834257</v>
      </c>
      <c r="H206" s="145">
        <v>6.5101586848308228</v>
      </c>
      <c r="I206" s="146">
        <v>4.2178104360620035</v>
      </c>
      <c r="J206" s="147">
        <v>0.90480400439151631</v>
      </c>
      <c r="K206" s="148">
        <v>232</v>
      </c>
      <c r="M206" s="149">
        <f t="shared" si="24"/>
        <v>0.64788135593220342</v>
      </c>
      <c r="N206" s="138">
        <f t="shared" si="25"/>
        <v>4.2178104360620035</v>
      </c>
      <c r="O206" s="149"/>
      <c r="V206" s="158">
        <f t="shared" si="26"/>
        <v>637.24314621875192</v>
      </c>
      <c r="W206" s="158">
        <f t="shared" si="27"/>
        <v>257.57184157798588</v>
      </c>
      <c r="X206" s="158">
        <f t="shared" si="28"/>
        <v>185.95565556235485</v>
      </c>
      <c r="Y206" s="158">
        <f t="shared" si="29"/>
        <v>145.61753936811903</v>
      </c>
      <c r="Z206" s="158">
        <f t="shared" si="30"/>
        <v>95.532263968321942</v>
      </c>
      <c r="AA206" s="158">
        <f t="shared" si="31"/>
        <v>58.129312948626996</v>
      </c>
    </row>
    <row r="207" spans="1:27" ht="19.5" thickBot="1" x14ac:dyDescent="0.35">
      <c r="A207" s="142">
        <v>110</v>
      </c>
      <c r="B207" s="143" t="s">
        <v>221</v>
      </c>
      <c r="C207" s="142">
        <v>31</v>
      </c>
      <c r="D207" s="143" t="s">
        <v>261</v>
      </c>
      <c r="E207" s="142">
        <v>555679</v>
      </c>
      <c r="F207" s="143" t="s">
        <v>274</v>
      </c>
      <c r="G207" s="144">
        <v>3.757448525190461</v>
      </c>
      <c r="H207" s="145">
        <v>12.774626100185079</v>
      </c>
      <c r="I207" s="146">
        <v>9.0753072920064852</v>
      </c>
      <c r="J207" s="147">
        <v>0.79517028415290558</v>
      </c>
      <c r="K207" s="148">
        <v>118</v>
      </c>
      <c r="M207" s="149">
        <f t="shared" si="24"/>
        <v>0.71041666666666681</v>
      </c>
      <c r="N207" s="138">
        <f t="shared" si="25"/>
        <v>9.0753072920064852</v>
      </c>
      <c r="O207" s="149"/>
      <c r="V207" s="158">
        <f t="shared" si="26"/>
        <v>211.75113391523914</v>
      </c>
      <c r="W207" s="158">
        <f t="shared" si="27"/>
        <v>68.194681272742912</v>
      </c>
      <c r="X207" s="158">
        <f t="shared" si="28"/>
        <v>41.11608594430038</v>
      </c>
      <c r="Y207" s="158">
        <f t="shared" si="29"/>
        <v>25.86395391234602</v>
      </c>
      <c r="Z207" s="158">
        <f t="shared" si="30"/>
        <v>6.9263508379699363</v>
      </c>
      <c r="AA207" s="158">
        <f t="shared" si="31"/>
        <v>-7.2159741181624382</v>
      </c>
    </row>
    <row r="208" spans="1:27" ht="19.5" thickBot="1" x14ac:dyDescent="0.35">
      <c r="A208" s="142">
        <v>110</v>
      </c>
      <c r="B208" s="143" t="s">
        <v>221</v>
      </c>
      <c r="C208" s="142">
        <v>31</v>
      </c>
      <c r="D208" s="143" t="s">
        <v>261</v>
      </c>
      <c r="E208" s="142">
        <v>554700</v>
      </c>
      <c r="F208" s="143" t="s">
        <v>275</v>
      </c>
      <c r="G208" s="144">
        <v>2.6247581669761875</v>
      </c>
      <c r="H208" s="145">
        <v>20.192336447154613</v>
      </c>
      <c r="I208" s="146">
        <v>13.125018690650499</v>
      </c>
      <c r="J208" s="147">
        <v>0.70376828437956274</v>
      </c>
      <c r="K208" s="148">
        <v>54</v>
      </c>
      <c r="M208" s="149">
        <f t="shared" si="24"/>
        <v>0.65</v>
      </c>
      <c r="N208" s="138">
        <f t="shared" si="25"/>
        <v>13.125018690650499</v>
      </c>
      <c r="O208" s="149"/>
      <c r="V208" s="158">
        <f t="shared" si="26"/>
        <v>143.08408642659367</v>
      </c>
      <c r="W208" s="158">
        <f t="shared" si="27"/>
        <v>33.48201577760517</v>
      </c>
      <c r="X208" s="158">
        <f t="shared" si="28"/>
        <v>12.808127118247434</v>
      </c>
      <c r="Y208" s="158">
        <f t="shared" si="29"/>
        <v>1.163472895166499</v>
      </c>
      <c r="Z208" s="158">
        <f t="shared" si="30"/>
        <v>-13.294954238368289</v>
      </c>
      <c r="AA208" s="158">
        <f t="shared" si="31"/>
        <v>-24.092296123397059</v>
      </c>
    </row>
    <row r="209" spans="1:27" ht="19.5" thickBot="1" x14ac:dyDescent="0.35">
      <c r="A209" s="142">
        <v>160</v>
      </c>
      <c r="B209" s="143" t="s">
        <v>276</v>
      </c>
      <c r="C209" s="142">
        <v>45</v>
      </c>
      <c r="D209" s="143" t="s">
        <v>277</v>
      </c>
      <c r="E209" s="142">
        <v>557105</v>
      </c>
      <c r="F209" s="143" t="s">
        <v>278</v>
      </c>
      <c r="G209" s="144">
        <v>3.8480691393992146</v>
      </c>
      <c r="H209" s="145">
        <v>15.852106027784032</v>
      </c>
      <c r="I209" s="146">
        <v>10.940551865077175</v>
      </c>
      <c r="J209" s="147">
        <v>0.75307170791803579</v>
      </c>
      <c r="K209" s="148">
        <v>82</v>
      </c>
      <c r="M209" s="149">
        <f t="shared" si="24"/>
        <v>0.69016393442622948</v>
      </c>
      <c r="N209" s="138">
        <f t="shared" si="25"/>
        <v>10.940551865077175</v>
      </c>
      <c r="O209" s="149"/>
      <c r="V209" s="158">
        <f t="shared" si="26"/>
        <v>211.403728310985</v>
      </c>
      <c r="W209" s="158">
        <f t="shared" si="27"/>
        <v>60.070803506666081</v>
      </c>
      <c r="X209" s="158">
        <f t="shared" si="28"/>
        <v>31.5253570623263</v>
      </c>
      <c r="Y209" s="158">
        <f t="shared" si="29"/>
        <v>15.447015006568208</v>
      </c>
      <c r="Z209" s="158">
        <f t="shared" si="30"/>
        <v>-4.5164405488961332</v>
      </c>
      <c r="AA209" s="158">
        <f t="shared" si="31"/>
        <v>-19.424857131705117</v>
      </c>
    </row>
    <row r="210" spans="1:27" ht="19.5" thickBot="1" x14ac:dyDescent="0.35">
      <c r="A210" s="142">
        <v>160</v>
      </c>
      <c r="B210" s="143" t="s">
        <v>276</v>
      </c>
      <c r="C210" s="142">
        <v>45</v>
      </c>
      <c r="D210" s="143" t="s">
        <v>277</v>
      </c>
      <c r="E210" s="142">
        <v>557178</v>
      </c>
      <c r="F210" s="143" t="s">
        <v>279</v>
      </c>
      <c r="G210" s="144">
        <v>2.9895671015622725</v>
      </c>
      <c r="H210" s="145">
        <v>2.3414761275443445</v>
      </c>
      <c r="I210" s="146">
        <v>2.2244023211671275</v>
      </c>
      <c r="J210" s="147">
        <v>0.94979523219278839</v>
      </c>
      <c r="K210" s="148">
        <v>268</v>
      </c>
      <c r="M210" s="149">
        <f t="shared" si="24"/>
        <v>0.95000000000000007</v>
      </c>
      <c r="N210" s="138">
        <f t="shared" si="25"/>
        <v>2.2244023211671275</v>
      </c>
      <c r="O210" s="149"/>
      <c r="V210" s="158">
        <f t="shared" si="26"/>
        <v>150.48748708489853</v>
      </c>
      <c r="W210" s="158">
        <f t="shared" si="27"/>
        <v>65.073790002606273</v>
      </c>
      <c r="X210" s="158">
        <f t="shared" si="28"/>
        <v>48.962477022775111</v>
      </c>
      <c r="Y210" s="158">
        <f t="shared" si="29"/>
        <v>39.887712626912403</v>
      </c>
      <c r="Z210" s="158">
        <f t="shared" si="30"/>
        <v>28.620154375890138</v>
      </c>
      <c r="AA210" s="158">
        <f t="shared" si="31"/>
        <v>20.205706696198373</v>
      </c>
    </row>
    <row r="211" spans="1:27" ht="19.5" thickBot="1" x14ac:dyDescent="0.35">
      <c r="A211" s="142">
        <v>160</v>
      </c>
      <c r="B211" s="143" t="s">
        <v>276</v>
      </c>
      <c r="C211" s="142">
        <v>45</v>
      </c>
      <c r="D211" s="143" t="s">
        <v>277</v>
      </c>
      <c r="E211" s="142">
        <v>557224</v>
      </c>
      <c r="F211" s="143" t="s">
        <v>280</v>
      </c>
      <c r="G211" s="144">
        <v>3.3355971104975688</v>
      </c>
      <c r="H211" s="145">
        <v>3.897353178262227</v>
      </c>
      <c r="I211" s="146">
        <v>2.8480657841147043</v>
      </c>
      <c r="J211" s="147">
        <v>0.9357191457541193</v>
      </c>
      <c r="K211" s="148">
        <v>262</v>
      </c>
      <c r="M211" s="149">
        <f t="shared" si="24"/>
        <v>0.73076923076923073</v>
      </c>
      <c r="N211" s="138">
        <f t="shared" si="25"/>
        <v>2.8480657841147043</v>
      </c>
      <c r="O211" s="149"/>
      <c r="V211" s="158">
        <f t="shared" si="26"/>
        <v>215.04262670841482</v>
      </c>
      <c r="W211" s="158">
        <f t="shared" si="27"/>
        <v>91.152654362103689</v>
      </c>
      <c r="X211" s="158">
        <f t="shared" si="28"/>
        <v>67.783684422645877</v>
      </c>
      <c r="Y211" s="158">
        <f t="shared" si="29"/>
        <v>54.621014400652399</v>
      </c>
      <c r="Z211" s="158">
        <f t="shared" si="30"/>
        <v>38.277763519184589</v>
      </c>
      <c r="AA211" s="158">
        <f t="shared" si="31"/>
        <v>26.072862830456341</v>
      </c>
    </row>
    <row r="212" spans="1:27" ht="19.5" thickBot="1" x14ac:dyDescent="0.35">
      <c r="A212" s="142">
        <v>160</v>
      </c>
      <c r="B212" s="143" t="s">
        <v>276</v>
      </c>
      <c r="C212" s="142">
        <v>45</v>
      </c>
      <c r="D212" s="143" t="s">
        <v>277</v>
      </c>
      <c r="E212" s="142">
        <v>557432</v>
      </c>
      <c r="F212" s="143" t="s">
        <v>281</v>
      </c>
      <c r="G212" s="144">
        <v>3.7485562538819845</v>
      </c>
      <c r="H212" s="145">
        <v>8.0030811779687614</v>
      </c>
      <c r="I212" s="146">
        <v>5.202002765679695</v>
      </c>
      <c r="J212" s="147">
        <v>0.8825907802297247</v>
      </c>
      <c r="K212" s="148">
        <v>215</v>
      </c>
      <c r="M212" s="149">
        <f t="shared" si="24"/>
        <v>0.65</v>
      </c>
      <c r="N212" s="138">
        <f t="shared" si="25"/>
        <v>5.202002765679695</v>
      </c>
      <c r="O212" s="149"/>
      <c r="V212" s="158">
        <f t="shared" si="26"/>
        <v>256.26881868525612</v>
      </c>
      <c r="W212" s="158">
        <f t="shared" si="27"/>
        <v>99.740292538028683</v>
      </c>
      <c r="X212" s="158">
        <f t="shared" si="28"/>
        <v>70.214816400402327</v>
      </c>
      <c r="Y212" s="158">
        <f t="shared" si="29"/>
        <v>53.584468522483228</v>
      </c>
      <c r="Z212" s="158">
        <f t="shared" si="30"/>
        <v>32.935622417492503</v>
      </c>
      <c r="AA212" s="158">
        <f t="shared" si="31"/>
        <v>17.515366198210234</v>
      </c>
    </row>
    <row r="213" spans="1:27" ht="19.5" thickBot="1" x14ac:dyDescent="0.35">
      <c r="A213" s="142">
        <v>160</v>
      </c>
      <c r="B213" s="143" t="s">
        <v>276</v>
      </c>
      <c r="C213" s="142">
        <v>45</v>
      </c>
      <c r="D213" s="143" t="s">
        <v>277</v>
      </c>
      <c r="E213" s="142">
        <v>557433</v>
      </c>
      <c r="F213" s="143" t="s">
        <v>282</v>
      </c>
      <c r="G213" s="144">
        <v>3.1089604484710822</v>
      </c>
      <c r="H213" s="145">
        <v>1.2866036948032296</v>
      </c>
      <c r="I213" s="146">
        <v>1.133819506045346</v>
      </c>
      <c r="J213" s="147">
        <v>0.97440968996722366</v>
      </c>
      <c r="K213" s="148">
        <v>277</v>
      </c>
      <c r="M213" s="149">
        <f t="shared" si="24"/>
        <v>0.88124999999999998</v>
      </c>
      <c r="N213" s="138">
        <f t="shared" si="25"/>
        <v>1.133819506045346</v>
      </c>
      <c r="O213" s="149"/>
      <c r="V213" s="158">
        <f t="shared" si="26"/>
        <v>173.07859688779072</v>
      </c>
      <c r="W213" s="158">
        <f t="shared" si="27"/>
        <v>77.324164301401282</v>
      </c>
      <c r="X213" s="158">
        <f t="shared" si="28"/>
        <v>59.262311398357951</v>
      </c>
      <c r="Y213" s="158">
        <f t="shared" si="29"/>
        <v>49.0888972357113</v>
      </c>
      <c r="Z213" s="158">
        <f t="shared" si="30"/>
        <v>36.457215388229187</v>
      </c>
      <c r="AA213" s="158">
        <f t="shared" si="31"/>
        <v>27.024060161141069</v>
      </c>
    </row>
    <row r="214" spans="1:27" ht="19.5" thickBot="1" x14ac:dyDescent="0.35">
      <c r="A214" s="142">
        <v>160</v>
      </c>
      <c r="B214" s="143" t="s">
        <v>276</v>
      </c>
      <c r="C214" s="142">
        <v>45</v>
      </c>
      <c r="D214" s="143" t="s">
        <v>277</v>
      </c>
      <c r="E214" s="142">
        <v>557434</v>
      </c>
      <c r="F214" s="143" t="s">
        <v>283</v>
      </c>
      <c r="G214" s="144">
        <v>3.7472367864044478</v>
      </c>
      <c r="H214" s="145">
        <v>16.011798405077908</v>
      </c>
      <c r="I214" s="146">
        <v>11.308332623586272</v>
      </c>
      <c r="J214" s="147">
        <v>0.74477089497192206</v>
      </c>
      <c r="K214" s="148">
        <v>74</v>
      </c>
      <c r="M214" s="149">
        <f t="shared" si="24"/>
        <v>0.70625000000000004</v>
      </c>
      <c r="N214" s="138">
        <f t="shared" si="25"/>
        <v>11.308332623586272</v>
      </c>
      <c r="O214" s="149"/>
      <c r="V214" s="158">
        <f t="shared" si="26"/>
        <v>198.95784903723762</v>
      </c>
      <c r="W214" s="158">
        <f t="shared" si="27"/>
        <v>54.946905420792746</v>
      </c>
      <c r="X214" s="158">
        <f t="shared" si="28"/>
        <v>27.78258091099022</v>
      </c>
      <c r="Y214" s="158">
        <f t="shared" si="29"/>
        <v>12.482161559208729</v>
      </c>
      <c r="Z214" s="158">
        <f t="shared" si="30"/>
        <v>-6.5153968115479408</v>
      </c>
      <c r="AA214" s="158">
        <f t="shared" si="31"/>
        <v>-20.702495505989511</v>
      </c>
    </row>
    <row r="215" spans="1:27" ht="19.5" thickBot="1" x14ac:dyDescent="0.35">
      <c r="A215" s="142">
        <v>160</v>
      </c>
      <c r="B215" s="143" t="s">
        <v>276</v>
      </c>
      <c r="C215" s="142">
        <v>45</v>
      </c>
      <c r="D215" s="143" t="s">
        <v>277</v>
      </c>
      <c r="E215" s="142">
        <v>557436</v>
      </c>
      <c r="F215" s="143" t="s">
        <v>284</v>
      </c>
      <c r="G215" s="144">
        <v>4.8968438782934056</v>
      </c>
      <c r="H215" s="145">
        <v>11.84436372519467</v>
      </c>
      <c r="I215" s="146">
        <v>9.1487499118745035</v>
      </c>
      <c r="J215" s="147">
        <v>0.79351268397755037</v>
      </c>
      <c r="K215" s="148">
        <v>115</v>
      </c>
      <c r="M215" s="149">
        <f t="shared" si="24"/>
        <v>0.77241379310344827</v>
      </c>
      <c r="N215" s="138">
        <f t="shared" si="25"/>
        <v>9.1487499118745035</v>
      </c>
      <c r="O215" s="149"/>
      <c r="V215" s="158">
        <f t="shared" si="26"/>
        <v>253.28286808719508</v>
      </c>
      <c r="W215" s="158">
        <f t="shared" si="27"/>
        <v>81.211323309296333</v>
      </c>
      <c r="X215" s="158">
        <f t="shared" si="28"/>
        <v>48.7540171916514</v>
      </c>
      <c r="Y215" s="158">
        <f t="shared" si="29"/>
        <v>30.472303819765287</v>
      </c>
      <c r="Z215" s="158">
        <f t="shared" si="30"/>
        <v>7.7730621248368017</v>
      </c>
      <c r="AA215" s="158">
        <f t="shared" si="31"/>
        <v>-9.1783995277643413</v>
      </c>
    </row>
    <row r="216" spans="1:27" ht="19.5" thickBot="1" x14ac:dyDescent="0.35">
      <c r="A216" s="142">
        <v>160</v>
      </c>
      <c r="B216" s="143" t="s">
        <v>276</v>
      </c>
      <c r="C216" s="142">
        <v>45</v>
      </c>
      <c r="D216" s="143" t="s">
        <v>277</v>
      </c>
      <c r="E216" s="142">
        <v>557437</v>
      </c>
      <c r="F216" s="143" t="s">
        <v>541</v>
      </c>
      <c r="G216" s="144">
        <v>3.1521611030053944</v>
      </c>
      <c r="H216" s="145">
        <v>8.2483093821602509</v>
      </c>
      <c r="I216" s="146">
        <v>5.4010564319722407</v>
      </c>
      <c r="J216" s="147">
        <v>0.87809813831765005</v>
      </c>
      <c r="K216" s="148">
        <v>210</v>
      </c>
      <c r="M216" s="149">
        <f t="shared" si="24"/>
        <v>0.6548076923076922</v>
      </c>
      <c r="N216" s="138">
        <f t="shared" si="25"/>
        <v>5.4010564319722407</v>
      </c>
      <c r="O216" s="149"/>
      <c r="V216" s="158">
        <f t="shared" si="26"/>
        <v>212.82536848958378</v>
      </c>
      <c r="W216" s="158">
        <f t="shared" si="27"/>
        <v>82.166933170995335</v>
      </c>
      <c r="X216" s="158">
        <f t="shared" si="28"/>
        <v>57.521249670787462</v>
      </c>
      <c r="Y216" s="158">
        <f t="shared" si="29"/>
        <v>43.639465397875199</v>
      </c>
      <c r="Z216" s="158">
        <f t="shared" si="30"/>
        <v>26.40333605059709</v>
      </c>
      <c r="AA216" s="158">
        <f t="shared" si="31"/>
        <v>13.531646784654033</v>
      </c>
    </row>
    <row r="217" spans="1:27" ht="19.5" thickBot="1" x14ac:dyDescent="0.35">
      <c r="A217" s="142">
        <v>160</v>
      </c>
      <c r="B217" s="143" t="s">
        <v>276</v>
      </c>
      <c r="C217" s="142">
        <v>45</v>
      </c>
      <c r="D217" s="143" t="s">
        <v>277</v>
      </c>
      <c r="E217" s="142">
        <v>557440</v>
      </c>
      <c r="F217" s="143" t="s">
        <v>285</v>
      </c>
      <c r="G217" s="144">
        <v>2.875057239081289</v>
      </c>
      <c r="H217" s="145">
        <v>3.4781916213937545</v>
      </c>
      <c r="I217" s="146">
        <v>2.7042939856336443</v>
      </c>
      <c r="J217" s="147">
        <v>0.93896407572532137</v>
      </c>
      <c r="K217" s="148">
        <v>265</v>
      </c>
      <c r="M217" s="149">
        <f t="shared" si="24"/>
        <v>0.77750000000000008</v>
      </c>
      <c r="N217" s="138">
        <f t="shared" si="25"/>
        <v>2.7042939856336443</v>
      </c>
      <c r="O217" s="149"/>
      <c r="V217" s="158">
        <f t="shared" si="26"/>
        <v>174.81583906294773</v>
      </c>
      <c r="W217" s="158">
        <f t="shared" si="27"/>
        <v>74.449307138614614</v>
      </c>
      <c r="X217" s="158">
        <f t="shared" si="28"/>
        <v>55.517488662531051</v>
      </c>
      <c r="Y217" s="158">
        <f t="shared" si="29"/>
        <v>44.854062753620461</v>
      </c>
      <c r="Z217" s="158">
        <f t="shared" si="30"/>
        <v>31.613964460943215</v>
      </c>
      <c r="AA217" s="158">
        <f t="shared" si="31"/>
        <v>21.726452732516936</v>
      </c>
    </row>
    <row r="218" spans="1:27" ht="19.5" thickBot="1" x14ac:dyDescent="0.35">
      <c r="A218" s="142">
        <v>160</v>
      </c>
      <c r="B218" s="143" t="s">
        <v>276</v>
      </c>
      <c r="C218" s="142">
        <v>45</v>
      </c>
      <c r="D218" s="143" t="s">
        <v>277</v>
      </c>
      <c r="E218" s="142">
        <v>557441</v>
      </c>
      <c r="F218" s="143" t="s">
        <v>286</v>
      </c>
      <c r="G218" s="144">
        <v>2.5461804329391748</v>
      </c>
      <c r="H218" s="145">
        <v>13.746080029213745</v>
      </c>
      <c r="I218" s="146">
        <v>8.934952018988934</v>
      </c>
      <c r="J218" s="147">
        <v>0.79833810313300202</v>
      </c>
      <c r="K218" s="148">
        <v>120</v>
      </c>
      <c r="M218" s="149">
        <f t="shared" si="24"/>
        <v>0.65</v>
      </c>
      <c r="N218" s="138">
        <f t="shared" si="25"/>
        <v>8.934952018988934</v>
      </c>
      <c r="O218" s="149"/>
      <c r="V218" s="158">
        <f t="shared" si="26"/>
        <v>157.45207270502246</v>
      </c>
      <c r="W218" s="158">
        <f t="shared" si="27"/>
        <v>51.131173809576396</v>
      </c>
      <c r="X218" s="158">
        <f t="shared" si="28"/>
        <v>31.076202102273463</v>
      </c>
      <c r="Y218" s="158">
        <f t="shared" si="29"/>
        <v>19.780155440074356</v>
      </c>
      <c r="Z218" s="158">
        <f t="shared" si="30"/>
        <v>5.7545721609512173</v>
      </c>
      <c r="AA218" s="158">
        <f t="shared" si="31"/>
        <v>-4.7195282652554988</v>
      </c>
    </row>
    <row r="219" spans="1:27" ht="19.5" thickBot="1" x14ac:dyDescent="0.35">
      <c r="A219" s="142">
        <v>160</v>
      </c>
      <c r="B219" s="143" t="s">
        <v>276</v>
      </c>
      <c r="C219" s="142">
        <v>45</v>
      </c>
      <c r="D219" s="143" t="s">
        <v>277</v>
      </c>
      <c r="E219" s="142">
        <v>557439</v>
      </c>
      <c r="F219" s="143" t="s">
        <v>287</v>
      </c>
      <c r="G219" s="144">
        <v>3.7911894120016649</v>
      </c>
      <c r="H219" s="145">
        <v>2.6376946423049379</v>
      </c>
      <c r="I219" s="146">
        <v>2.8487102136893334</v>
      </c>
      <c r="J219" s="147">
        <v>0.93570460097647079</v>
      </c>
      <c r="K219" s="148">
        <v>261</v>
      </c>
      <c r="M219" s="149">
        <f t="shared" si="24"/>
        <v>1.0800000000000003</v>
      </c>
      <c r="N219" s="138">
        <f t="shared" si="25"/>
        <v>2.8487102136893334</v>
      </c>
      <c r="O219" s="149"/>
      <c r="V219" s="158">
        <f t="shared" si="26"/>
        <v>165.37741410371939</v>
      </c>
      <c r="W219" s="158">
        <f t="shared" si="27"/>
        <v>70.098993947964971</v>
      </c>
      <c r="X219" s="158">
        <f t="shared" si="28"/>
        <v>52.126929749944729</v>
      </c>
      <c r="Y219" s="158">
        <f t="shared" si="29"/>
        <v>42.004089450800933</v>
      </c>
      <c r="Z219" s="158">
        <f t="shared" si="30"/>
        <v>29.435201955672213</v>
      </c>
      <c r="AA219" s="158">
        <f t="shared" si="31"/>
        <v>20.048940632363987</v>
      </c>
    </row>
    <row r="220" spans="1:27" ht="19.5" thickBot="1" x14ac:dyDescent="0.35">
      <c r="A220" s="142">
        <v>160</v>
      </c>
      <c r="B220" s="143" t="s">
        <v>276</v>
      </c>
      <c r="C220" s="142">
        <v>45</v>
      </c>
      <c r="D220" s="143" t="s">
        <v>277</v>
      </c>
      <c r="E220" s="142">
        <v>457443</v>
      </c>
      <c r="F220" s="143" t="s">
        <v>288</v>
      </c>
      <c r="G220" s="144">
        <v>4.0983728111111111</v>
      </c>
      <c r="H220" s="145">
        <v>13.907958750230611</v>
      </c>
      <c r="I220" s="146">
        <v>9.5525716679215495</v>
      </c>
      <c r="J220" s="147">
        <v>0.78439842559680706</v>
      </c>
      <c r="K220" s="148">
        <v>107</v>
      </c>
      <c r="M220" s="149">
        <f t="shared" si="24"/>
        <v>0.68684210526315781</v>
      </c>
      <c r="N220" s="138">
        <f t="shared" si="25"/>
        <v>9.5525716679215495</v>
      </c>
      <c r="O220" s="149"/>
      <c r="V220" s="158">
        <f t="shared" si="26"/>
        <v>235.65516826572022</v>
      </c>
      <c r="W220" s="158">
        <f t="shared" si="27"/>
        <v>73.69904555438535</v>
      </c>
      <c r="X220" s="158">
        <f t="shared" si="28"/>
        <v>43.149779205590193</v>
      </c>
      <c r="Y220" s="158">
        <f t="shared" si="29"/>
        <v>25.942777210854022</v>
      </c>
      <c r="Z220" s="158">
        <f t="shared" si="30"/>
        <v>4.57793633525635</v>
      </c>
      <c r="AA220" s="158">
        <f t="shared" si="31"/>
        <v>-11.377014305122755</v>
      </c>
    </row>
    <row r="221" spans="1:27" ht="19.5" thickBot="1" x14ac:dyDescent="0.35">
      <c r="A221" s="142">
        <v>160</v>
      </c>
      <c r="B221" s="143" t="s">
        <v>276</v>
      </c>
      <c r="C221" s="142">
        <v>45</v>
      </c>
      <c r="D221" s="143" t="s">
        <v>277</v>
      </c>
      <c r="E221" s="142">
        <v>557444</v>
      </c>
      <c r="F221" s="143" t="s">
        <v>542</v>
      </c>
      <c r="G221" s="144">
        <v>6.0225891789421091</v>
      </c>
      <c r="H221" s="145">
        <v>21.253317501308249</v>
      </c>
      <c r="I221" s="146">
        <v>13.872770915893</v>
      </c>
      <c r="J221" s="147">
        <v>0.68689151416205629</v>
      </c>
      <c r="K221" s="148">
        <v>43</v>
      </c>
      <c r="M221" s="149">
        <f t="shared" si="24"/>
        <v>0.65273437499999987</v>
      </c>
      <c r="N221" s="138">
        <f t="shared" si="25"/>
        <v>13.872770915893</v>
      </c>
      <c r="O221" s="149"/>
      <c r="V221" s="158">
        <f t="shared" si="26"/>
        <v>319.09544930295448</v>
      </c>
      <c r="W221" s="158">
        <f t="shared" si="27"/>
        <v>68.663591696485469</v>
      </c>
      <c r="X221" s="158">
        <f t="shared" si="28"/>
        <v>21.425429951408521</v>
      </c>
      <c r="Y221" s="158">
        <f t="shared" si="29"/>
        <v>-5.1816621500771136</v>
      </c>
      <c r="Z221" s="158">
        <f t="shared" si="30"/>
        <v>-38.217997537526358</v>
      </c>
      <c r="AA221" s="158">
        <f t="shared" si="31"/>
        <v>-62.889049548393125</v>
      </c>
    </row>
    <row r="222" spans="1:27" ht="19.5" thickBot="1" x14ac:dyDescent="0.35">
      <c r="A222" s="142">
        <v>160</v>
      </c>
      <c r="B222" s="143" t="s">
        <v>276</v>
      </c>
      <c r="C222" s="142">
        <v>45</v>
      </c>
      <c r="D222" s="143" t="s">
        <v>277</v>
      </c>
      <c r="E222" s="142">
        <v>557445</v>
      </c>
      <c r="F222" s="143" t="s">
        <v>289</v>
      </c>
      <c r="G222" s="144">
        <v>3.0671238161600978</v>
      </c>
      <c r="H222" s="145">
        <v>10.107188968592281</v>
      </c>
      <c r="I222" s="146">
        <v>7.4010706318401542</v>
      </c>
      <c r="J222" s="147">
        <v>0.83295781115650491</v>
      </c>
      <c r="K222" s="148">
        <v>165</v>
      </c>
      <c r="M222" s="149">
        <f t="shared" si="24"/>
        <v>0.73225806451612907</v>
      </c>
      <c r="N222" s="138">
        <f t="shared" si="25"/>
        <v>7.4010706318401542</v>
      </c>
      <c r="O222" s="149"/>
      <c r="V222" s="158">
        <f t="shared" si="26"/>
        <v>175.6612038376376</v>
      </c>
      <c r="W222" s="158">
        <f t="shared" si="27"/>
        <v>61.974424093903366</v>
      </c>
      <c r="X222" s="158">
        <f t="shared" si="28"/>
        <v>40.53004979927794</v>
      </c>
      <c r="Y222" s="158">
        <f t="shared" si="29"/>
        <v>28.45141632080027</v>
      </c>
      <c r="Z222" s="158">
        <f t="shared" si="30"/>
        <v>13.454144725127454</v>
      </c>
      <c r="AA222" s="158">
        <f t="shared" si="31"/>
        <v>2.2544016780065586</v>
      </c>
    </row>
    <row r="223" spans="1:27" ht="19.5" thickBot="1" x14ac:dyDescent="0.35">
      <c r="A223" s="142">
        <v>160</v>
      </c>
      <c r="B223" s="143" t="s">
        <v>276</v>
      </c>
      <c r="C223" s="142">
        <v>45</v>
      </c>
      <c r="D223" s="143" t="s">
        <v>277</v>
      </c>
      <c r="E223" s="142">
        <v>457446</v>
      </c>
      <c r="F223" s="143" t="s">
        <v>290</v>
      </c>
      <c r="G223" s="144">
        <v>7.3002462539154163</v>
      </c>
      <c r="H223" s="145">
        <v>7.2600290670433161</v>
      </c>
      <c r="I223" s="146">
        <v>5.3388609978870418</v>
      </c>
      <c r="J223" s="147">
        <v>0.87950188947237729</v>
      </c>
      <c r="K223" s="148">
        <v>212</v>
      </c>
      <c r="M223" s="149">
        <f t="shared" si="24"/>
        <v>0.73537735849056596</v>
      </c>
      <c r="N223" s="138">
        <f t="shared" si="25"/>
        <v>5.3388609978870418</v>
      </c>
      <c r="O223" s="149"/>
      <c r="V223" s="158">
        <f t="shared" si="26"/>
        <v>439.5919565001131</v>
      </c>
      <c r="W223" s="158">
        <f t="shared" si="27"/>
        <v>170.14698942355935</v>
      </c>
      <c r="X223" s="158">
        <f t="shared" si="28"/>
        <v>119.32244554240424</v>
      </c>
      <c r="Y223" s="158">
        <f t="shared" si="29"/>
        <v>90.695308708426438</v>
      </c>
      <c r="Z223" s="158">
        <f t="shared" si="30"/>
        <v>55.150812150048836</v>
      </c>
      <c r="AA223" s="158">
        <f t="shared" si="31"/>
        <v>28.606702066187744</v>
      </c>
    </row>
    <row r="224" spans="1:27" ht="19.5" thickBot="1" x14ac:dyDescent="0.35">
      <c r="A224" s="142">
        <v>160</v>
      </c>
      <c r="B224" s="143" t="s">
        <v>276</v>
      </c>
      <c r="C224" s="142">
        <v>45</v>
      </c>
      <c r="D224" s="143" t="s">
        <v>277</v>
      </c>
      <c r="E224" s="142">
        <v>557447</v>
      </c>
      <c r="F224" s="143" t="s">
        <v>291</v>
      </c>
      <c r="G224" s="144">
        <v>2.9612506945259045</v>
      </c>
      <c r="H224" s="145">
        <v>4.72773211193502</v>
      </c>
      <c r="I224" s="146">
        <v>3.3094124783545142</v>
      </c>
      <c r="J224" s="147">
        <v>0.92530654932651724</v>
      </c>
      <c r="K224" s="148">
        <v>252</v>
      </c>
      <c r="M224" s="149">
        <f t="shared" si="24"/>
        <v>0.70000000000000007</v>
      </c>
      <c r="N224" s="138">
        <f t="shared" si="25"/>
        <v>3.3094124783545142</v>
      </c>
      <c r="O224" s="149"/>
      <c r="V224" s="158">
        <f t="shared" si="26"/>
        <v>197.08268769592249</v>
      </c>
      <c r="W224" s="158">
        <f t="shared" si="27"/>
        <v>82.262049717434763</v>
      </c>
      <c r="X224" s="158">
        <f t="shared" si="28"/>
        <v>60.603799364063477</v>
      </c>
      <c r="Y224" s="158">
        <f t="shared" si="29"/>
        <v>48.404699301300354</v>
      </c>
      <c r="Z224" s="158">
        <f t="shared" si="30"/>
        <v>33.257852003545736</v>
      </c>
      <c r="AA224" s="158">
        <f t="shared" si="31"/>
        <v>21.946408010107888</v>
      </c>
    </row>
    <row r="225" spans="1:27" ht="19.5" thickBot="1" x14ac:dyDescent="0.35">
      <c r="A225" s="142">
        <v>160</v>
      </c>
      <c r="B225" s="143" t="s">
        <v>276</v>
      </c>
      <c r="C225" s="142">
        <v>45</v>
      </c>
      <c r="D225" s="143" t="s">
        <v>277</v>
      </c>
      <c r="E225" s="142">
        <v>457453</v>
      </c>
      <c r="F225" s="143" t="s">
        <v>543</v>
      </c>
      <c r="G225" s="144">
        <v>7.7095109330981</v>
      </c>
      <c r="H225" s="145">
        <v>4.1507172475259289</v>
      </c>
      <c r="I225" s="146">
        <v>3.1357371705918542</v>
      </c>
      <c r="J225" s="147">
        <v>0.92922640160193459</v>
      </c>
      <c r="K225" s="148">
        <v>254</v>
      </c>
      <c r="M225" s="149">
        <f t="shared" si="24"/>
        <v>0.75546875000000002</v>
      </c>
      <c r="N225" s="138">
        <f t="shared" si="25"/>
        <v>3.1357371705918542</v>
      </c>
      <c r="O225" s="149"/>
      <c r="V225" s="158">
        <f t="shared" si="26"/>
        <v>477.43864565556311</v>
      </c>
      <c r="W225" s="158">
        <f t="shared" si="27"/>
        <v>200.45562686190371</v>
      </c>
      <c r="X225" s="158">
        <f t="shared" si="28"/>
        <v>148.20920435213196</v>
      </c>
      <c r="Y225" s="158">
        <f t="shared" si="29"/>
        <v>118.78118843583725</v>
      </c>
      <c r="Z225" s="158">
        <f t="shared" si="30"/>
        <v>82.242291216639671</v>
      </c>
      <c r="AA225" s="158">
        <f t="shared" si="31"/>
        <v>54.955577265400194</v>
      </c>
    </row>
    <row r="226" spans="1:27" ht="19.5" thickBot="1" x14ac:dyDescent="0.35">
      <c r="A226" s="142">
        <v>160</v>
      </c>
      <c r="B226" s="143" t="s">
        <v>276</v>
      </c>
      <c r="C226" s="142">
        <v>45</v>
      </c>
      <c r="D226" s="143" t="s">
        <v>277</v>
      </c>
      <c r="E226" s="142">
        <v>557459</v>
      </c>
      <c r="F226" s="143" t="s">
        <v>294</v>
      </c>
      <c r="G226" s="144">
        <v>2.8369629421676046</v>
      </c>
      <c r="H226" s="145">
        <v>6.3448132270092161</v>
      </c>
      <c r="I226" s="146">
        <v>3.8773858609500764</v>
      </c>
      <c r="J226" s="147">
        <v>0.91248738818712183</v>
      </c>
      <c r="K226" s="148">
        <v>237</v>
      </c>
      <c r="M226" s="149">
        <f t="shared" si="24"/>
        <v>0.61111111111111105</v>
      </c>
      <c r="N226" s="138">
        <f t="shared" si="25"/>
        <v>3.8773858609500764</v>
      </c>
      <c r="O226" s="149"/>
      <c r="V226" s="158">
        <f t="shared" si="26"/>
        <v>213.27799927034428</v>
      </c>
      <c r="W226" s="158">
        <f t="shared" si="27"/>
        <v>87.276328795465375</v>
      </c>
      <c r="X226" s="158">
        <f t="shared" si="28"/>
        <v>63.509035980046569</v>
      </c>
      <c r="Y226" s="158">
        <f t="shared" si="29"/>
        <v>50.122008932815397</v>
      </c>
      <c r="Z226" s="158">
        <f t="shared" si="30"/>
        <v>33.500188190950503</v>
      </c>
      <c r="AA226" s="158">
        <f t="shared" si="31"/>
        <v>21.08725560540579</v>
      </c>
    </row>
    <row r="227" spans="1:27" ht="19.5" thickBot="1" x14ac:dyDescent="0.35">
      <c r="A227" s="142">
        <v>160</v>
      </c>
      <c r="B227" s="143" t="s">
        <v>276</v>
      </c>
      <c r="C227" s="142">
        <v>45</v>
      </c>
      <c r="D227" s="143" t="s">
        <v>277</v>
      </c>
      <c r="E227" s="142">
        <v>557559</v>
      </c>
      <c r="F227" s="143" t="s">
        <v>295</v>
      </c>
      <c r="G227" s="144">
        <v>2.9777762320543215</v>
      </c>
      <c r="H227" s="145">
        <v>9.7388110254320051</v>
      </c>
      <c r="I227" s="146">
        <v>7.0354514132000174</v>
      </c>
      <c r="J227" s="147">
        <v>0.84120983814056749</v>
      </c>
      <c r="K227" s="148">
        <v>173</v>
      </c>
      <c r="M227" s="149">
        <f t="shared" si="24"/>
        <v>0.72241379310344822</v>
      </c>
      <c r="N227" s="138">
        <f t="shared" si="25"/>
        <v>7.0354514132000174</v>
      </c>
      <c r="O227" s="149"/>
      <c r="V227" s="158">
        <f t="shared" si="26"/>
        <v>174.58063851811235</v>
      </c>
      <c r="W227" s="158">
        <f t="shared" si="27"/>
        <v>62.70156796058567</v>
      </c>
      <c r="X227" s="158">
        <f t="shared" si="28"/>
        <v>41.598176078271081</v>
      </c>
      <c r="Y227" s="158">
        <f t="shared" si="29"/>
        <v>29.711602369144753</v>
      </c>
      <c r="Z227" s="158">
        <f t="shared" si="30"/>
        <v>14.952799183718572</v>
      </c>
      <c r="AA227" s="158">
        <f t="shared" si="31"/>
        <v>3.931140857046981</v>
      </c>
    </row>
    <row r="228" spans="1:27" ht="19.5" thickBot="1" x14ac:dyDescent="0.35">
      <c r="A228" s="142">
        <v>160</v>
      </c>
      <c r="B228" s="143" t="s">
        <v>276</v>
      </c>
      <c r="C228" s="142">
        <v>45</v>
      </c>
      <c r="D228" s="143" t="s">
        <v>277</v>
      </c>
      <c r="E228" s="142">
        <v>457574</v>
      </c>
      <c r="F228" s="143" t="s">
        <v>296</v>
      </c>
      <c r="G228" s="144">
        <v>3.3124110479673949</v>
      </c>
      <c r="H228" s="145">
        <v>19.925063358456004</v>
      </c>
      <c r="I228" s="146">
        <v>13.796596901233933</v>
      </c>
      <c r="J228" s="147">
        <v>0.68861076192695481</v>
      </c>
      <c r="K228" s="148">
        <v>45</v>
      </c>
      <c r="M228" s="149">
        <f t="shared" si="24"/>
        <v>0.69242424242424261</v>
      </c>
      <c r="N228" s="138">
        <f t="shared" si="25"/>
        <v>13.796596901233933</v>
      </c>
      <c r="O228" s="149"/>
      <c r="V228" s="158">
        <f t="shared" si="26"/>
        <v>165.85610814336047</v>
      </c>
      <c r="W228" s="158">
        <f t="shared" si="27"/>
        <v>36.014232653311218</v>
      </c>
      <c r="X228" s="158">
        <f t="shared" si="28"/>
        <v>11.522574226525446</v>
      </c>
      <c r="Y228" s="158">
        <f t="shared" si="29"/>
        <v>-2.2724547798166399</v>
      </c>
      <c r="Z228" s="158">
        <f t="shared" si="30"/>
        <v>-19.400865625873031</v>
      </c>
      <c r="AA228" s="158">
        <f t="shared" si="31"/>
        <v>-32.192112290813093</v>
      </c>
    </row>
    <row r="229" spans="1:27" ht="19.5" thickBot="1" x14ac:dyDescent="0.35">
      <c r="A229" s="142">
        <v>160</v>
      </c>
      <c r="B229" s="143" t="s">
        <v>276</v>
      </c>
      <c r="C229" s="142">
        <v>45</v>
      </c>
      <c r="D229" s="143" t="s">
        <v>277</v>
      </c>
      <c r="E229" s="142">
        <v>557612</v>
      </c>
      <c r="F229" s="143" t="s">
        <v>297</v>
      </c>
      <c r="G229" s="144">
        <v>3.8271842644328</v>
      </c>
      <c r="H229" s="145">
        <v>-0.26128869970889756</v>
      </c>
      <c r="I229" s="146">
        <v>1.306443498544488E-2</v>
      </c>
      <c r="J229" s="147">
        <v>0.99970513565880814</v>
      </c>
      <c r="K229" s="148">
        <v>286</v>
      </c>
      <c r="M229" s="149">
        <f t="shared" si="24"/>
        <v>-5.000000000000001E-2</v>
      </c>
      <c r="N229" s="138">
        <f t="shared" si="25"/>
        <v>1.306443498544488E-2</v>
      </c>
      <c r="O229" s="149"/>
      <c r="V229" s="158">
        <f t="shared" si="26"/>
        <v>-3852.7159935874352</v>
      </c>
      <c r="W229" s="158">
        <f t="shared" si="27"/>
        <v>-1775.1626287134736</v>
      </c>
      <c r="X229" s="158">
        <f t="shared" si="28"/>
        <v>-1383.2803705138683</v>
      </c>
      <c r="Y229" s="158">
        <f t="shared" si="29"/>
        <v>-1162.5510501579226</v>
      </c>
      <c r="Z229" s="158">
        <f t="shared" si="30"/>
        <v>-888.48548037265482</v>
      </c>
      <c r="AA229" s="158">
        <f t="shared" si="31"/>
        <v>-683.8173218961881</v>
      </c>
    </row>
    <row r="230" spans="1:27" ht="19.5" thickBot="1" x14ac:dyDescent="0.35">
      <c r="A230" s="142">
        <v>160</v>
      </c>
      <c r="B230" s="143" t="s">
        <v>276</v>
      </c>
      <c r="C230" s="142">
        <v>45</v>
      </c>
      <c r="D230" s="143" t="s">
        <v>277</v>
      </c>
      <c r="E230" s="142">
        <v>557712</v>
      </c>
      <c r="F230" s="143" t="s">
        <v>544</v>
      </c>
      <c r="G230" s="144">
        <v>5.7046753832273573</v>
      </c>
      <c r="H230" s="145">
        <v>9.1153302347208349</v>
      </c>
      <c r="I230" s="146">
        <v>6.1090242053850217</v>
      </c>
      <c r="J230" s="147">
        <v>0.86211930331062325</v>
      </c>
      <c r="K230" s="148">
        <v>195</v>
      </c>
      <c r="M230" s="149">
        <f t="shared" si="24"/>
        <v>0.67019230769230775</v>
      </c>
      <c r="N230" s="138">
        <f t="shared" si="25"/>
        <v>6.1090242053850217</v>
      </c>
      <c r="O230" s="149"/>
      <c r="V230" s="158">
        <f t="shared" si="26"/>
        <v>369.4745863680489</v>
      </c>
      <c r="W230" s="158">
        <f t="shared" si="27"/>
        <v>138.44142665431525</v>
      </c>
      <c r="X230" s="158">
        <f t="shared" si="28"/>
        <v>94.86237935841072</v>
      </c>
      <c r="Y230" s="158">
        <f t="shared" si="29"/>
        <v>70.316298768854921</v>
      </c>
      <c r="Z230" s="158">
        <f t="shared" si="30"/>
        <v>39.838990398931813</v>
      </c>
      <c r="AA230" s="158">
        <f t="shared" si="31"/>
        <v>17.078982331231497</v>
      </c>
    </row>
    <row r="231" spans="1:27" ht="19.5" thickBot="1" x14ac:dyDescent="0.35">
      <c r="A231" s="142">
        <v>160</v>
      </c>
      <c r="B231" s="143" t="s">
        <v>276</v>
      </c>
      <c r="C231" s="142">
        <v>42</v>
      </c>
      <c r="D231" s="143" t="s">
        <v>300</v>
      </c>
      <c r="E231" s="142">
        <v>457163</v>
      </c>
      <c r="F231" s="143" t="s">
        <v>301</v>
      </c>
      <c r="G231" s="144">
        <v>2.456290679625579</v>
      </c>
      <c r="H231" s="145">
        <v>15.877599635701467</v>
      </c>
      <c r="I231" s="146">
        <v>10.890404878333698</v>
      </c>
      <c r="J231" s="147">
        <v>0.75420352557607828</v>
      </c>
      <c r="K231" s="148">
        <v>83</v>
      </c>
      <c r="M231" s="149">
        <f t="shared" si="24"/>
        <v>0.6858974358974359</v>
      </c>
      <c r="N231" s="138">
        <f t="shared" si="25"/>
        <v>10.890404878333698</v>
      </c>
      <c r="O231" s="149"/>
      <c r="V231" s="158">
        <f t="shared" si="26"/>
        <v>135.98620180673083</v>
      </c>
      <c r="W231" s="158">
        <f t="shared" si="27"/>
        <v>38.78684278112771</v>
      </c>
      <c r="X231" s="158">
        <f t="shared" si="28"/>
        <v>20.452438017080471</v>
      </c>
      <c r="Y231" s="158">
        <f t="shared" si="29"/>
        <v>10.125507879208161</v>
      </c>
      <c r="Z231" s="158">
        <f t="shared" si="30"/>
        <v>-2.6967849988045334</v>
      </c>
      <c r="AA231" s="158">
        <f t="shared" si="31"/>
        <v>-12.272285755229152</v>
      </c>
    </row>
    <row r="232" spans="1:27" ht="19.5" thickBot="1" x14ac:dyDescent="0.35">
      <c r="A232" s="142">
        <v>160</v>
      </c>
      <c r="B232" s="143" t="s">
        <v>276</v>
      </c>
      <c r="C232" s="142">
        <v>42</v>
      </c>
      <c r="D232" s="143" t="s">
        <v>300</v>
      </c>
      <c r="E232" s="142">
        <v>457165</v>
      </c>
      <c r="F232" s="143" t="s">
        <v>302</v>
      </c>
      <c r="G232" s="144">
        <v>3.326340992863813</v>
      </c>
      <c r="H232" s="145">
        <v>24.050450681883941</v>
      </c>
      <c r="I232" s="146">
        <v>16.993146559918621</v>
      </c>
      <c r="J232" s="147">
        <v>0.61646462546982206</v>
      </c>
      <c r="K232" s="148">
        <v>26</v>
      </c>
      <c r="M232" s="149">
        <f t="shared" si="24"/>
        <v>0.70656249999999998</v>
      </c>
      <c r="N232" s="138">
        <f t="shared" si="25"/>
        <v>16.993146559918621</v>
      </c>
      <c r="O232" s="149"/>
      <c r="V232" s="158">
        <f t="shared" si="26"/>
        <v>146.1201297213463</v>
      </c>
      <c r="W232" s="158">
        <f t="shared" si="27"/>
        <v>18.341271257511096</v>
      </c>
      <c r="X232" s="158">
        <f t="shared" si="28"/>
        <v>-5.7612468542262345</v>
      </c>
      <c r="Y232" s="158">
        <f t="shared" si="29"/>
        <v>-19.337090951156092</v>
      </c>
      <c r="Z232" s="158">
        <f t="shared" si="30"/>
        <v>-36.193353824349046</v>
      </c>
      <c r="AA232" s="158">
        <f t="shared" si="31"/>
        <v>-48.781364364143201</v>
      </c>
    </row>
    <row r="233" spans="1:27" ht="19.5" thickBot="1" x14ac:dyDescent="0.35">
      <c r="A233" s="142">
        <v>160</v>
      </c>
      <c r="B233" s="143" t="s">
        <v>276</v>
      </c>
      <c r="C233" s="142">
        <v>42</v>
      </c>
      <c r="D233" s="143" t="s">
        <v>300</v>
      </c>
      <c r="E233" s="142">
        <v>557210</v>
      </c>
      <c r="F233" s="143" t="s">
        <v>303</v>
      </c>
      <c r="G233" s="144">
        <v>2.2747145523264414</v>
      </c>
      <c r="H233" s="145">
        <v>1.3188467963735406</v>
      </c>
      <c r="I233" s="146">
        <v>0.70338495806588841</v>
      </c>
      <c r="J233" s="147">
        <v>0.98412459915063633</v>
      </c>
      <c r="K233" s="148">
        <v>280</v>
      </c>
      <c r="M233" s="149">
        <f t="shared" si="24"/>
        <v>0.53333333333333344</v>
      </c>
      <c r="N233" s="138">
        <f t="shared" si="25"/>
        <v>0.70338495806588841</v>
      </c>
      <c r="O233" s="149"/>
      <c r="V233" s="158">
        <f t="shared" si="26"/>
        <v>211.33137085553577</v>
      </c>
      <c r="W233" s="158">
        <f t="shared" si="27"/>
        <v>95.568044303225719</v>
      </c>
      <c r="X233" s="158">
        <f t="shared" si="28"/>
        <v>73.731977613901591</v>
      </c>
      <c r="Y233" s="158">
        <f t="shared" si="29"/>
        <v>61.432721756478649</v>
      </c>
      <c r="Z233" s="158">
        <f t="shared" si="30"/>
        <v>46.161517373374103</v>
      </c>
      <c r="AA233" s="158">
        <f t="shared" si="31"/>
        <v>34.757205327696006</v>
      </c>
    </row>
    <row r="234" spans="1:27" ht="19.5" thickBot="1" x14ac:dyDescent="0.35">
      <c r="A234" s="142">
        <v>160</v>
      </c>
      <c r="B234" s="143" t="s">
        <v>276</v>
      </c>
      <c r="C234" s="142">
        <v>42</v>
      </c>
      <c r="D234" s="143" t="s">
        <v>300</v>
      </c>
      <c r="E234" s="142">
        <v>557250</v>
      </c>
      <c r="F234" s="143" t="s">
        <v>304</v>
      </c>
      <c r="G234" s="144">
        <v>2.9376340331368493</v>
      </c>
      <c r="H234" s="145">
        <v>11.233529986293803</v>
      </c>
      <c r="I234" s="146">
        <v>7.4209379909456032</v>
      </c>
      <c r="J234" s="147">
        <v>0.83250940479523661</v>
      </c>
      <c r="K234" s="148">
        <v>164</v>
      </c>
      <c r="M234" s="149">
        <f t="shared" si="24"/>
        <v>0.66060606060606064</v>
      </c>
      <c r="N234" s="138">
        <f t="shared" si="25"/>
        <v>7.4209379909456032</v>
      </c>
      <c r="O234" s="149"/>
      <c r="V234" s="158">
        <f t="shared" si="26"/>
        <v>186.39316817553168</v>
      </c>
      <c r="W234" s="158">
        <f t="shared" si="27"/>
        <v>65.695756391327293</v>
      </c>
      <c r="X234" s="158">
        <f t="shared" si="28"/>
        <v>42.928988957793202</v>
      </c>
      <c r="Y234" s="158">
        <f t="shared" si="29"/>
        <v>30.105512015016615</v>
      </c>
      <c r="Z234" s="158">
        <f t="shared" si="30"/>
        <v>14.18341562436537</v>
      </c>
      <c r="AA234" s="158">
        <f t="shared" si="31"/>
        <v>2.2930269487187354</v>
      </c>
    </row>
    <row r="235" spans="1:27" ht="19.5" thickBot="1" x14ac:dyDescent="0.35">
      <c r="A235" s="142">
        <v>160</v>
      </c>
      <c r="B235" s="143" t="s">
        <v>276</v>
      </c>
      <c r="C235" s="142">
        <v>42</v>
      </c>
      <c r="D235" s="143" t="s">
        <v>300</v>
      </c>
      <c r="E235" s="142">
        <v>457258</v>
      </c>
      <c r="F235" s="143" t="s">
        <v>305</v>
      </c>
      <c r="G235" s="144">
        <v>3.2454949073058987</v>
      </c>
      <c r="H235" s="145">
        <v>4.0055524261448818</v>
      </c>
      <c r="I235" s="146">
        <v>2.9271344652597211</v>
      </c>
      <c r="J235" s="147">
        <v>0.93393456535697916</v>
      </c>
      <c r="K235" s="148">
        <v>259</v>
      </c>
      <c r="M235" s="149">
        <f t="shared" si="24"/>
        <v>0.73076923076923073</v>
      </c>
      <c r="N235" s="138">
        <f t="shared" si="25"/>
        <v>2.9271344652597211</v>
      </c>
      <c r="O235" s="149"/>
      <c r="V235" s="158">
        <f t="shared" si="26"/>
        <v>208.83478174542239</v>
      </c>
      <c r="W235" s="158">
        <f t="shared" si="27"/>
        <v>88.291364481146516</v>
      </c>
      <c r="X235" s="158">
        <f t="shared" si="28"/>
        <v>65.553644542247341</v>
      </c>
      <c r="Y235" s="158">
        <f t="shared" si="29"/>
        <v>52.746528722268891</v>
      </c>
      <c r="Z235" s="158">
        <f t="shared" si="30"/>
        <v>36.844746898050253</v>
      </c>
      <c r="AA235" s="158">
        <f t="shared" si="31"/>
        <v>24.969528843453418</v>
      </c>
    </row>
    <row r="236" spans="1:27" ht="19.5" thickBot="1" x14ac:dyDescent="0.35">
      <c r="A236" s="142">
        <v>160</v>
      </c>
      <c r="B236" s="143" t="s">
        <v>276</v>
      </c>
      <c r="C236" s="142">
        <v>42</v>
      </c>
      <c r="D236" s="143" t="s">
        <v>300</v>
      </c>
      <c r="E236" s="142">
        <v>557305</v>
      </c>
      <c r="F236" s="143" t="s">
        <v>306</v>
      </c>
      <c r="G236" s="144">
        <v>2.8560806017217275</v>
      </c>
      <c r="H236" s="145">
        <v>15.055597511526237</v>
      </c>
      <c r="I236" s="146">
        <v>9.5410472602113945</v>
      </c>
      <c r="J236" s="147">
        <v>0.78465853151725962</v>
      </c>
      <c r="K236" s="148">
        <v>108</v>
      </c>
      <c r="M236" s="149">
        <f t="shared" si="24"/>
        <v>0.63372093023255816</v>
      </c>
      <c r="N236" s="138">
        <f t="shared" si="25"/>
        <v>9.5410472602113945</v>
      </c>
      <c r="O236" s="149"/>
      <c r="V236" s="158">
        <f t="shared" si="26"/>
        <v>178.04870294528209</v>
      </c>
      <c r="W236" s="158">
        <f t="shared" si="27"/>
        <v>55.723701786632489</v>
      </c>
      <c r="X236" s="158">
        <f t="shared" si="28"/>
        <v>32.649927365810754</v>
      </c>
      <c r="Y236" s="158">
        <f t="shared" si="29"/>
        <v>19.653527453875377</v>
      </c>
      <c r="Z236" s="158">
        <f t="shared" si="30"/>
        <v>3.5167236016370653</v>
      </c>
      <c r="AA236" s="158">
        <f t="shared" si="31"/>
        <v>-8.5340054655757651</v>
      </c>
    </row>
    <row r="237" spans="1:27" ht="19.5" thickBot="1" x14ac:dyDescent="0.35">
      <c r="A237" s="142">
        <v>160</v>
      </c>
      <c r="B237" s="143" t="s">
        <v>276</v>
      </c>
      <c r="C237" s="142">
        <v>42</v>
      </c>
      <c r="D237" s="143" t="s">
        <v>300</v>
      </c>
      <c r="E237" s="142">
        <v>457308</v>
      </c>
      <c r="F237" s="143" t="s">
        <v>307</v>
      </c>
      <c r="G237" s="144">
        <v>9.2014397202331395</v>
      </c>
      <c r="H237" s="145">
        <v>19.453477438578997</v>
      </c>
      <c r="I237" s="146">
        <v>13.25064378043991</v>
      </c>
      <c r="J237" s="147">
        <v>0.70093292568405119</v>
      </c>
      <c r="K237" s="148">
        <v>52</v>
      </c>
      <c r="M237" s="149">
        <f t="shared" si="24"/>
        <v>0.68114525139664794</v>
      </c>
      <c r="N237" s="138">
        <f t="shared" si="25"/>
        <v>13.25064378043991</v>
      </c>
      <c r="O237" s="149"/>
      <c r="V237" s="158">
        <f t="shared" si="26"/>
        <v>476.73629578834198</v>
      </c>
      <c r="W237" s="158">
        <f t="shared" si="27"/>
        <v>110.08023173645788</v>
      </c>
      <c r="X237" s="158">
        <f t="shared" si="28"/>
        <v>40.919068999274266</v>
      </c>
      <c r="Y237" s="158">
        <f t="shared" si="29"/>
        <v>1.9637549308588245</v>
      </c>
      <c r="Z237" s="158">
        <f t="shared" si="30"/>
        <v>-46.404582946083956</v>
      </c>
      <c r="AA237" s="158">
        <f t="shared" si="31"/>
        <v>-82.525350139123631</v>
      </c>
    </row>
    <row r="238" spans="1:27" ht="19.5" thickBot="1" x14ac:dyDescent="0.35">
      <c r="A238" s="142">
        <v>160</v>
      </c>
      <c r="B238" s="143" t="s">
        <v>276</v>
      </c>
      <c r="C238" s="142">
        <v>42</v>
      </c>
      <c r="D238" s="143" t="s">
        <v>300</v>
      </c>
      <c r="E238" s="142">
        <v>457345</v>
      </c>
      <c r="F238" s="143" t="s">
        <v>308</v>
      </c>
      <c r="G238" s="144">
        <v>2.4944492773355069</v>
      </c>
      <c r="H238" s="145">
        <v>4.8106811026512544</v>
      </c>
      <c r="I238" s="146">
        <v>3.4075657810446383</v>
      </c>
      <c r="J238" s="147">
        <v>0.9230912289574561</v>
      </c>
      <c r="K238" s="148">
        <v>249</v>
      </c>
      <c r="M238" s="149">
        <f t="shared" si="24"/>
        <v>0.70833333333333326</v>
      </c>
      <c r="N238" s="138">
        <f t="shared" si="25"/>
        <v>3.4075657810446383</v>
      </c>
      <c r="O238" s="149"/>
      <c r="V238" s="158">
        <f t="shared" si="26"/>
        <v>163.66933832083399</v>
      </c>
      <c r="W238" s="158">
        <f t="shared" si="27"/>
        <v>68.086523109440463</v>
      </c>
      <c r="X238" s="158">
        <f t="shared" si="28"/>
        <v>50.057041843918853</v>
      </c>
      <c r="Y238" s="158">
        <f t="shared" si="29"/>
        <v>39.901861141449245</v>
      </c>
      <c r="Z238" s="158">
        <f t="shared" si="30"/>
        <v>27.292818622736508</v>
      </c>
      <c r="AA238" s="158">
        <f t="shared" si="31"/>
        <v>17.876570115204608</v>
      </c>
    </row>
    <row r="239" spans="1:27" ht="19.5" thickBot="1" x14ac:dyDescent="0.35">
      <c r="A239" s="142">
        <v>160</v>
      </c>
      <c r="B239" s="143" t="s">
        <v>276</v>
      </c>
      <c r="C239" s="142">
        <v>42</v>
      </c>
      <c r="D239" s="143" t="s">
        <v>300</v>
      </c>
      <c r="E239" s="142">
        <v>557353</v>
      </c>
      <c r="F239" s="143" t="s">
        <v>309</v>
      </c>
      <c r="G239" s="144">
        <v>2.600180563864698</v>
      </c>
      <c r="H239" s="145">
        <v>9.9993055718237134</v>
      </c>
      <c r="I239" s="146">
        <v>7.0379727678605368</v>
      </c>
      <c r="J239" s="147">
        <v>0.84115293115747058</v>
      </c>
      <c r="K239" s="148">
        <v>172</v>
      </c>
      <c r="M239" s="149">
        <f t="shared" si="24"/>
        <v>0.7038461538461539</v>
      </c>
      <c r="N239" s="138">
        <f t="shared" si="25"/>
        <v>7.0379727678605368</v>
      </c>
      <c r="O239" s="149"/>
      <c r="V239" s="158">
        <f t="shared" si="26"/>
        <v>156.45391428611003</v>
      </c>
      <c r="W239" s="158">
        <f t="shared" si="27"/>
        <v>56.184475095964665</v>
      </c>
      <c r="X239" s="158">
        <f t="shared" si="28"/>
        <v>37.270970912342413</v>
      </c>
      <c r="Y239" s="158">
        <f t="shared" si="29"/>
        <v>26.61786060523109</v>
      </c>
      <c r="Z239" s="158">
        <f t="shared" si="30"/>
        <v>13.390570539753721</v>
      </c>
      <c r="AA239" s="158">
        <f t="shared" si="31"/>
        <v>3.5126238080411927</v>
      </c>
    </row>
    <row r="240" spans="1:27" ht="19.5" thickBot="1" x14ac:dyDescent="0.35">
      <c r="A240" s="142">
        <v>160</v>
      </c>
      <c r="B240" s="143" t="s">
        <v>276</v>
      </c>
      <c r="C240" s="142">
        <v>42</v>
      </c>
      <c r="D240" s="143" t="s">
        <v>300</v>
      </c>
      <c r="E240" s="142">
        <v>457435</v>
      </c>
      <c r="F240" s="143" t="s">
        <v>310</v>
      </c>
      <c r="G240" s="144">
        <v>3.3634437715401972</v>
      </c>
      <c r="H240" s="145">
        <v>8.6221152990228944</v>
      </c>
      <c r="I240" s="146">
        <v>5.9165549810536406</v>
      </c>
      <c r="J240" s="147">
        <v>0.8664633343456748</v>
      </c>
      <c r="K240" s="148">
        <v>199</v>
      </c>
      <c r="M240" s="149">
        <f t="shared" si="24"/>
        <v>0.68620689655172407</v>
      </c>
      <c r="N240" s="138">
        <f t="shared" si="25"/>
        <v>5.9165549810536406</v>
      </c>
      <c r="O240" s="149"/>
      <c r="V240" s="158">
        <f t="shared" si="26"/>
        <v>213.82820363589576</v>
      </c>
      <c r="W240" s="158">
        <f t="shared" si="27"/>
        <v>80.791365884532155</v>
      </c>
      <c r="X240" s="158">
        <f t="shared" si="28"/>
        <v>55.697051926969024</v>
      </c>
      <c r="Y240" s="158">
        <f t="shared" si="29"/>
        <v>41.562574673267193</v>
      </c>
      <c r="Z240" s="158">
        <f t="shared" si="30"/>
        <v>24.01269251032712</v>
      </c>
      <c r="AA240" s="158">
        <f t="shared" si="31"/>
        <v>10.906697231233078</v>
      </c>
    </row>
    <row r="241" spans="1:27" ht="19.5" thickBot="1" x14ac:dyDescent="0.35">
      <c r="A241" s="142">
        <v>160</v>
      </c>
      <c r="B241" s="143" t="s">
        <v>276</v>
      </c>
      <c r="C241" s="142">
        <v>42</v>
      </c>
      <c r="D241" s="143" t="s">
        <v>300</v>
      </c>
      <c r="E241" s="142">
        <v>557458</v>
      </c>
      <c r="F241" s="143" t="s">
        <v>311</v>
      </c>
      <c r="G241" s="144">
        <v>2.3177117404141168</v>
      </c>
      <c r="H241" s="145">
        <v>24.161762234502124</v>
      </c>
      <c r="I241" s="146">
        <v>15.85615646639202</v>
      </c>
      <c r="J241" s="147">
        <v>0.64212649567262425</v>
      </c>
      <c r="K241" s="148">
        <v>31</v>
      </c>
      <c r="M241" s="149">
        <f t="shared" si="24"/>
        <v>0.65625000000000011</v>
      </c>
      <c r="N241" s="138">
        <f t="shared" si="25"/>
        <v>15.85615646639202</v>
      </c>
      <c r="O241" s="149"/>
      <c r="V241" s="158">
        <f t="shared" si="26"/>
        <v>114.18167225307268</v>
      </c>
      <c r="W241" s="158">
        <f t="shared" si="27"/>
        <v>18.322665587985703</v>
      </c>
      <c r="X241" s="158">
        <f t="shared" si="28"/>
        <v>0.24108721035193759</v>
      </c>
      <c r="Y241" s="158">
        <f t="shared" si="29"/>
        <v>-9.9434374083282488</v>
      </c>
      <c r="Z241" s="158">
        <f t="shared" si="30"/>
        <v>-22.588914403000125</v>
      </c>
      <c r="AA241" s="158">
        <f t="shared" si="31"/>
        <v>-32.032371644213733</v>
      </c>
    </row>
    <row r="242" spans="1:27" ht="19.5" thickBot="1" x14ac:dyDescent="0.35">
      <c r="A242" s="142">
        <v>160</v>
      </c>
      <c r="B242" s="143" t="s">
        <v>276</v>
      </c>
      <c r="C242" s="142">
        <v>42</v>
      </c>
      <c r="D242" s="143" t="s">
        <v>300</v>
      </c>
      <c r="E242" s="142">
        <v>557503</v>
      </c>
      <c r="F242" s="143" t="s">
        <v>312</v>
      </c>
      <c r="G242" s="144">
        <v>2.7902735090423261</v>
      </c>
      <c r="H242" s="145">
        <v>13.618736613760243</v>
      </c>
      <c r="I242" s="146">
        <v>9.2284859948506917</v>
      </c>
      <c r="J242" s="147">
        <v>0.7917130403188547</v>
      </c>
      <c r="K242" s="148">
        <v>114</v>
      </c>
      <c r="M242" s="149">
        <f t="shared" si="24"/>
        <v>0.67763157894736847</v>
      </c>
      <c r="N242" s="138">
        <f t="shared" si="25"/>
        <v>9.2284859948506917</v>
      </c>
      <c r="O242" s="149"/>
      <c r="V242" s="158">
        <f t="shared" si="26"/>
        <v>164.13705693126039</v>
      </c>
      <c r="W242" s="158">
        <f t="shared" si="27"/>
        <v>52.374595199764251</v>
      </c>
      <c r="X242" s="158">
        <f t="shared" si="28"/>
        <v>31.293198868006129</v>
      </c>
      <c r="Y242" s="158">
        <f t="shared" si="29"/>
        <v>19.419014244692185</v>
      </c>
      <c r="Z242" s="158">
        <f t="shared" si="30"/>
        <v>4.6755937997955064</v>
      </c>
      <c r="AA242" s="158">
        <f t="shared" si="31"/>
        <v>-6.3345769212678293</v>
      </c>
    </row>
    <row r="243" spans="1:27" ht="19.5" thickBot="1" x14ac:dyDescent="0.35">
      <c r="A243" s="142">
        <v>160</v>
      </c>
      <c r="B243" s="143" t="s">
        <v>276</v>
      </c>
      <c r="C243" s="142">
        <v>42</v>
      </c>
      <c r="D243" s="143" t="s">
        <v>300</v>
      </c>
      <c r="E243" s="142">
        <v>557523</v>
      </c>
      <c r="F243" s="143" t="s">
        <v>313</v>
      </c>
      <c r="G243" s="144">
        <v>3.5784199740302469</v>
      </c>
      <c r="H243" s="145">
        <v>3.9123412292583137</v>
      </c>
      <c r="I243" s="146">
        <v>2.7386388604808198</v>
      </c>
      <c r="J243" s="147">
        <v>0.93818891178547925</v>
      </c>
      <c r="K243" s="148">
        <v>264</v>
      </c>
      <c r="M243" s="149">
        <f t="shared" si="24"/>
        <v>0.70000000000000007</v>
      </c>
      <c r="N243" s="138">
        <f t="shared" si="25"/>
        <v>2.7386388604808198</v>
      </c>
      <c r="O243" s="149"/>
      <c r="V243" s="158">
        <f t="shared" si="26"/>
        <v>241.47338477030513</v>
      </c>
      <c r="W243" s="158">
        <f t="shared" si="27"/>
        <v>102.72239515208311</v>
      </c>
      <c r="X243" s="158">
        <f t="shared" si="28"/>
        <v>76.55023897147997</v>
      </c>
      <c r="Y243" s="158">
        <f t="shared" si="29"/>
        <v>61.808662579287997</v>
      </c>
      <c r="Z243" s="158">
        <f t="shared" si="30"/>
        <v>43.50498399710402</v>
      </c>
      <c r="AA243" s="158">
        <f t="shared" si="31"/>
        <v>29.836064578674698</v>
      </c>
    </row>
    <row r="244" spans="1:27" ht="19.5" thickBot="1" x14ac:dyDescent="0.35">
      <c r="A244" s="142">
        <v>160</v>
      </c>
      <c r="B244" s="143" t="s">
        <v>276</v>
      </c>
      <c r="C244" s="142">
        <v>42</v>
      </c>
      <c r="D244" s="143" t="s">
        <v>300</v>
      </c>
      <c r="E244" s="142">
        <v>457543</v>
      </c>
      <c r="F244" s="143" t="s">
        <v>314</v>
      </c>
      <c r="G244" s="144">
        <v>3.0802030008650325</v>
      </c>
      <c r="H244" s="145">
        <v>1.9479235616337569</v>
      </c>
      <c r="I244" s="146">
        <v>1.3797791894905778</v>
      </c>
      <c r="J244" s="147">
        <v>0.96885837909157957</v>
      </c>
      <c r="K244" s="148">
        <v>276</v>
      </c>
      <c r="M244" s="149">
        <f t="shared" si="24"/>
        <v>0.70833333333333326</v>
      </c>
      <c r="N244" s="138">
        <f t="shared" si="25"/>
        <v>1.3797791894905778</v>
      </c>
      <c r="O244" s="149"/>
      <c r="V244" s="158">
        <f t="shared" si="26"/>
        <v>212.12295288486911</v>
      </c>
      <c r="W244" s="158">
        <f t="shared" si="27"/>
        <v>94.09510725164516</v>
      </c>
      <c r="X244" s="158">
        <f t="shared" si="28"/>
        <v>71.831891558031316</v>
      </c>
      <c r="Y244" s="158">
        <f t="shared" si="29"/>
        <v>59.292042238070046</v>
      </c>
      <c r="Z244" s="158">
        <f t="shared" si="30"/>
        <v>43.722108242194302</v>
      </c>
      <c r="AA244" s="158">
        <f t="shared" si="31"/>
        <v>32.094709291524204</v>
      </c>
    </row>
    <row r="245" spans="1:27" ht="19.5" thickBot="1" x14ac:dyDescent="0.35">
      <c r="A245" s="142">
        <v>160</v>
      </c>
      <c r="B245" s="143" t="s">
        <v>276</v>
      </c>
      <c r="C245" s="142">
        <v>42</v>
      </c>
      <c r="D245" s="143" t="s">
        <v>300</v>
      </c>
      <c r="E245" s="142">
        <v>457583</v>
      </c>
      <c r="F245" s="143" t="s">
        <v>315</v>
      </c>
      <c r="G245" s="144">
        <v>6.0121721622273636</v>
      </c>
      <c r="H245" s="145">
        <v>9.4807664288314211</v>
      </c>
      <c r="I245" s="146">
        <v>6.9151379698011635</v>
      </c>
      <c r="J245" s="147">
        <v>0.8439253129593296</v>
      </c>
      <c r="K245" s="148">
        <v>175</v>
      </c>
      <c r="M245" s="149">
        <f t="shared" si="24"/>
        <v>0.72938596491228069</v>
      </c>
      <c r="N245" s="138">
        <f t="shared" si="25"/>
        <v>6.9151379698011635</v>
      </c>
      <c r="O245" s="149"/>
      <c r="V245" s="158">
        <f t="shared" si="26"/>
        <v>350.23837094493956</v>
      </c>
      <c r="W245" s="158">
        <f t="shared" si="27"/>
        <v>126.5121812412788</v>
      </c>
      <c r="X245" s="158">
        <f t="shared" si="28"/>
        <v>84.311424369369121</v>
      </c>
      <c r="Y245" s="158">
        <f t="shared" si="29"/>
        <v>60.541671623638642</v>
      </c>
      <c r="Z245" s="158">
        <f t="shared" si="30"/>
        <v>31.028280201926364</v>
      </c>
      <c r="AA245" s="158">
        <f t="shared" si="31"/>
        <v>8.9881112109445933</v>
      </c>
    </row>
    <row r="246" spans="1:27" ht="19.5" thickBot="1" x14ac:dyDescent="0.35">
      <c r="A246" s="142">
        <v>160</v>
      </c>
      <c r="B246" s="143" t="s">
        <v>276</v>
      </c>
      <c r="C246" s="142">
        <v>42</v>
      </c>
      <c r="D246" s="143" t="s">
        <v>300</v>
      </c>
      <c r="E246" s="142">
        <v>457614</v>
      </c>
      <c r="F246" s="143" t="s">
        <v>316</v>
      </c>
      <c r="G246" s="144">
        <v>8.556177349674952</v>
      </c>
      <c r="H246" s="145">
        <v>4.6749849103489654</v>
      </c>
      <c r="I246" s="146">
        <v>3.377676597727127</v>
      </c>
      <c r="J246" s="147">
        <v>0.92376582792461404</v>
      </c>
      <c r="K246" s="148">
        <v>250</v>
      </c>
      <c r="M246" s="149">
        <f t="shared" si="24"/>
        <v>0.72249999999999992</v>
      </c>
      <c r="N246" s="138">
        <f t="shared" si="25"/>
        <v>3.377676597727127</v>
      </c>
      <c r="O246" s="149"/>
      <c r="V246" s="158">
        <f t="shared" si="26"/>
        <v>550.79440979870515</v>
      </c>
      <c r="W246" s="158">
        <f t="shared" si="27"/>
        <v>229.36563970920281</v>
      </c>
      <c r="X246" s="158">
        <f t="shared" si="28"/>
        <v>168.73555703470183</v>
      </c>
      <c r="Y246" s="158">
        <f t="shared" si="29"/>
        <v>134.58540947928267</v>
      </c>
      <c r="Z246" s="158">
        <f t="shared" si="30"/>
        <v>92.183341494231655</v>
      </c>
      <c r="AA246" s="158">
        <f t="shared" si="31"/>
        <v>60.518097381686303</v>
      </c>
    </row>
    <row r="247" spans="1:27" ht="19.5" thickBot="1" x14ac:dyDescent="0.35">
      <c r="A247" s="142">
        <v>160</v>
      </c>
      <c r="B247" s="143" t="s">
        <v>276</v>
      </c>
      <c r="C247" s="142">
        <v>42</v>
      </c>
      <c r="D247" s="143" t="s">
        <v>300</v>
      </c>
      <c r="E247" s="142">
        <v>457617</v>
      </c>
      <c r="F247" s="143" t="s">
        <v>545</v>
      </c>
      <c r="G247" s="144">
        <v>7.6637250357256459</v>
      </c>
      <c r="H247" s="145">
        <v>5.3498787872571265</v>
      </c>
      <c r="I247" s="146">
        <v>4.1135348480068519</v>
      </c>
      <c r="J247" s="147">
        <v>0.90715750476168433</v>
      </c>
      <c r="K247" s="148">
        <v>235</v>
      </c>
      <c r="M247" s="149">
        <f t="shared" si="24"/>
        <v>0.76890243902439026</v>
      </c>
      <c r="N247" s="138">
        <f t="shared" si="25"/>
        <v>4.1135348480068519</v>
      </c>
      <c r="O247" s="149"/>
      <c r="V247" s="158">
        <f t="shared" si="26"/>
        <v>455.23650271352068</v>
      </c>
      <c r="W247" s="158">
        <f t="shared" si="27"/>
        <v>184.70895486233024</v>
      </c>
      <c r="X247" s="158">
        <f t="shared" si="28"/>
        <v>133.68020722601722</v>
      </c>
      <c r="Y247" s="158">
        <f t="shared" si="29"/>
        <v>104.93805177318896</v>
      </c>
      <c r="Z247" s="158">
        <f t="shared" si="30"/>
        <v>69.250743905193133</v>
      </c>
      <c r="AA247" s="158">
        <f t="shared" si="31"/>
        <v>42.599984424357174</v>
      </c>
    </row>
    <row r="248" spans="1:27" ht="19.5" thickBot="1" x14ac:dyDescent="0.35">
      <c r="A248" s="142">
        <v>160</v>
      </c>
      <c r="B248" s="143" t="s">
        <v>276</v>
      </c>
      <c r="C248" s="142">
        <v>42</v>
      </c>
      <c r="D248" s="143" t="s">
        <v>300</v>
      </c>
      <c r="E248" s="142">
        <v>557668</v>
      </c>
      <c r="F248" s="143" t="s">
        <v>318</v>
      </c>
      <c r="G248" s="144">
        <v>4.1744710626853223</v>
      </c>
      <c r="H248" s="145">
        <v>1.1977565360780433</v>
      </c>
      <c r="I248" s="146">
        <v>0.86238470597619121</v>
      </c>
      <c r="J248" s="147">
        <v>0.98053597431003037</v>
      </c>
      <c r="K248" s="148">
        <v>278</v>
      </c>
      <c r="M248" s="149">
        <f t="shared" si="24"/>
        <v>0.72</v>
      </c>
      <c r="N248" s="138">
        <f t="shared" si="25"/>
        <v>0.86238470597619121</v>
      </c>
      <c r="O248" s="149"/>
      <c r="V248" s="158">
        <f t="shared" si="26"/>
        <v>286.23200644625825</v>
      </c>
      <c r="W248" s="158">
        <f t="shared" si="27"/>
        <v>128.86569025292897</v>
      </c>
      <c r="X248" s="158">
        <f t="shared" si="28"/>
        <v>99.182184453723522</v>
      </c>
      <c r="Y248" s="158">
        <f t="shared" si="29"/>
        <v>82.462825708211966</v>
      </c>
      <c r="Z248" s="158">
        <f t="shared" si="30"/>
        <v>61.703460465553171</v>
      </c>
      <c r="AA248" s="158">
        <f t="shared" si="31"/>
        <v>46.200670170937542</v>
      </c>
    </row>
    <row r="249" spans="1:27" ht="19.5" thickBot="1" x14ac:dyDescent="0.35">
      <c r="A249" s="142">
        <v>160</v>
      </c>
      <c r="B249" s="143" t="s">
        <v>276</v>
      </c>
      <c r="C249" s="142">
        <v>44</v>
      </c>
      <c r="D249" s="143" t="s">
        <v>319</v>
      </c>
      <c r="E249" s="142">
        <v>557113</v>
      </c>
      <c r="F249" s="143" t="s">
        <v>320</v>
      </c>
      <c r="G249" s="144">
        <v>2.5533062174516035</v>
      </c>
      <c r="H249" s="145">
        <v>19.190804324639831</v>
      </c>
      <c r="I249" s="146">
        <v>14.334355883302404</v>
      </c>
      <c r="J249" s="147">
        <v>0.67647353990822201</v>
      </c>
      <c r="K249" s="148">
        <v>38</v>
      </c>
      <c r="M249" s="149">
        <f t="shared" si="24"/>
        <v>0.74693877551020404</v>
      </c>
      <c r="N249" s="138">
        <f t="shared" si="25"/>
        <v>14.334355883302404</v>
      </c>
      <c r="O249" s="149"/>
      <c r="V249" s="158">
        <f t="shared" si="26"/>
        <v>116.42719004589327</v>
      </c>
      <c r="W249" s="158">
        <f t="shared" si="27"/>
        <v>23.645833619934603</v>
      </c>
      <c r="X249" s="158">
        <f t="shared" si="28"/>
        <v>6.1447825808759928</v>
      </c>
      <c r="Y249" s="158">
        <f t="shared" si="29"/>
        <v>-3.71275758721834</v>
      </c>
      <c r="Z249" s="158">
        <f t="shared" si="30"/>
        <v>-15.952238769389083</v>
      </c>
      <c r="AA249" s="158">
        <f t="shared" si="31"/>
        <v>-25.092504276745466</v>
      </c>
    </row>
    <row r="250" spans="1:27" ht="19.5" thickBot="1" x14ac:dyDescent="0.35">
      <c r="A250" s="142">
        <v>160</v>
      </c>
      <c r="B250" s="143" t="s">
        <v>276</v>
      </c>
      <c r="C250" s="142">
        <v>44</v>
      </c>
      <c r="D250" s="143" t="s">
        <v>319</v>
      </c>
      <c r="E250" s="142">
        <v>457180</v>
      </c>
      <c r="F250" s="143" t="s">
        <v>321</v>
      </c>
      <c r="G250" s="144">
        <v>2.251466510688148</v>
      </c>
      <c r="H250" s="145">
        <v>9.3272539921464208</v>
      </c>
      <c r="I250" s="146">
        <v>6.8399862609073754</v>
      </c>
      <c r="J250" s="147">
        <v>0.84562148727969633</v>
      </c>
      <c r="K250" s="148">
        <v>178</v>
      </c>
      <c r="M250" s="149">
        <f t="shared" si="24"/>
        <v>0.73333333333333339</v>
      </c>
      <c r="N250" s="138">
        <f t="shared" si="25"/>
        <v>6.8399862609073754</v>
      </c>
      <c r="O250" s="149"/>
      <c r="V250" s="158">
        <f t="shared" si="26"/>
        <v>130.71510612542667</v>
      </c>
      <c r="W250" s="158">
        <f t="shared" si="27"/>
        <v>47.384050125273546</v>
      </c>
      <c r="X250" s="158">
        <f t="shared" si="28"/>
        <v>31.665579083506142</v>
      </c>
      <c r="Y250" s="158">
        <f t="shared" si="29"/>
        <v>22.812084551695193</v>
      </c>
      <c r="Z250" s="158">
        <f t="shared" si="30"/>
        <v>11.819263029213854</v>
      </c>
      <c r="AA250" s="158">
        <f t="shared" si="31"/>
        <v>3.6099847195395558</v>
      </c>
    </row>
    <row r="251" spans="1:27" ht="19.5" thickBot="1" x14ac:dyDescent="0.35">
      <c r="A251" s="142">
        <v>160</v>
      </c>
      <c r="B251" s="143" t="s">
        <v>276</v>
      </c>
      <c r="C251" s="142">
        <v>44</v>
      </c>
      <c r="D251" s="143" t="s">
        <v>319</v>
      </c>
      <c r="E251" s="142">
        <v>557182</v>
      </c>
      <c r="F251" s="143" t="s">
        <v>322</v>
      </c>
      <c r="G251" s="144">
        <v>2.8395425426615799</v>
      </c>
      <c r="H251" s="145">
        <v>4.5782022296502554</v>
      </c>
      <c r="I251" s="146">
        <v>2.9758314492726656</v>
      </c>
      <c r="J251" s="147">
        <v>0.93283547426540048</v>
      </c>
      <c r="K251" s="148">
        <v>257</v>
      </c>
      <c r="M251" s="149">
        <f t="shared" si="24"/>
        <v>0.64999999999999991</v>
      </c>
      <c r="N251" s="138">
        <f t="shared" si="25"/>
        <v>2.9758314492726656</v>
      </c>
      <c r="O251" s="149"/>
      <c r="V251" s="158">
        <f t="shared" si="26"/>
        <v>205.17563253705825</v>
      </c>
      <c r="W251" s="158">
        <f t="shared" si="27"/>
        <v>86.604807122639613</v>
      </c>
      <c r="X251" s="158">
        <f t="shared" si="28"/>
        <v>64.239170886473687</v>
      </c>
      <c r="Y251" s="158">
        <f t="shared" si="29"/>
        <v>51.641632767708749</v>
      </c>
      <c r="Z251" s="158">
        <f t="shared" si="30"/>
        <v>36.000070256469201</v>
      </c>
      <c r="AA251" s="158">
        <f t="shared" si="31"/>
        <v>24.319180178309427</v>
      </c>
    </row>
    <row r="252" spans="1:27" ht="19.5" thickBot="1" x14ac:dyDescent="0.35">
      <c r="A252" s="142">
        <v>160</v>
      </c>
      <c r="B252" s="143" t="s">
        <v>276</v>
      </c>
      <c r="C252" s="142">
        <v>44</v>
      </c>
      <c r="D252" s="143" t="s">
        <v>319</v>
      </c>
      <c r="E252" s="142">
        <v>457192</v>
      </c>
      <c r="F252" s="143" t="s">
        <v>323</v>
      </c>
      <c r="G252" s="144">
        <v>2.5984562648251952</v>
      </c>
      <c r="H252" s="145">
        <v>6.9271899025827572</v>
      </c>
      <c r="I252" s="146">
        <v>4.7720641551125667</v>
      </c>
      <c r="J252" s="147">
        <v>0.89229449610408706</v>
      </c>
      <c r="K252" s="148">
        <v>223</v>
      </c>
      <c r="M252" s="149">
        <f t="shared" si="24"/>
        <v>0.68888888888888899</v>
      </c>
      <c r="N252" s="138">
        <f t="shared" si="25"/>
        <v>4.7720641551125667</v>
      </c>
      <c r="O252" s="149"/>
      <c r="V252" s="158">
        <f t="shared" si="26"/>
        <v>169.45724841545774</v>
      </c>
      <c r="W252" s="158">
        <f t="shared" si="27"/>
        <v>67.078680216208198</v>
      </c>
      <c r="X252" s="158">
        <f t="shared" si="28"/>
        <v>47.767337761426923</v>
      </c>
      <c r="Y252" s="158">
        <f t="shared" si="29"/>
        <v>36.890143384758701</v>
      </c>
      <c r="Z252" s="158">
        <f t="shared" si="30"/>
        <v>23.384622370606834</v>
      </c>
      <c r="AA252" s="158">
        <f t="shared" si="31"/>
        <v>13.298896836394645</v>
      </c>
    </row>
    <row r="253" spans="1:27" ht="19.5" thickBot="1" x14ac:dyDescent="0.35">
      <c r="A253" s="142">
        <v>160</v>
      </c>
      <c r="B253" s="143" t="s">
        <v>276</v>
      </c>
      <c r="C253" s="142">
        <v>44</v>
      </c>
      <c r="D253" s="143" t="s">
        <v>319</v>
      </c>
      <c r="E253" s="142">
        <v>557303</v>
      </c>
      <c r="F253" s="143" t="s">
        <v>324</v>
      </c>
      <c r="G253" s="144">
        <v>3.4220960403097598</v>
      </c>
      <c r="H253" s="145">
        <v>2.6299671002761635</v>
      </c>
      <c r="I253" s="146">
        <v>2.0163081102117255</v>
      </c>
      <c r="J253" s="147">
        <v>0.95449191922805421</v>
      </c>
      <c r="K253" s="148">
        <v>269</v>
      </c>
      <c r="M253" s="149">
        <f t="shared" si="24"/>
        <v>0.76666666666666672</v>
      </c>
      <c r="N253" s="138">
        <f t="shared" si="25"/>
        <v>2.0163081102117255</v>
      </c>
      <c r="O253" s="149"/>
      <c r="V253" s="158">
        <f t="shared" si="26"/>
        <v>214.50803919512106</v>
      </c>
      <c r="W253" s="158">
        <f t="shared" si="27"/>
        <v>93.356640487488875</v>
      </c>
      <c r="X253" s="158">
        <f t="shared" si="28"/>
        <v>70.504238950035258</v>
      </c>
      <c r="Y253" s="158">
        <f t="shared" si="29"/>
        <v>57.632528240197402</v>
      </c>
      <c r="Z253" s="158">
        <f t="shared" si="30"/>
        <v>41.650543046231675</v>
      </c>
      <c r="AA253" s="158">
        <f t="shared" si="31"/>
        <v>29.715430288324942</v>
      </c>
    </row>
    <row r="254" spans="1:27" ht="19.5" thickBot="1" x14ac:dyDescent="0.35">
      <c r="A254" s="142">
        <v>160</v>
      </c>
      <c r="B254" s="143" t="s">
        <v>276</v>
      </c>
      <c r="C254" s="142">
        <v>44</v>
      </c>
      <c r="D254" s="143" t="s">
        <v>319</v>
      </c>
      <c r="E254" s="142">
        <v>457306</v>
      </c>
      <c r="F254" s="143" t="s">
        <v>325</v>
      </c>
      <c r="G254" s="144">
        <v>2.6425147732690633</v>
      </c>
      <c r="H254" s="145">
        <v>7.9469754388622906</v>
      </c>
      <c r="I254" s="146">
        <v>6.2629735006271865</v>
      </c>
      <c r="J254" s="147">
        <v>0.85864466720358057</v>
      </c>
      <c r="K254" s="148">
        <v>193</v>
      </c>
      <c r="M254" s="149">
        <f t="shared" si="24"/>
        <v>0.78809523809523818</v>
      </c>
      <c r="N254" s="138">
        <f t="shared" si="25"/>
        <v>6.2629735006271865</v>
      </c>
      <c r="O254" s="149"/>
      <c r="V254" s="158">
        <f t="shared" si="26"/>
        <v>144.95656936574261</v>
      </c>
      <c r="W254" s="158">
        <f t="shared" si="27"/>
        <v>53.948156494305195</v>
      </c>
      <c r="X254" s="158">
        <f t="shared" si="28"/>
        <v>36.781530137448868</v>
      </c>
      <c r="Y254" s="158">
        <f t="shared" si="29"/>
        <v>27.112356069804939</v>
      </c>
      <c r="Z254" s="158">
        <f t="shared" si="30"/>
        <v>15.10675710393841</v>
      </c>
      <c r="AA254" s="158">
        <f t="shared" si="31"/>
        <v>6.1411514144821124</v>
      </c>
    </row>
    <row r="255" spans="1:27" ht="19.5" thickBot="1" x14ac:dyDescent="0.35">
      <c r="A255" s="142">
        <v>160</v>
      </c>
      <c r="B255" s="143" t="s">
        <v>276</v>
      </c>
      <c r="C255" s="142">
        <v>44</v>
      </c>
      <c r="D255" s="143" t="s">
        <v>319</v>
      </c>
      <c r="E255" s="142">
        <v>557307</v>
      </c>
      <c r="F255" s="143" t="s">
        <v>326</v>
      </c>
      <c r="G255" s="144">
        <v>3.049660826332139</v>
      </c>
      <c r="H255" s="145">
        <v>20.658034970980953</v>
      </c>
      <c r="I255" s="146">
        <v>13.427722731137621</v>
      </c>
      <c r="J255" s="147">
        <v>0.69693625317623853</v>
      </c>
      <c r="K255" s="148">
        <v>49</v>
      </c>
      <c r="M255" s="149">
        <f t="shared" si="24"/>
        <v>0.65</v>
      </c>
      <c r="N255" s="138">
        <f t="shared" si="25"/>
        <v>13.427722731137621</v>
      </c>
      <c r="O255" s="149"/>
      <c r="V255" s="158">
        <f t="shared" si="26"/>
        <v>164.63302016890054</v>
      </c>
      <c r="W255" s="158">
        <f t="shared" si="27"/>
        <v>37.288282071304913</v>
      </c>
      <c r="X255" s="158">
        <f t="shared" si="28"/>
        <v>13.267650698232771</v>
      </c>
      <c r="Y255" s="158">
        <f t="shared" si="29"/>
        <v>-0.2620703507827184</v>
      </c>
      <c r="Z255" s="158">
        <f t="shared" si="30"/>
        <v>-17.061065166490152</v>
      </c>
      <c r="AA255" s="158">
        <f t="shared" si="31"/>
        <v>-29.606308758672938</v>
      </c>
    </row>
    <row r="256" spans="1:27" ht="19.5" thickBot="1" x14ac:dyDescent="0.35">
      <c r="A256" s="142">
        <v>160</v>
      </c>
      <c r="B256" s="143" t="s">
        <v>276</v>
      </c>
      <c r="C256" s="142">
        <v>44</v>
      </c>
      <c r="D256" s="143" t="s">
        <v>319</v>
      </c>
      <c r="E256" s="142">
        <v>557347</v>
      </c>
      <c r="F256" s="143" t="s">
        <v>327</v>
      </c>
      <c r="G256" s="144">
        <v>2.8493458840345491</v>
      </c>
      <c r="H256" s="145">
        <v>4.5624506567776066</v>
      </c>
      <c r="I256" s="146">
        <v>3.0884281368956112</v>
      </c>
      <c r="J256" s="147">
        <v>0.93029416665023634</v>
      </c>
      <c r="K256" s="148">
        <v>256</v>
      </c>
      <c r="M256" s="149">
        <f t="shared" si="24"/>
        <v>0.67692307692307707</v>
      </c>
      <c r="N256" s="138">
        <f t="shared" si="25"/>
        <v>3.0884281368956112</v>
      </c>
      <c r="O256" s="149"/>
      <c r="V256" s="158">
        <f t="shared" si="26"/>
        <v>197.15684250376475</v>
      </c>
      <c r="W256" s="158">
        <f t="shared" si="27"/>
        <v>82.908825197098238</v>
      </c>
      <c r="X256" s="158">
        <f t="shared" si="28"/>
        <v>61.358586452843319</v>
      </c>
      <c r="Y256" s="158">
        <f t="shared" si="29"/>
        <v>49.220324380501928</v>
      </c>
      <c r="Z256" s="158">
        <f t="shared" si="30"/>
        <v>34.149015749212822</v>
      </c>
      <c r="AA256" s="158">
        <f t="shared" si="31"/>
        <v>22.893982926909608</v>
      </c>
    </row>
    <row r="257" spans="1:27" ht="19.5" thickBot="1" x14ac:dyDescent="0.35">
      <c r="A257" s="142">
        <v>160</v>
      </c>
      <c r="B257" s="143" t="s">
        <v>276</v>
      </c>
      <c r="C257" s="142">
        <v>44</v>
      </c>
      <c r="D257" s="143" t="s">
        <v>319</v>
      </c>
      <c r="E257" s="142">
        <v>457348</v>
      </c>
      <c r="F257" s="143" t="s">
        <v>328</v>
      </c>
      <c r="G257" s="144">
        <v>7.8533208781537667</v>
      </c>
      <c r="H257" s="145">
        <v>11.587454710165</v>
      </c>
      <c r="I257" s="146">
        <v>8.0061671967211474</v>
      </c>
      <c r="J257" s="147">
        <v>0.81930077966911996</v>
      </c>
      <c r="K257" s="148">
        <v>147</v>
      </c>
      <c r="M257" s="149">
        <f t="shared" si="24"/>
        <v>0.69093406593406603</v>
      </c>
      <c r="N257" s="138">
        <f t="shared" si="25"/>
        <v>8.0061671967211474</v>
      </c>
      <c r="O257" s="149"/>
      <c r="V257" s="158">
        <f t="shared" si="26"/>
        <v>468.86283544309572</v>
      </c>
      <c r="W257" s="158">
        <f t="shared" si="27"/>
        <v>160.35971803972021</v>
      </c>
      <c r="X257" s="158">
        <f t="shared" si="28"/>
        <v>102.16775996359772</v>
      </c>
      <c r="Y257" s="158">
        <f t="shared" si="29"/>
        <v>69.390896281798234</v>
      </c>
      <c r="Z257" s="158">
        <f t="shared" si="30"/>
        <v>28.693947610726759</v>
      </c>
      <c r="AA257" s="158">
        <f t="shared" si="31"/>
        <v>-1.6979383406738993</v>
      </c>
    </row>
    <row r="258" spans="1:27" ht="19.5" thickBot="1" x14ac:dyDescent="0.35">
      <c r="A258" s="142">
        <v>160</v>
      </c>
      <c r="B258" s="143" t="s">
        <v>276</v>
      </c>
      <c r="C258" s="142">
        <v>44</v>
      </c>
      <c r="D258" s="143" t="s">
        <v>319</v>
      </c>
      <c r="E258" s="142">
        <v>457350</v>
      </c>
      <c r="F258" s="143" t="s">
        <v>329</v>
      </c>
      <c r="G258" s="144">
        <v>8.9100383937324263</v>
      </c>
      <c r="H258" s="145">
        <v>12.794557662084916</v>
      </c>
      <c r="I258" s="146">
        <v>8.5774041168845585</v>
      </c>
      <c r="J258" s="147">
        <v>0.80640796047593422</v>
      </c>
      <c r="K258" s="148">
        <v>131</v>
      </c>
      <c r="M258" s="149">
        <f t="shared" si="24"/>
        <v>0.67039473684210527</v>
      </c>
      <c r="N258" s="138">
        <f t="shared" si="25"/>
        <v>8.5774041168845585</v>
      </c>
      <c r="O258" s="149"/>
      <c r="V258" s="158">
        <f t="shared" si="26"/>
        <v>539.62180493450182</v>
      </c>
      <c r="W258" s="158">
        <f t="shared" si="27"/>
        <v>178.88388279013827</v>
      </c>
      <c r="X258" s="158">
        <f t="shared" si="28"/>
        <v>110.83904026608457</v>
      </c>
      <c r="Y258" s="158">
        <f t="shared" si="29"/>
        <v>72.512498224950491</v>
      </c>
      <c r="Z258" s="158">
        <f t="shared" si="30"/>
        <v>24.92486661595624</v>
      </c>
      <c r="AA258" s="158">
        <f t="shared" si="31"/>
        <v>-10.612880556373584</v>
      </c>
    </row>
    <row r="259" spans="1:27" ht="19.5" thickBot="1" x14ac:dyDescent="0.35">
      <c r="A259" s="142">
        <v>160</v>
      </c>
      <c r="B259" s="143" t="s">
        <v>276</v>
      </c>
      <c r="C259" s="142">
        <v>44</v>
      </c>
      <c r="D259" s="143" t="s">
        <v>319</v>
      </c>
      <c r="E259" s="142">
        <v>557352</v>
      </c>
      <c r="F259" s="143" t="s">
        <v>330</v>
      </c>
      <c r="G259" s="144">
        <v>3.7235578407680481</v>
      </c>
      <c r="H259" s="145">
        <v>16.65074175058643</v>
      </c>
      <c r="I259" s="146">
        <v>11.856939488522434</v>
      </c>
      <c r="J259" s="147">
        <v>0.7323888362006874</v>
      </c>
      <c r="K259" s="148">
        <v>65</v>
      </c>
      <c r="M259" s="149">
        <f t="shared" si="24"/>
        <v>0.71209677419354833</v>
      </c>
      <c r="N259" s="138">
        <f t="shared" si="25"/>
        <v>11.856939488522434</v>
      </c>
      <c r="O259" s="149"/>
      <c r="V259" s="158">
        <f t="shared" si="26"/>
        <v>192.81752606254878</v>
      </c>
      <c r="W259" s="158">
        <f t="shared" si="27"/>
        <v>50.891544639718035</v>
      </c>
      <c r="X259" s="158">
        <f t="shared" si="28"/>
        <v>24.12049989182616</v>
      </c>
      <c r="Y259" s="158">
        <f t="shared" si="29"/>
        <v>9.0415970102087044</v>
      </c>
      <c r="Z259" s="158">
        <f t="shared" si="30"/>
        <v>-9.680918436869197</v>
      </c>
      <c r="AA259" s="158">
        <f t="shared" si="31"/>
        <v>-23.662619099243393</v>
      </c>
    </row>
    <row r="260" spans="1:27" ht="19.5" thickBot="1" x14ac:dyDescent="0.35">
      <c r="A260" s="142">
        <v>160</v>
      </c>
      <c r="B260" s="143" t="s">
        <v>276</v>
      </c>
      <c r="C260" s="142">
        <v>44</v>
      </c>
      <c r="D260" s="143" t="s">
        <v>319</v>
      </c>
      <c r="E260" s="142">
        <v>457449</v>
      </c>
      <c r="F260" s="143" t="s">
        <v>331</v>
      </c>
      <c r="G260" s="144">
        <v>2.4875433198240544</v>
      </c>
      <c r="H260" s="145">
        <v>15.276115875918801</v>
      </c>
      <c r="I260" s="146">
        <v>10.582730274567433</v>
      </c>
      <c r="J260" s="147">
        <v>0.76114774240918981</v>
      </c>
      <c r="K260" s="148">
        <v>89</v>
      </c>
      <c r="M260" s="149">
        <f t="shared" si="24"/>
        <v>0.69276315789473686</v>
      </c>
      <c r="N260" s="138">
        <f t="shared" si="25"/>
        <v>10.582730274567433</v>
      </c>
      <c r="O260" s="149"/>
      <c r="V260" s="158">
        <f t="shared" si="26"/>
        <v>137.60700339924102</v>
      </c>
      <c r="W260" s="158">
        <f t="shared" si="27"/>
        <v>40.146491217633255</v>
      </c>
      <c r="X260" s="158">
        <f t="shared" si="28"/>
        <v>21.76282596755404</v>
      </c>
      <c r="Y260" s="158">
        <f t="shared" si="29"/>
        <v>11.408149654970492</v>
      </c>
      <c r="Z260" s="158">
        <f t="shared" si="30"/>
        <v>-1.4485938849177291</v>
      </c>
      <c r="AA260" s="158">
        <f t="shared" si="31"/>
        <v>-11.049821891685701</v>
      </c>
    </row>
    <row r="261" spans="1:27" ht="19.5" thickBot="1" x14ac:dyDescent="0.35">
      <c r="A261" s="142">
        <v>160</v>
      </c>
      <c r="B261" s="143" t="s">
        <v>276</v>
      </c>
      <c r="C261" s="142">
        <v>44</v>
      </c>
      <c r="D261" s="143" t="s">
        <v>319</v>
      </c>
      <c r="E261" s="142">
        <v>557508</v>
      </c>
      <c r="F261" s="143" t="s">
        <v>332</v>
      </c>
      <c r="G261" s="144">
        <v>2.6455275505029943</v>
      </c>
      <c r="H261" s="145">
        <v>29.861718879086983</v>
      </c>
      <c r="I261" s="146">
        <v>19.674714780461738</v>
      </c>
      <c r="J261" s="147">
        <v>0.55594162178902806</v>
      </c>
      <c r="K261" s="148">
        <v>14</v>
      </c>
      <c r="M261" s="149">
        <f t="shared" si="24"/>
        <v>0.65886075949367084</v>
      </c>
      <c r="N261" s="138">
        <f t="shared" si="25"/>
        <v>19.674714780461738</v>
      </c>
      <c r="O261" s="149"/>
      <c r="V261" s="158">
        <f t="shared" si="26"/>
        <v>112.3915188662709</v>
      </c>
      <c r="W261" s="158">
        <f t="shared" si="27"/>
        <v>3.4078394484521861</v>
      </c>
      <c r="X261" s="158">
        <f t="shared" si="28"/>
        <v>-17.149404047311229</v>
      </c>
      <c r="Y261" s="158">
        <f t="shared" si="29"/>
        <v>-28.728357394314564</v>
      </c>
      <c r="Z261" s="158">
        <f t="shared" si="30"/>
        <v>-43.105207925300306</v>
      </c>
      <c r="AA261" s="158">
        <f t="shared" si="31"/>
        <v>-53.841629596850382</v>
      </c>
    </row>
    <row r="262" spans="1:27" ht="19.5" thickBot="1" x14ac:dyDescent="0.35">
      <c r="A262" s="142">
        <v>160</v>
      </c>
      <c r="B262" s="143" t="s">
        <v>276</v>
      </c>
      <c r="C262" s="142">
        <v>44</v>
      </c>
      <c r="D262" s="143" t="s">
        <v>319</v>
      </c>
      <c r="E262" s="142">
        <v>557622</v>
      </c>
      <c r="F262" s="143" t="s">
        <v>333</v>
      </c>
      <c r="G262" s="144">
        <v>2.5458872462458033</v>
      </c>
      <c r="H262" s="145">
        <v>8.641388196763808</v>
      </c>
      <c r="I262" s="146">
        <v>5.6169023278964758</v>
      </c>
      <c r="J262" s="147">
        <v>0.87322649572678557</v>
      </c>
      <c r="K262" s="148">
        <v>205</v>
      </c>
      <c r="M262" s="149">
        <f t="shared" ref="M262:M297" si="32">IF(ISERROR(I262/H262),$O$3,(I262/H262))</f>
        <v>0.65</v>
      </c>
      <c r="N262" s="138">
        <f t="shared" ref="N262:N297" si="33">I262</f>
        <v>5.6169023278964758</v>
      </c>
      <c r="O262" s="149"/>
      <c r="V262" s="158">
        <f t="shared" ref="V262:V297" si="34">(((($O$5-N262))/M262)*G262)+((((($O$5-N262)/$T$2))*$T$3/M262)*G262)</f>
        <v>172.20209000550727</v>
      </c>
      <c r="W262" s="158">
        <f t="shared" ref="W262:W297" si="35">(((($P$5-N262))/M262)*G262)+((((($P$5-N262)/$T$2))*$T$3/M262)*G262)</f>
        <v>65.893433711716696</v>
      </c>
      <c r="X262" s="158">
        <f t="shared" ref="X262:X297" si="36">(((($Q$5-N262))/M262)*G262)+((((($Q$5-N262)/$T$2))*$T$3/M262)*G262)</f>
        <v>45.840771287277001</v>
      </c>
      <c r="Y262" s="158">
        <f t="shared" ref="Y262:Y297" si="37">(((($R$5-N262))/M262)*G262)+((((($R$5-N262)/$T$2))*$T$3/M262)*G262)</f>
        <v>34.546025338305519</v>
      </c>
      <c r="Z262" s="158">
        <f t="shared" ref="Z262:Z297" si="38">(((($S$5-N262))/M262)*G262)+((((($S$5-N262)/$T$2))*$T$3/M262)*G262)</f>
        <v>20.522057072137088</v>
      </c>
      <c r="AA262" s="158">
        <f t="shared" ref="AA262:AA297" si="39">(((($T$5-N262))/M262)*G262)+((((($T$5-N262)/$T$2))*$T$3/M262)*G262)</f>
        <v>10.04916271398049</v>
      </c>
    </row>
    <row r="263" spans="1:27" ht="19.5" thickBot="1" x14ac:dyDescent="0.35">
      <c r="A263" s="142">
        <v>160</v>
      </c>
      <c r="B263" s="143" t="s">
        <v>276</v>
      </c>
      <c r="C263" s="142">
        <v>44</v>
      </c>
      <c r="D263" s="143" t="s">
        <v>319</v>
      </c>
      <c r="E263" s="142">
        <v>557628</v>
      </c>
      <c r="F263" s="143" t="s">
        <v>334</v>
      </c>
      <c r="G263" s="144">
        <v>2.3152426595163873</v>
      </c>
      <c r="H263" s="145">
        <v>14.253365565963227</v>
      </c>
      <c r="I263" s="146">
        <v>9.2646876178760973</v>
      </c>
      <c r="J263" s="147">
        <v>0.79089596956643748</v>
      </c>
      <c r="K263" s="148">
        <v>113</v>
      </c>
      <c r="M263" s="149">
        <f t="shared" si="32"/>
        <v>0.65</v>
      </c>
      <c r="N263" s="138">
        <f t="shared" si="33"/>
        <v>9.2646876178760973</v>
      </c>
      <c r="O263" s="149"/>
      <c r="V263" s="158">
        <f t="shared" si="34"/>
        <v>141.83657195533911</v>
      </c>
      <c r="W263" s="158">
        <f t="shared" si="35"/>
        <v>45.158945524633644</v>
      </c>
      <c r="X263" s="158">
        <f t="shared" si="36"/>
        <v>26.922953514223295</v>
      </c>
      <c r="Y263" s="158">
        <f t="shared" si="37"/>
        <v>16.651454771291966</v>
      </c>
      <c r="Z263" s="158">
        <f t="shared" si="38"/>
        <v>3.8979875337243</v>
      </c>
      <c r="AA263" s="158">
        <f t="shared" si="39"/>
        <v>-5.6261152411994546</v>
      </c>
    </row>
    <row r="264" spans="1:27" ht="19.5" thickBot="1" x14ac:dyDescent="0.35">
      <c r="A264" s="142">
        <v>160</v>
      </c>
      <c r="B264" s="143" t="s">
        <v>276</v>
      </c>
      <c r="C264" s="142">
        <v>44</v>
      </c>
      <c r="D264" s="143" t="s">
        <v>319</v>
      </c>
      <c r="E264" s="142">
        <v>457632</v>
      </c>
      <c r="F264" s="143" t="s">
        <v>335</v>
      </c>
      <c r="G264" s="144">
        <v>8.7242769703991669</v>
      </c>
      <c r="H264" s="145">
        <v>11.576890594221803</v>
      </c>
      <c r="I264" s="146">
        <v>8.5537174316218021</v>
      </c>
      <c r="J264" s="147">
        <v>0.80694256904131056</v>
      </c>
      <c r="K264" s="148">
        <v>132</v>
      </c>
      <c r="M264" s="149">
        <f t="shared" si="32"/>
        <v>0.73886138613861385</v>
      </c>
      <c r="N264" s="138">
        <f t="shared" si="33"/>
        <v>8.5537174316218021</v>
      </c>
      <c r="O264" s="149"/>
      <c r="V264" s="158">
        <f t="shared" si="34"/>
        <v>479.72771077198308</v>
      </c>
      <c r="W264" s="158">
        <f t="shared" si="35"/>
        <v>159.24153979459612</v>
      </c>
      <c r="X264" s="158">
        <f t="shared" si="36"/>
        <v>98.789256581171884</v>
      </c>
      <c r="Y264" s="158">
        <f t="shared" si="37"/>
        <v>64.739255315567988</v>
      </c>
      <c r="Z264" s="158">
        <f t="shared" si="38"/>
        <v>22.461532614305458</v>
      </c>
      <c r="AA264" s="158">
        <f t="shared" si="39"/>
        <v>-9.110852259233134</v>
      </c>
    </row>
    <row r="265" spans="1:27" ht="19.5" thickBot="1" x14ac:dyDescent="0.35">
      <c r="A265" s="142">
        <v>160</v>
      </c>
      <c r="B265" s="143" t="s">
        <v>276</v>
      </c>
      <c r="C265" s="142">
        <v>44</v>
      </c>
      <c r="D265" s="143" t="s">
        <v>319</v>
      </c>
      <c r="E265" s="142">
        <v>557633</v>
      </c>
      <c r="F265" s="143" t="s">
        <v>336</v>
      </c>
      <c r="G265" s="144">
        <v>1.953744093309282</v>
      </c>
      <c r="H265" s="145">
        <v>14.331457275232586</v>
      </c>
      <c r="I265" s="146">
        <v>9.4945904448415881</v>
      </c>
      <c r="J265" s="147">
        <v>0.78570706199509133</v>
      </c>
      <c r="K265" s="148">
        <v>110</v>
      </c>
      <c r="M265" s="149">
        <f t="shared" si="32"/>
        <v>0.66249999999999998</v>
      </c>
      <c r="N265" s="138">
        <f t="shared" si="33"/>
        <v>9.4945904448415881</v>
      </c>
      <c r="O265" s="149"/>
      <c r="V265" s="158">
        <f t="shared" si="34"/>
        <v>116.66166130876709</v>
      </c>
      <c r="W265" s="158">
        <f t="shared" si="35"/>
        <v>36.618429469297567</v>
      </c>
      <c r="X265" s="158">
        <f t="shared" si="36"/>
        <v>21.520130201904816</v>
      </c>
      <c r="Y265" s="158">
        <f t="shared" si="37"/>
        <v>13.01595001489366</v>
      </c>
      <c r="Z265" s="158">
        <f t="shared" si="38"/>
        <v>2.4568499154989367</v>
      </c>
      <c r="AA265" s="158">
        <f t="shared" si="39"/>
        <v>-5.4285315799039422</v>
      </c>
    </row>
    <row r="266" spans="1:27" ht="19.5" thickBot="1" x14ac:dyDescent="0.35">
      <c r="A266" s="142">
        <v>160</v>
      </c>
      <c r="B266" s="143" t="s">
        <v>276</v>
      </c>
      <c r="C266" s="142">
        <v>44</v>
      </c>
      <c r="D266" s="143" t="s">
        <v>319</v>
      </c>
      <c r="E266" s="142">
        <v>457634</v>
      </c>
      <c r="F266" s="143" t="s">
        <v>337</v>
      </c>
      <c r="G266" s="144">
        <v>1.6595588506878931</v>
      </c>
      <c r="H266" s="145">
        <v>-3.6154186382200177</v>
      </c>
      <c r="I266" s="146">
        <v>-2.7718209559686797</v>
      </c>
      <c r="J266" s="147">
        <v>1.0625600082203455</v>
      </c>
      <c r="K266" s="148">
        <v>292</v>
      </c>
      <c r="M266" s="149">
        <f t="shared" si="32"/>
        <v>0.7666666666666665</v>
      </c>
      <c r="N266" s="138">
        <f t="shared" si="33"/>
        <v>-2.7718209559686797</v>
      </c>
      <c r="O266" s="149"/>
      <c r="V266" s="158">
        <f t="shared" si="34"/>
        <v>115.80444975739297</v>
      </c>
      <c r="W266" s="158">
        <f t="shared" si="35"/>
        <v>57.051605409906607</v>
      </c>
      <c r="X266" s="158">
        <f t="shared" si="36"/>
        <v>45.969243961184119</v>
      </c>
      <c r="Y266" s="158">
        <f t="shared" si="37"/>
        <v>39.727057540819366</v>
      </c>
      <c r="Z266" s="158">
        <f t="shared" si="38"/>
        <v>31.976531352253399</v>
      </c>
      <c r="AA266" s="158">
        <f t="shared" si="39"/>
        <v>26.188551769556113</v>
      </c>
    </row>
    <row r="267" spans="1:27" ht="19.5" thickBot="1" x14ac:dyDescent="0.35">
      <c r="A267" s="142">
        <v>160</v>
      </c>
      <c r="B267" s="143" t="s">
        <v>276</v>
      </c>
      <c r="C267" s="142">
        <v>44</v>
      </c>
      <c r="D267" s="143" t="s">
        <v>319</v>
      </c>
      <c r="E267" s="142">
        <v>557660</v>
      </c>
      <c r="F267" s="143" t="s">
        <v>546</v>
      </c>
      <c r="G267" s="144">
        <v>1.9110045249520344</v>
      </c>
      <c r="H267" s="145">
        <v>24.594394930163592</v>
      </c>
      <c r="I267" s="146">
        <v>17.085255201485985</v>
      </c>
      <c r="J267" s="147">
        <v>0.6143857331224607</v>
      </c>
      <c r="K267" s="148">
        <v>22</v>
      </c>
      <c r="M267" s="149">
        <f t="shared" si="32"/>
        <v>0.69468085106382982</v>
      </c>
      <c r="N267" s="138">
        <f t="shared" si="33"/>
        <v>17.085255201485985</v>
      </c>
      <c r="O267" s="149"/>
      <c r="V267" s="158">
        <f t="shared" si="34"/>
        <v>85.09483774885004</v>
      </c>
      <c r="W267" s="158">
        <f t="shared" si="35"/>
        <v>10.429470122038724</v>
      </c>
      <c r="X267" s="158">
        <f t="shared" si="36"/>
        <v>-3.654419788858291</v>
      </c>
      <c r="Y267" s="158">
        <f t="shared" si="37"/>
        <v>-11.587229664667543</v>
      </c>
      <c r="Z267" s="158">
        <f t="shared" si="38"/>
        <v>-21.436895559102918</v>
      </c>
      <c r="AA267" s="158">
        <f t="shared" si="39"/>
        <v>-28.792481967866465</v>
      </c>
    </row>
    <row r="268" spans="1:27" ht="19.5" thickBot="1" x14ac:dyDescent="0.35">
      <c r="A268" s="142">
        <v>160</v>
      </c>
      <c r="B268" s="143" t="s">
        <v>276</v>
      </c>
      <c r="C268" s="142">
        <v>44</v>
      </c>
      <c r="D268" s="143" t="s">
        <v>319</v>
      </c>
      <c r="E268" s="142">
        <v>457158</v>
      </c>
      <c r="F268" s="143" t="s">
        <v>339</v>
      </c>
      <c r="G268" s="144">
        <v>4.3293466173291888</v>
      </c>
      <c r="H268" s="145">
        <v>7.3914155710962861</v>
      </c>
      <c r="I268" s="146">
        <v>6.0170742383455709</v>
      </c>
      <c r="J268" s="147">
        <v>0.86419461437336031</v>
      </c>
      <c r="K268" s="148">
        <v>198</v>
      </c>
      <c r="M268" s="149">
        <f t="shared" si="32"/>
        <v>0.81406250000000002</v>
      </c>
      <c r="N268" s="138">
        <f t="shared" si="33"/>
        <v>6.0170742383455709</v>
      </c>
      <c r="O268" s="149"/>
      <c r="V268" s="158">
        <f t="shared" si="34"/>
        <v>231.39920820873127</v>
      </c>
      <c r="W268" s="158">
        <f t="shared" si="35"/>
        <v>87.052319131153325</v>
      </c>
      <c r="X268" s="158">
        <f t="shared" si="36"/>
        <v>59.824626301592282</v>
      </c>
      <c r="Y268" s="158">
        <f t="shared" si="37"/>
        <v>44.488514478769474</v>
      </c>
      <c r="Z268" s="158">
        <f t="shared" si="38"/>
        <v>25.446639034969635</v>
      </c>
      <c r="AA268" s="158">
        <f t="shared" si="39"/>
        <v>11.226444998650868</v>
      </c>
    </row>
    <row r="269" spans="1:27" ht="19.5" thickBot="1" x14ac:dyDescent="0.35">
      <c r="A269" s="142">
        <v>80</v>
      </c>
      <c r="B269" s="143" t="s">
        <v>340</v>
      </c>
      <c r="C269" s="142">
        <v>57</v>
      </c>
      <c r="D269" s="143" t="s">
        <v>341</v>
      </c>
      <c r="E269" s="142">
        <v>588201</v>
      </c>
      <c r="F269" s="143" t="s">
        <v>342</v>
      </c>
      <c r="G269" s="144">
        <v>3.4371100664698147</v>
      </c>
      <c r="H269" s="145">
        <v>8.1463786316154341</v>
      </c>
      <c r="I269" s="146">
        <v>5.6660972803825205</v>
      </c>
      <c r="J269" s="147">
        <v>0.87211616548510829</v>
      </c>
      <c r="K269" s="148">
        <v>203</v>
      </c>
      <c r="M269" s="149">
        <f t="shared" si="32"/>
        <v>0.69553571428571426</v>
      </c>
      <c r="N269" s="138">
        <f t="shared" si="33"/>
        <v>5.6660972803825205</v>
      </c>
      <c r="O269" s="149"/>
      <c r="V269" s="158">
        <f t="shared" si="34"/>
        <v>216.9871651506464</v>
      </c>
      <c r="W269" s="158">
        <f t="shared" si="35"/>
        <v>82.859975554289733</v>
      </c>
      <c r="X269" s="158">
        <f t="shared" si="36"/>
        <v>57.559992009378163</v>
      </c>
      <c r="Y269" s="158">
        <f t="shared" si="37"/>
        <v>43.309670500715988</v>
      </c>
      <c r="Z269" s="158">
        <f t="shared" si="38"/>
        <v>25.615951888269084</v>
      </c>
      <c r="AA269" s="158">
        <f t="shared" si="39"/>
        <v>12.402541652727127</v>
      </c>
    </row>
    <row r="270" spans="1:27" ht="19.5" thickBot="1" x14ac:dyDescent="0.35">
      <c r="A270" s="142">
        <v>80</v>
      </c>
      <c r="B270" s="143" t="s">
        <v>340</v>
      </c>
      <c r="C270" s="142">
        <v>57</v>
      </c>
      <c r="D270" s="143" t="s">
        <v>341</v>
      </c>
      <c r="E270" s="142">
        <v>588206</v>
      </c>
      <c r="F270" s="143" t="s">
        <v>343</v>
      </c>
      <c r="G270" s="144">
        <v>2.6865209235209235</v>
      </c>
      <c r="H270" s="145">
        <v>17.494745560515621</v>
      </c>
      <c r="I270" s="146">
        <v>11.371584614335154</v>
      </c>
      <c r="J270" s="147">
        <v>0.74334329732977189</v>
      </c>
      <c r="K270" s="148">
        <v>72</v>
      </c>
      <c r="M270" s="149">
        <f t="shared" si="32"/>
        <v>0.65</v>
      </c>
      <c r="N270" s="138">
        <f t="shared" si="33"/>
        <v>11.371584614335154</v>
      </c>
      <c r="O270" s="149"/>
      <c r="V270" s="158">
        <f t="shared" si="34"/>
        <v>154.68635469364852</v>
      </c>
      <c r="W270" s="158">
        <f t="shared" si="35"/>
        <v>42.505255587310415</v>
      </c>
      <c r="X270" s="158">
        <f t="shared" si="36"/>
        <v>21.344893024121795</v>
      </c>
      <c r="Y270" s="158">
        <f t="shared" si="37"/>
        <v>9.4262303408038068</v>
      </c>
      <c r="Z270" s="158">
        <f t="shared" si="38"/>
        <v>-5.3724156846287716</v>
      </c>
      <c r="AA270" s="158">
        <f t="shared" si="39"/>
        <v>-16.423828061394914</v>
      </c>
    </row>
    <row r="271" spans="1:27" ht="19.5" thickBot="1" x14ac:dyDescent="0.35">
      <c r="A271" s="142">
        <v>80</v>
      </c>
      <c r="B271" s="143" t="s">
        <v>340</v>
      </c>
      <c r="C271" s="142">
        <v>57</v>
      </c>
      <c r="D271" s="143" t="s">
        <v>341</v>
      </c>
      <c r="E271" s="142">
        <v>588216</v>
      </c>
      <c r="F271" s="143" t="s">
        <v>547</v>
      </c>
      <c r="G271" s="144">
        <v>1</v>
      </c>
      <c r="H271" s="145">
        <v>9</v>
      </c>
      <c r="I271" s="146">
        <v>5.85</v>
      </c>
      <c r="J271" s="147">
        <v>0.86796548049001898</v>
      </c>
      <c r="K271" s="148">
        <v>200</v>
      </c>
      <c r="M271" s="149">
        <f t="shared" si="32"/>
        <v>0.64999999999999991</v>
      </c>
      <c r="N271" s="138">
        <f t="shared" si="33"/>
        <v>5.85</v>
      </c>
      <c r="O271" s="149"/>
      <c r="V271" s="158">
        <f t="shared" si="34"/>
        <v>67.231809679579314</v>
      </c>
      <c r="W271" s="158">
        <f t="shared" si="35"/>
        <v>25.474792965443743</v>
      </c>
      <c r="X271" s="158">
        <f t="shared" si="36"/>
        <v>17.598300220523637</v>
      </c>
      <c r="Y271" s="158">
        <f t="shared" si="37"/>
        <v>13.161832751028731</v>
      </c>
      <c r="Z271" s="158">
        <f t="shared" si="38"/>
        <v>7.6533530307079065</v>
      </c>
      <c r="AA271" s="158">
        <f t="shared" si="39"/>
        <v>3.5397009537747826</v>
      </c>
    </row>
    <row r="272" spans="1:27" ht="19.5" thickBot="1" x14ac:dyDescent="0.35">
      <c r="A272" s="142">
        <v>80</v>
      </c>
      <c r="B272" s="143" t="s">
        <v>340</v>
      </c>
      <c r="C272" s="142">
        <v>57</v>
      </c>
      <c r="D272" s="143" t="s">
        <v>341</v>
      </c>
      <c r="E272" s="142">
        <v>488256</v>
      </c>
      <c r="F272" s="143" t="s">
        <v>345</v>
      </c>
      <c r="G272" s="144">
        <v>2.6251377057828655</v>
      </c>
      <c r="H272" s="145">
        <v>11.808904322127823</v>
      </c>
      <c r="I272" s="146">
        <v>7.6757878093830847</v>
      </c>
      <c r="J272" s="147">
        <v>0.82675744354316849</v>
      </c>
      <c r="K272" s="148">
        <v>157</v>
      </c>
      <c r="M272" s="149">
        <f t="shared" si="32"/>
        <v>0.65</v>
      </c>
      <c r="N272" s="138">
        <f t="shared" si="33"/>
        <v>7.6757878093830847</v>
      </c>
      <c r="O272" s="149"/>
      <c r="V272" s="158">
        <f t="shared" si="34"/>
        <v>168.11348515429677</v>
      </c>
      <c r="W272" s="158">
        <f t="shared" si="35"/>
        <v>58.495566097014134</v>
      </c>
      <c r="X272" s="158">
        <f t="shared" si="36"/>
        <v>37.818688002999188</v>
      </c>
      <c r="Y272" s="158">
        <f t="shared" si="37"/>
        <v>26.17234996834901</v>
      </c>
      <c r="Z272" s="158">
        <f t="shared" si="38"/>
        <v>11.711832152994564</v>
      </c>
      <c r="AA272" s="158">
        <f t="shared" si="39"/>
        <v>0.91292897736542411</v>
      </c>
    </row>
    <row r="273" spans="1:27" ht="19.5" thickBot="1" x14ac:dyDescent="0.35">
      <c r="A273" s="142">
        <v>80</v>
      </c>
      <c r="B273" s="143" t="s">
        <v>340</v>
      </c>
      <c r="C273" s="142">
        <v>57</v>
      </c>
      <c r="D273" s="143" t="s">
        <v>341</v>
      </c>
      <c r="E273" s="142">
        <v>488281</v>
      </c>
      <c r="F273" s="143" t="s">
        <v>346</v>
      </c>
      <c r="G273" s="144">
        <v>4.5014537386150302</v>
      </c>
      <c r="H273" s="145">
        <v>0.22215045584533136</v>
      </c>
      <c r="I273" s="146">
        <v>0.22215045584533136</v>
      </c>
      <c r="J273" s="147">
        <v>0.9949860634706903</v>
      </c>
      <c r="K273" s="148">
        <v>284</v>
      </c>
      <c r="M273" s="149">
        <f t="shared" si="32"/>
        <v>1</v>
      </c>
      <c r="N273" s="138">
        <f t="shared" si="33"/>
        <v>0.22215045584533136</v>
      </c>
      <c r="O273" s="149"/>
      <c r="V273" s="158">
        <f t="shared" si="34"/>
        <v>225.50464582214533</v>
      </c>
      <c r="W273" s="158">
        <f t="shared" si="35"/>
        <v>103.32591447132903</v>
      </c>
      <c r="X273" s="158">
        <f t="shared" si="36"/>
        <v>80.279730457362433</v>
      </c>
      <c r="Y273" s="158">
        <f t="shared" si="37"/>
        <v>67.298870957441252</v>
      </c>
      <c r="Z273" s="158">
        <f t="shared" si="38"/>
        <v>51.181362647211145</v>
      </c>
      <c r="AA273" s="158">
        <f t="shared" si="39"/>
        <v>39.145043208514288</v>
      </c>
    </row>
    <row r="274" spans="1:27" ht="19.5" thickBot="1" x14ac:dyDescent="0.35">
      <c r="A274" s="142">
        <v>80</v>
      </c>
      <c r="B274" s="143" t="s">
        <v>340</v>
      </c>
      <c r="C274" s="142">
        <v>57</v>
      </c>
      <c r="D274" s="143" t="s">
        <v>341</v>
      </c>
      <c r="E274" s="142">
        <v>488286</v>
      </c>
      <c r="F274" s="143" t="s">
        <v>347</v>
      </c>
      <c r="G274" s="144">
        <v>8.6759634028119379</v>
      </c>
      <c r="H274" s="145">
        <v>17.058624285117688</v>
      </c>
      <c r="I274" s="146">
        <v>11.036238346621746</v>
      </c>
      <c r="J274" s="147">
        <v>0.75091206371045671</v>
      </c>
      <c r="K274" s="148">
        <v>80</v>
      </c>
      <c r="M274" s="149">
        <f t="shared" si="32"/>
        <v>0.64695945945945932</v>
      </c>
      <c r="N274" s="138">
        <f t="shared" si="33"/>
        <v>11.036238346621746</v>
      </c>
      <c r="O274" s="149"/>
      <c r="V274" s="158">
        <f t="shared" si="34"/>
        <v>507.00872170174028</v>
      </c>
      <c r="W274" s="158">
        <f t="shared" si="35"/>
        <v>143.02374043051969</v>
      </c>
      <c r="X274" s="158">
        <f t="shared" si="36"/>
        <v>74.366415510271281</v>
      </c>
      <c r="Y274" s="158">
        <f t="shared" si="37"/>
        <v>35.694890198745888</v>
      </c>
      <c r="Z274" s="158">
        <f t="shared" si="38"/>
        <v>-12.321085213480831</v>
      </c>
      <c r="AA274" s="158">
        <f t="shared" si="39"/>
        <v>-48.17871327223898</v>
      </c>
    </row>
    <row r="275" spans="1:27" ht="19.5" thickBot="1" x14ac:dyDescent="0.35">
      <c r="A275" s="142">
        <v>80</v>
      </c>
      <c r="B275" s="143" t="s">
        <v>340</v>
      </c>
      <c r="C275" s="142">
        <v>57</v>
      </c>
      <c r="D275" s="143" t="s">
        <v>341</v>
      </c>
      <c r="E275" s="142">
        <v>488291</v>
      </c>
      <c r="F275" s="143" t="s">
        <v>348</v>
      </c>
      <c r="G275" s="144">
        <v>1.8989247311827957</v>
      </c>
      <c r="H275" s="145">
        <v>12.638731596828991</v>
      </c>
      <c r="I275" s="146">
        <v>8.215175537938844</v>
      </c>
      <c r="J275" s="147">
        <v>0.81458346071078547</v>
      </c>
      <c r="K275" s="148">
        <v>141</v>
      </c>
      <c r="M275" s="149">
        <f t="shared" si="32"/>
        <v>0.64999999999999991</v>
      </c>
      <c r="N275" s="138">
        <f t="shared" si="33"/>
        <v>8.215175537938844</v>
      </c>
      <c r="O275" s="149"/>
      <c r="V275" s="158">
        <f t="shared" si="34"/>
        <v>119.81623996437027</v>
      </c>
      <c r="W275" s="158">
        <f t="shared" si="35"/>
        <v>40.522808225484866</v>
      </c>
      <c r="X275" s="158">
        <f t="shared" si="36"/>
        <v>25.565941357174214</v>
      </c>
      <c r="Y275" s="158">
        <f t="shared" si="37"/>
        <v>17.141423560262378</v>
      </c>
      <c r="Z275" s="158">
        <f t="shared" si="38"/>
        <v>6.6812351881262755</v>
      </c>
      <c r="AA275" s="158">
        <f t="shared" si="39"/>
        <v>-1.1302804762435064</v>
      </c>
    </row>
    <row r="276" spans="1:27" ht="19.5" thickBot="1" x14ac:dyDescent="0.35">
      <c r="A276" s="142">
        <v>80</v>
      </c>
      <c r="B276" s="143" t="s">
        <v>340</v>
      </c>
      <c r="C276" s="142">
        <v>57</v>
      </c>
      <c r="D276" s="143" t="s">
        <v>341</v>
      </c>
      <c r="E276" s="142">
        <v>488288</v>
      </c>
      <c r="F276" s="143" t="s">
        <v>349</v>
      </c>
      <c r="G276" s="144">
        <v>1.8613756613756598</v>
      </c>
      <c r="H276" s="145">
        <v>30.085275724843687</v>
      </c>
      <c r="I276" s="146">
        <v>20.361284820920993</v>
      </c>
      <c r="J276" s="147">
        <v>0.54044573368612447</v>
      </c>
      <c r="K276" s="148">
        <v>11</v>
      </c>
      <c r="M276" s="149">
        <f t="shared" si="32"/>
        <v>0.67678571428571421</v>
      </c>
      <c r="N276" s="138">
        <f t="shared" si="33"/>
        <v>20.361284820920993</v>
      </c>
      <c r="O276" s="149"/>
      <c r="V276" s="158">
        <f t="shared" si="34"/>
        <v>74.837736814920191</v>
      </c>
      <c r="W276" s="158">
        <f t="shared" si="35"/>
        <v>0.18844912199437111</v>
      </c>
      <c r="X276" s="158">
        <f t="shared" si="36"/>
        <v>-13.892407682312317</v>
      </c>
      <c r="Y276" s="158">
        <f t="shared" si="37"/>
        <v>-21.823509148153413</v>
      </c>
      <c r="Z276" s="158">
        <f t="shared" si="38"/>
        <v>-31.671053818500425</v>
      </c>
      <c r="AA276" s="158">
        <f t="shared" si="39"/>
        <v>-39.025056128144101</v>
      </c>
    </row>
    <row r="277" spans="1:27" ht="19.5" thickBot="1" x14ac:dyDescent="0.35">
      <c r="A277" s="142">
        <v>80</v>
      </c>
      <c r="B277" s="143" t="s">
        <v>340</v>
      </c>
      <c r="C277" s="142">
        <v>57</v>
      </c>
      <c r="D277" s="143" t="s">
        <v>341</v>
      </c>
      <c r="E277" s="142">
        <v>588336</v>
      </c>
      <c r="F277" s="143" t="s">
        <v>350</v>
      </c>
      <c r="G277" s="144">
        <v>4.0649831649831629</v>
      </c>
      <c r="H277" s="145">
        <v>4.4280626190673429</v>
      </c>
      <c r="I277" s="146">
        <v>2.9643419199867491</v>
      </c>
      <c r="J277" s="147">
        <v>0.93309479297970166</v>
      </c>
      <c r="K277" s="148">
        <v>258</v>
      </c>
      <c r="M277" s="149">
        <f t="shared" si="32"/>
        <v>0.66944444444444451</v>
      </c>
      <c r="N277" s="138">
        <f t="shared" si="33"/>
        <v>2.9643419199867491</v>
      </c>
      <c r="O277" s="149"/>
      <c r="V277" s="158">
        <f t="shared" si="34"/>
        <v>285.26972273791051</v>
      </c>
      <c r="W277" s="158">
        <f t="shared" si="35"/>
        <v>120.4584058444902</v>
      </c>
      <c r="X277" s="158">
        <f t="shared" si="36"/>
        <v>89.370573332923129</v>
      </c>
      <c r="Y277" s="158">
        <f t="shared" si="37"/>
        <v>71.860221695308255</v>
      </c>
      <c r="Z277" s="158">
        <f t="shared" si="38"/>
        <v>50.118730845952491</v>
      </c>
      <c r="AA277" s="158">
        <f t="shared" si="39"/>
        <v>33.882503514817657</v>
      </c>
    </row>
    <row r="278" spans="1:27" ht="19.5" thickBot="1" x14ac:dyDescent="0.35">
      <c r="A278" s="142">
        <v>80</v>
      </c>
      <c r="B278" s="143" t="s">
        <v>340</v>
      </c>
      <c r="C278" s="142">
        <v>57</v>
      </c>
      <c r="D278" s="143" t="s">
        <v>341</v>
      </c>
      <c r="E278" s="142">
        <v>588396</v>
      </c>
      <c r="F278" s="143" t="s">
        <v>351</v>
      </c>
      <c r="G278" s="144">
        <v>2.7843147969375193</v>
      </c>
      <c r="H278" s="145">
        <v>6.1056314532747438</v>
      </c>
      <c r="I278" s="146">
        <v>4.2200687985869552</v>
      </c>
      <c r="J278" s="147">
        <v>0.90475303314179634</v>
      </c>
      <c r="K278" s="148">
        <v>231</v>
      </c>
      <c r="M278" s="149">
        <f t="shared" si="32"/>
        <v>0.69117647058823528</v>
      </c>
      <c r="N278" s="138">
        <f t="shared" si="33"/>
        <v>4.2200687985869552</v>
      </c>
      <c r="O278" s="149"/>
      <c r="V278" s="158">
        <f t="shared" si="34"/>
        <v>183.50383399405126</v>
      </c>
      <c r="W278" s="158">
        <f t="shared" si="35"/>
        <v>74.165560919996693</v>
      </c>
      <c r="X278" s="158">
        <f t="shared" si="36"/>
        <v>53.541431554970686</v>
      </c>
      <c r="Y278" s="158">
        <f t="shared" si="37"/>
        <v>41.924804462461331</v>
      </c>
      <c r="Z278" s="158">
        <f t="shared" si="38"/>
        <v>27.501176835839136</v>
      </c>
      <c r="AA278" s="158">
        <f t="shared" si="39"/>
        <v>16.729822713524491</v>
      </c>
    </row>
    <row r="279" spans="1:27" ht="19.5" thickBot="1" x14ac:dyDescent="0.35">
      <c r="A279" s="142">
        <v>80</v>
      </c>
      <c r="B279" s="143" t="s">
        <v>340</v>
      </c>
      <c r="C279" s="142">
        <v>57</v>
      </c>
      <c r="D279" s="143" t="s">
        <v>341</v>
      </c>
      <c r="E279" s="142">
        <v>488451</v>
      </c>
      <c r="F279" s="143" t="s">
        <v>352</v>
      </c>
      <c r="G279" s="144">
        <v>4.6097894054415791</v>
      </c>
      <c r="H279" s="145">
        <v>4.1216633405360437</v>
      </c>
      <c r="I279" s="146">
        <v>2.8309319259997561</v>
      </c>
      <c r="J279" s="147">
        <v>0.9361058569889158</v>
      </c>
      <c r="K279" s="148">
        <v>263</v>
      </c>
      <c r="M279" s="149">
        <f t="shared" si="32"/>
        <v>0.68684210526315781</v>
      </c>
      <c r="N279" s="138">
        <f t="shared" si="33"/>
        <v>2.8309319259997561</v>
      </c>
      <c r="O279" s="149"/>
      <c r="V279" s="158">
        <f t="shared" si="34"/>
        <v>316.32596518602656</v>
      </c>
      <c r="W279" s="158">
        <f t="shared" si="35"/>
        <v>134.16010253023236</v>
      </c>
      <c r="X279" s="158">
        <f t="shared" si="36"/>
        <v>99.798737459466736</v>
      </c>
      <c r="Y279" s="158">
        <f t="shared" si="37"/>
        <v>80.444554921533538</v>
      </c>
      <c r="Z279" s="158">
        <f t="shared" si="38"/>
        <v>56.413696418308604</v>
      </c>
      <c r="AA279" s="158">
        <f t="shared" si="39"/>
        <v>38.467802812201292</v>
      </c>
    </row>
    <row r="280" spans="1:27" ht="19.5" thickBot="1" x14ac:dyDescent="0.35">
      <c r="A280" s="142">
        <v>80</v>
      </c>
      <c r="B280" s="143" t="s">
        <v>340</v>
      </c>
      <c r="C280" s="142">
        <v>57</v>
      </c>
      <c r="D280" s="143" t="s">
        <v>341</v>
      </c>
      <c r="E280" s="142">
        <v>588501</v>
      </c>
      <c r="F280" s="143" t="s">
        <v>353</v>
      </c>
      <c r="G280" s="144">
        <v>4.6161616161616159</v>
      </c>
      <c r="H280" s="145">
        <v>3.6827133479212257</v>
      </c>
      <c r="I280" s="146">
        <v>3.3252735229759303</v>
      </c>
      <c r="J280" s="147">
        <v>0.92494856549651472</v>
      </c>
      <c r="K280" s="148">
        <v>251</v>
      </c>
      <c r="M280" s="149">
        <f t="shared" si="32"/>
        <v>0.90294117647058825</v>
      </c>
      <c r="N280" s="138">
        <f t="shared" si="33"/>
        <v>3.3252735229759303</v>
      </c>
      <c r="O280" s="149"/>
      <c r="V280" s="158">
        <f t="shared" si="34"/>
        <v>238.08105306632561</v>
      </c>
      <c r="W280" s="158">
        <f t="shared" si="35"/>
        <v>99.321028814769349</v>
      </c>
      <c r="X280" s="158">
        <f t="shared" si="36"/>
        <v>73.147168460125314</v>
      </c>
      <c r="Y280" s="158">
        <f t="shared" si="37"/>
        <v>58.404632184779778</v>
      </c>
      <c r="Z280" s="158">
        <f t="shared" si="38"/>
        <v>40.099761776684424</v>
      </c>
      <c r="AA280" s="158">
        <f t="shared" si="39"/>
        <v>26.42995232009855</v>
      </c>
    </row>
    <row r="281" spans="1:27" ht="19.5" thickBot="1" x14ac:dyDescent="0.35">
      <c r="A281" s="142">
        <v>80</v>
      </c>
      <c r="B281" s="143" t="s">
        <v>340</v>
      </c>
      <c r="C281" s="142">
        <v>57</v>
      </c>
      <c r="D281" s="143" t="s">
        <v>341</v>
      </c>
      <c r="E281" s="142">
        <v>488561</v>
      </c>
      <c r="F281" s="143" t="s">
        <v>354</v>
      </c>
      <c r="G281" s="144">
        <v>6.39810303448564</v>
      </c>
      <c r="H281" s="145">
        <v>13.441484067459029</v>
      </c>
      <c r="I281" s="146">
        <v>8.7174276030526432</v>
      </c>
      <c r="J281" s="147">
        <v>0.80324762992613663</v>
      </c>
      <c r="K281" s="148">
        <v>126</v>
      </c>
      <c r="M281" s="149">
        <f t="shared" si="32"/>
        <v>0.64854651162790689</v>
      </c>
      <c r="N281" s="138">
        <f t="shared" si="33"/>
        <v>8.7174276030526432</v>
      </c>
      <c r="O281" s="149"/>
      <c r="V281" s="158">
        <f t="shared" si="34"/>
        <v>398.97461040930483</v>
      </c>
      <c r="W281" s="158">
        <f t="shared" si="35"/>
        <v>131.21015733798947</v>
      </c>
      <c r="X281" s="158">
        <f t="shared" si="36"/>
        <v>80.702603448255701</v>
      </c>
      <c r="Y281" s="158">
        <f t="shared" si="37"/>
        <v>52.254012552253094</v>
      </c>
      <c r="Z281" s="158">
        <f t="shared" si="38"/>
        <v>16.931205138503401</v>
      </c>
      <c r="AA281" s="158">
        <f t="shared" si="39"/>
        <v>-9.44735073502485</v>
      </c>
    </row>
    <row r="282" spans="1:27" ht="19.5" thickBot="1" x14ac:dyDescent="0.35">
      <c r="A282" s="142">
        <v>80</v>
      </c>
      <c r="B282" s="143" t="s">
        <v>340</v>
      </c>
      <c r="C282" s="142">
        <v>57</v>
      </c>
      <c r="D282" s="143" t="s">
        <v>341</v>
      </c>
      <c r="E282" s="142">
        <v>588631</v>
      </c>
      <c r="F282" s="143" t="s">
        <v>355</v>
      </c>
      <c r="G282" s="144">
        <v>5.0444772766063091</v>
      </c>
      <c r="H282" s="145">
        <v>5.5506246662760477</v>
      </c>
      <c r="I282" s="146">
        <v>3.5385232247509806</v>
      </c>
      <c r="J282" s="147">
        <v>0.92013551901625568</v>
      </c>
      <c r="K282" s="148">
        <v>247</v>
      </c>
      <c r="M282" s="149">
        <f t="shared" si="32"/>
        <v>0.63750000000000007</v>
      </c>
      <c r="N282" s="138">
        <f t="shared" si="33"/>
        <v>3.5385232247509806</v>
      </c>
      <c r="O282" s="149"/>
      <c r="V282" s="158">
        <f t="shared" si="34"/>
        <v>366.58397927090272</v>
      </c>
      <c r="W282" s="158">
        <f t="shared" si="35"/>
        <v>151.81141571064802</v>
      </c>
      <c r="X282" s="158">
        <f t="shared" si="36"/>
        <v>111.29955275187541</v>
      </c>
      <c r="Y282" s="158">
        <f t="shared" si="37"/>
        <v>88.481076563835259</v>
      </c>
      <c r="Z282" s="158">
        <f t="shared" si="38"/>
        <v>60.148824790386954</v>
      </c>
      <c r="AA282" s="158">
        <f t="shared" si="39"/>
        <v>38.990713610983391</v>
      </c>
    </row>
    <row r="283" spans="1:27" ht="19.5" thickBot="1" x14ac:dyDescent="0.35">
      <c r="A283" s="142">
        <v>80</v>
      </c>
      <c r="B283" s="143" t="s">
        <v>340</v>
      </c>
      <c r="C283" s="142">
        <v>57</v>
      </c>
      <c r="D283" s="143" t="s">
        <v>341</v>
      </c>
      <c r="E283" s="142">
        <v>488706</v>
      </c>
      <c r="F283" s="143" t="s">
        <v>356</v>
      </c>
      <c r="G283" s="144">
        <v>3.2630691802820828</v>
      </c>
      <c r="H283" s="145">
        <v>10.113178169623497</v>
      </c>
      <c r="I283" s="146">
        <v>6.4663048296683581</v>
      </c>
      <c r="J283" s="147">
        <v>0.8540554784290032</v>
      </c>
      <c r="K283" s="148">
        <v>186</v>
      </c>
      <c r="M283" s="149">
        <f t="shared" si="32"/>
        <v>0.63939393939393951</v>
      </c>
      <c r="N283" s="138">
        <f t="shared" si="33"/>
        <v>6.4663048296683581</v>
      </c>
      <c r="O283" s="149"/>
      <c r="V283" s="158">
        <f t="shared" si="34"/>
        <v>219.44695214549458</v>
      </c>
      <c r="W283" s="158">
        <f t="shared" si="35"/>
        <v>80.93074665999697</v>
      </c>
      <c r="X283" s="158">
        <f t="shared" si="36"/>
        <v>54.802877060753019</v>
      </c>
      <c r="Y283" s="158">
        <f t="shared" si="37"/>
        <v>40.086245270669842</v>
      </c>
      <c r="Z283" s="158">
        <f t="shared" si="38"/>
        <v>21.813538815700309</v>
      </c>
      <c r="AA283" s="158">
        <f t="shared" si="39"/>
        <v>8.1677489288135519</v>
      </c>
    </row>
    <row r="284" spans="1:27" ht="19.5" thickBot="1" x14ac:dyDescent="0.35">
      <c r="A284" s="142">
        <v>80</v>
      </c>
      <c r="B284" s="143" t="s">
        <v>340</v>
      </c>
      <c r="C284" s="142">
        <v>57</v>
      </c>
      <c r="D284" s="143" t="s">
        <v>341</v>
      </c>
      <c r="E284" s="142">
        <v>588716</v>
      </c>
      <c r="F284" s="143" t="s">
        <v>357</v>
      </c>
      <c r="G284" s="144">
        <v>2.6091871091871091</v>
      </c>
      <c r="H284" s="145">
        <v>19.163056502903494</v>
      </c>
      <c r="I284" s="146">
        <v>12.053562540326297</v>
      </c>
      <c r="J284" s="147">
        <v>0.72795105326572851</v>
      </c>
      <c r="K284" s="148">
        <v>64</v>
      </c>
      <c r="M284" s="149">
        <f t="shared" si="32"/>
        <v>0.629</v>
      </c>
      <c r="N284" s="138">
        <f t="shared" si="33"/>
        <v>12.053562540326297</v>
      </c>
      <c r="O284" s="149"/>
      <c r="V284" s="158">
        <f t="shared" si="34"/>
        <v>152.03460919695843</v>
      </c>
      <c r="W284" s="158">
        <f t="shared" si="35"/>
        <v>39.445236663394724</v>
      </c>
      <c r="X284" s="158">
        <f t="shared" si="36"/>
        <v>18.207862787125471</v>
      </c>
      <c r="Y284" s="158">
        <f t="shared" si="37"/>
        <v>6.2458231597373262</v>
      </c>
      <c r="Z284" s="158">
        <f t="shared" si="38"/>
        <v>-8.6066812605517189</v>
      </c>
      <c r="AA284" s="158">
        <f t="shared" si="39"/>
        <v>-19.698314298754489</v>
      </c>
    </row>
    <row r="285" spans="1:27" ht="19.5" thickBot="1" x14ac:dyDescent="0.35">
      <c r="A285" s="142">
        <v>80</v>
      </c>
      <c r="B285" s="143" t="s">
        <v>340</v>
      </c>
      <c r="C285" s="142">
        <v>55</v>
      </c>
      <c r="D285" s="143" t="s">
        <v>358</v>
      </c>
      <c r="E285" s="142">
        <v>588186</v>
      </c>
      <c r="F285" s="143" t="s">
        <v>359</v>
      </c>
      <c r="G285" s="144">
        <v>2.567366041366042</v>
      </c>
      <c r="H285" s="145">
        <v>17.138187267051531</v>
      </c>
      <c r="I285" s="146">
        <v>11.412474702832045</v>
      </c>
      <c r="J285" s="147">
        <v>0.74242040789602715</v>
      </c>
      <c r="K285" s="148">
        <v>71</v>
      </c>
      <c r="M285" s="149">
        <f t="shared" si="32"/>
        <v>0.66590909090909101</v>
      </c>
      <c r="N285" s="138">
        <f t="shared" si="33"/>
        <v>11.412474702832045</v>
      </c>
      <c r="O285" s="149"/>
      <c r="V285" s="158">
        <f t="shared" si="34"/>
        <v>144.11475727400531</v>
      </c>
      <c r="W285" s="158">
        <f t="shared" si="35"/>
        <v>39.470435238582098</v>
      </c>
      <c r="X285" s="158">
        <f t="shared" si="36"/>
        <v>19.731710871568691</v>
      </c>
      <c r="Y285" s="158">
        <f t="shared" si="37"/>
        <v>8.6137918459897893</v>
      </c>
      <c r="Z285" s="158">
        <f t="shared" si="38"/>
        <v>-5.1906216667149394</v>
      </c>
      <c r="AA285" s="158">
        <f t="shared" si="39"/>
        <v>-15.499555746638197</v>
      </c>
    </row>
    <row r="286" spans="1:27" ht="19.5" thickBot="1" x14ac:dyDescent="0.35">
      <c r="A286" s="142">
        <v>80</v>
      </c>
      <c r="B286" s="143" t="s">
        <v>340</v>
      </c>
      <c r="C286" s="142">
        <v>55</v>
      </c>
      <c r="D286" s="143" t="s">
        <v>358</v>
      </c>
      <c r="E286" s="142">
        <v>488246</v>
      </c>
      <c r="F286" s="143" t="s">
        <v>360</v>
      </c>
      <c r="G286" s="144">
        <v>2.927814375640462</v>
      </c>
      <c r="H286" s="145">
        <v>16.736033680168404</v>
      </c>
      <c r="I286" s="146">
        <v>11.792072710363554</v>
      </c>
      <c r="J286" s="147">
        <v>0.73385287960006651</v>
      </c>
      <c r="K286" s="148">
        <v>67</v>
      </c>
      <c r="M286" s="149">
        <f t="shared" si="32"/>
        <v>0.70459183673469383</v>
      </c>
      <c r="N286" s="138">
        <f t="shared" si="33"/>
        <v>11.792072710363554</v>
      </c>
      <c r="O286" s="149"/>
      <c r="V286" s="158">
        <f t="shared" si="34"/>
        <v>153.53261216086722</v>
      </c>
      <c r="W286" s="158">
        <f t="shared" si="35"/>
        <v>40.748285349824812</v>
      </c>
      <c r="X286" s="158">
        <f t="shared" si="36"/>
        <v>19.474137870626386</v>
      </c>
      <c r="Y286" s="158">
        <f t="shared" si="37"/>
        <v>7.4913853576412119</v>
      </c>
      <c r="Z286" s="158">
        <f t="shared" si="38"/>
        <v>-7.3868369363942552</v>
      </c>
      <c r="AA286" s="158">
        <f t="shared" si="39"/>
        <v>-18.497675706509046</v>
      </c>
    </row>
    <row r="287" spans="1:27" ht="19.5" thickBot="1" x14ac:dyDescent="0.35">
      <c r="A287" s="142">
        <v>80</v>
      </c>
      <c r="B287" s="143" t="s">
        <v>340</v>
      </c>
      <c r="C287" s="142">
        <v>55</v>
      </c>
      <c r="D287" s="143" t="s">
        <v>358</v>
      </c>
      <c r="E287" s="142">
        <v>588316</v>
      </c>
      <c r="F287" s="143" t="s">
        <v>361</v>
      </c>
      <c r="G287" s="144">
        <v>3.9837235643687254</v>
      </c>
      <c r="H287" s="145">
        <v>12.04902881046322</v>
      </c>
      <c r="I287" s="146">
        <v>8.1832987337729364</v>
      </c>
      <c r="J287" s="147">
        <v>0.81530292028712048</v>
      </c>
      <c r="K287" s="148">
        <v>143</v>
      </c>
      <c r="M287" s="149">
        <f t="shared" si="32"/>
        <v>0.67916666666666659</v>
      </c>
      <c r="N287" s="138">
        <f t="shared" si="33"/>
        <v>8.1832987337729364</v>
      </c>
      <c r="O287" s="149"/>
      <c r="V287" s="158">
        <f t="shared" si="34"/>
        <v>240.77840563819365</v>
      </c>
      <c r="W287" s="158">
        <f t="shared" si="35"/>
        <v>81.573790987597704</v>
      </c>
      <c r="X287" s="158">
        <f t="shared" si="36"/>
        <v>51.543532819544112</v>
      </c>
      <c r="Y287" s="158">
        <f t="shared" si="37"/>
        <v>34.628864352537882</v>
      </c>
      <c r="Z287" s="158">
        <f t="shared" si="38"/>
        <v>13.626995440589827</v>
      </c>
      <c r="AA287" s="158">
        <f t="shared" si="39"/>
        <v>-2.0568930469002495</v>
      </c>
    </row>
    <row r="288" spans="1:27" ht="19.5" thickBot="1" x14ac:dyDescent="0.35">
      <c r="A288" s="142">
        <v>80</v>
      </c>
      <c r="B288" s="143" t="s">
        <v>340</v>
      </c>
      <c r="C288" s="142">
        <v>55</v>
      </c>
      <c r="D288" s="143" t="s">
        <v>358</v>
      </c>
      <c r="E288" s="142">
        <v>488326</v>
      </c>
      <c r="F288" s="143" t="s">
        <v>362</v>
      </c>
      <c r="G288" s="144">
        <v>5.0138817773226396</v>
      </c>
      <c r="H288" s="145">
        <v>17.152378899113792</v>
      </c>
      <c r="I288" s="146">
        <v>12.241014592245453</v>
      </c>
      <c r="J288" s="147">
        <v>0.72372025982875332</v>
      </c>
      <c r="K288" s="148">
        <v>61</v>
      </c>
      <c r="M288" s="149">
        <f t="shared" si="32"/>
        <v>0.71366279069767435</v>
      </c>
      <c r="N288" s="138">
        <f t="shared" si="33"/>
        <v>12.241014592245453</v>
      </c>
      <c r="O288" s="149"/>
      <c r="V288" s="158">
        <f t="shared" si="34"/>
        <v>255.99852948572462</v>
      </c>
      <c r="W288" s="158">
        <f t="shared" si="35"/>
        <v>65.310313510646907</v>
      </c>
      <c r="X288" s="158">
        <f t="shared" si="36"/>
        <v>29.341404142631237</v>
      </c>
      <c r="Y288" s="158">
        <f t="shared" si="37"/>
        <v>9.0817655582716075</v>
      </c>
      <c r="Z288" s="158">
        <f t="shared" si="38"/>
        <v>-16.073340176264526</v>
      </c>
      <c r="AA288" s="158">
        <f t="shared" si="39"/>
        <v>-34.858805169193658</v>
      </c>
    </row>
    <row r="289" spans="1:27" ht="19.5" thickBot="1" x14ac:dyDescent="0.35">
      <c r="A289" s="142">
        <v>80</v>
      </c>
      <c r="B289" s="143" t="s">
        <v>340</v>
      </c>
      <c r="C289" s="142">
        <v>55</v>
      </c>
      <c r="D289" s="143" t="s">
        <v>358</v>
      </c>
      <c r="E289" s="142">
        <v>488346</v>
      </c>
      <c r="F289" s="143" t="s">
        <v>363</v>
      </c>
      <c r="G289" s="144">
        <v>1.8723945526189556</v>
      </c>
      <c r="H289" s="145">
        <v>27.237848950513811</v>
      </c>
      <c r="I289" s="146">
        <v>18.07845464656652</v>
      </c>
      <c r="J289" s="147">
        <v>0.59196921833463367</v>
      </c>
      <c r="K289" s="148">
        <v>18</v>
      </c>
      <c r="M289" s="149">
        <f t="shared" si="32"/>
        <v>0.6637254901960784</v>
      </c>
      <c r="N289" s="138">
        <f t="shared" si="33"/>
        <v>18.07845464656652</v>
      </c>
      <c r="O289" s="149"/>
      <c r="V289" s="158">
        <f t="shared" si="34"/>
        <v>84.080193243367447</v>
      </c>
      <c r="W289" s="158">
        <f t="shared" si="35"/>
        <v>7.5114194662077125</v>
      </c>
      <c r="X289" s="158">
        <f t="shared" si="36"/>
        <v>-6.9315038698137634</v>
      </c>
      <c r="Y289" s="158">
        <f t="shared" si="37"/>
        <v>-15.066540823411323</v>
      </c>
      <c r="Z289" s="158">
        <f t="shared" si="38"/>
        <v>-25.167299228849263</v>
      </c>
      <c r="AA289" s="158">
        <f t="shared" si="39"/>
        <v>-32.710397851840924</v>
      </c>
    </row>
    <row r="290" spans="1:27" ht="19.5" thickBot="1" x14ac:dyDescent="0.35">
      <c r="A290" s="142">
        <v>80</v>
      </c>
      <c r="B290" s="143" t="s">
        <v>340</v>
      </c>
      <c r="C290" s="142">
        <v>55</v>
      </c>
      <c r="D290" s="143" t="s">
        <v>358</v>
      </c>
      <c r="E290" s="142">
        <v>588386</v>
      </c>
      <c r="F290" s="143" t="s">
        <v>364</v>
      </c>
      <c r="G290" s="144">
        <v>2.0195966230448992</v>
      </c>
      <c r="H290" s="145">
        <v>27.233161004734583</v>
      </c>
      <c r="I290" s="146">
        <v>17.70155465307748</v>
      </c>
      <c r="J290" s="147">
        <v>0.60047585244465773</v>
      </c>
      <c r="K290" s="148">
        <v>19</v>
      </c>
      <c r="M290" s="149">
        <f t="shared" si="32"/>
        <v>0.65</v>
      </c>
      <c r="N290" s="138">
        <f t="shared" si="33"/>
        <v>17.70155465307748</v>
      </c>
      <c r="O290" s="149"/>
      <c r="V290" s="158">
        <f t="shared" si="34"/>
        <v>93.936101253034934</v>
      </c>
      <c r="W290" s="158">
        <f t="shared" si="35"/>
        <v>9.6037713087373255</v>
      </c>
      <c r="X290" s="158">
        <f t="shared" si="36"/>
        <v>-6.3035668403409657</v>
      </c>
      <c r="Y290" s="158">
        <f t="shared" si="37"/>
        <v>-15.263441559981427</v>
      </c>
      <c r="Z290" s="158">
        <f t="shared" si="38"/>
        <v>-26.388348601252673</v>
      </c>
      <c r="AA290" s="158">
        <f t="shared" si="39"/>
        <v>-34.696266444208447</v>
      </c>
    </row>
    <row r="291" spans="1:27" ht="19.5" thickBot="1" x14ac:dyDescent="0.35">
      <c r="A291" s="142">
        <v>80</v>
      </c>
      <c r="B291" s="143" t="s">
        <v>340</v>
      </c>
      <c r="C291" s="142">
        <v>55</v>
      </c>
      <c r="D291" s="143" t="s">
        <v>358</v>
      </c>
      <c r="E291" s="142">
        <v>588461</v>
      </c>
      <c r="F291" s="143" t="s">
        <v>365</v>
      </c>
      <c r="G291" s="144">
        <v>2.8940228847615943</v>
      </c>
      <c r="H291" s="145">
        <v>11.748352156793976</v>
      </c>
      <c r="I291" s="146">
        <v>7.6364289019160845</v>
      </c>
      <c r="J291" s="147">
        <v>0.82764577421596208</v>
      </c>
      <c r="K291" s="148">
        <v>159</v>
      </c>
      <c r="M291" s="149">
        <f t="shared" si="32"/>
        <v>0.65</v>
      </c>
      <c r="N291" s="138">
        <f t="shared" si="33"/>
        <v>7.6364289019160845</v>
      </c>
      <c r="O291" s="149"/>
      <c r="V291" s="158">
        <f t="shared" si="34"/>
        <v>185.53199348170037</v>
      </c>
      <c r="W291" s="158">
        <f t="shared" si="35"/>
        <v>64.686231511619638</v>
      </c>
      <c r="X291" s="158">
        <f t="shared" si="36"/>
        <v>41.891481256162166</v>
      </c>
      <c r="Y291" s="158">
        <f t="shared" si="37"/>
        <v>29.052242871943552</v>
      </c>
      <c r="Z291" s="158">
        <f t="shared" si="38"/>
        <v>13.110576501089938</v>
      </c>
      <c r="AA291" s="158">
        <f t="shared" si="39"/>
        <v>1.2055732504984185</v>
      </c>
    </row>
    <row r="292" spans="1:27" ht="19.5" thickBot="1" x14ac:dyDescent="0.35">
      <c r="A292" s="142">
        <v>80</v>
      </c>
      <c r="B292" s="143" t="s">
        <v>340</v>
      </c>
      <c r="C292" s="142">
        <v>55</v>
      </c>
      <c r="D292" s="143" t="s">
        <v>358</v>
      </c>
      <c r="E292" s="142">
        <v>588551</v>
      </c>
      <c r="F292" s="143" t="s">
        <v>366</v>
      </c>
      <c r="G292" s="144">
        <v>3.7017378756509185</v>
      </c>
      <c r="H292" s="145">
        <v>14.587742788380057</v>
      </c>
      <c r="I292" s="146">
        <v>9.7319154435442883</v>
      </c>
      <c r="J292" s="147">
        <v>0.78035063598288323</v>
      </c>
      <c r="K292" s="148">
        <v>106</v>
      </c>
      <c r="M292" s="149">
        <f t="shared" si="32"/>
        <v>0.66712962962962963</v>
      </c>
      <c r="N292" s="138">
        <f t="shared" si="33"/>
        <v>9.7319154435442883</v>
      </c>
      <c r="O292" s="149"/>
      <c r="V292" s="158">
        <f t="shared" si="34"/>
        <v>218.00724475967266</v>
      </c>
      <c r="W292" s="158">
        <f t="shared" si="35"/>
        <v>67.402639205026333</v>
      </c>
      <c r="X292" s="158">
        <f t="shared" si="36"/>
        <v>38.994573295443232</v>
      </c>
      <c r="Y292" s="158">
        <f t="shared" si="37"/>
        <v>22.993611400262694</v>
      </c>
      <c r="Z292" s="158">
        <f t="shared" si="38"/>
        <v>3.1262338726949843</v>
      </c>
      <c r="AA292" s="158">
        <f t="shared" si="39"/>
        <v>-11.710433044313001</v>
      </c>
    </row>
    <row r="293" spans="1:27" ht="19.5" thickBot="1" x14ac:dyDescent="0.35">
      <c r="A293" s="142">
        <v>80</v>
      </c>
      <c r="B293" s="143" t="s">
        <v>340</v>
      </c>
      <c r="C293" s="142">
        <v>55</v>
      </c>
      <c r="D293" s="143" t="s">
        <v>358</v>
      </c>
      <c r="E293" s="142">
        <v>488556</v>
      </c>
      <c r="F293" s="143" t="s">
        <v>367</v>
      </c>
      <c r="G293" s="144">
        <v>3.4620816408930022</v>
      </c>
      <c r="H293" s="145">
        <v>16.175239583765411</v>
      </c>
      <c r="I293" s="146">
        <v>10.716096224244586</v>
      </c>
      <c r="J293" s="147">
        <v>0.7581376724801957</v>
      </c>
      <c r="K293" s="148">
        <v>87</v>
      </c>
      <c r="M293" s="149">
        <f t="shared" si="32"/>
        <v>0.66250000000000009</v>
      </c>
      <c r="N293" s="138">
        <f t="shared" si="33"/>
        <v>10.716096224244586</v>
      </c>
      <c r="O293" s="149"/>
      <c r="V293" s="158">
        <f t="shared" si="34"/>
        <v>199.47349844479464</v>
      </c>
      <c r="W293" s="158">
        <f t="shared" si="35"/>
        <v>57.634961669087268</v>
      </c>
      <c r="X293" s="158">
        <f t="shared" si="36"/>
        <v>30.880411325797255</v>
      </c>
      <c r="Y293" s="158">
        <f t="shared" si="37"/>
        <v>15.810798986533442</v>
      </c>
      <c r="Z293" s="158">
        <f t="shared" si="38"/>
        <v>-2.9001809845159032</v>
      </c>
      <c r="AA293" s="158">
        <f t="shared" si="39"/>
        <v>-16.873267122133257</v>
      </c>
    </row>
    <row r="294" spans="1:27" ht="19.5" thickBot="1" x14ac:dyDescent="0.35">
      <c r="A294" s="150">
        <v>80</v>
      </c>
      <c r="B294" s="151" t="s">
        <v>340</v>
      </c>
      <c r="C294" s="150">
        <v>55</v>
      </c>
      <c r="D294" s="151" t="s">
        <v>358</v>
      </c>
      <c r="E294" s="150">
        <v>488586</v>
      </c>
      <c r="F294" s="151" t="s">
        <v>358</v>
      </c>
      <c r="G294" s="144">
        <v>10.277247068561795</v>
      </c>
      <c r="H294" s="145">
        <v>15.568371464907333</v>
      </c>
      <c r="I294" s="146">
        <v>10.661901895420133</v>
      </c>
      <c r="J294" s="147">
        <v>0.75936083866250392</v>
      </c>
      <c r="K294" s="148">
        <v>88</v>
      </c>
      <c r="M294" s="149">
        <f t="shared" si="32"/>
        <v>0.68484375000000008</v>
      </c>
      <c r="N294" s="138">
        <f t="shared" si="33"/>
        <v>10.661901895420133</v>
      </c>
      <c r="O294" s="149"/>
      <c r="V294" s="158">
        <f t="shared" si="34"/>
        <v>573.74537985489951</v>
      </c>
      <c r="W294" s="158">
        <f t="shared" si="35"/>
        <v>166.43252133614513</v>
      </c>
      <c r="X294" s="158">
        <f t="shared" si="36"/>
        <v>89.602397263857171</v>
      </c>
      <c r="Y294" s="158">
        <f t="shared" si="37"/>
        <v>46.327508660195996</v>
      </c>
      <c r="Z294" s="158">
        <f t="shared" si="38"/>
        <v>-7.4041704091311775</v>
      </c>
      <c r="AA294" s="158">
        <f t="shared" si="39"/>
        <v>-47.530202349531677</v>
      </c>
    </row>
    <row r="295" spans="1:27" ht="19.5" thickBot="1" x14ac:dyDescent="0.35">
      <c r="A295" s="150">
        <v>80</v>
      </c>
      <c r="B295" s="151" t="s">
        <v>340</v>
      </c>
      <c r="C295" s="150">
        <v>55</v>
      </c>
      <c r="D295" s="151" t="s">
        <v>358</v>
      </c>
      <c r="E295" s="150">
        <v>588587</v>
      </c>
      <c r="F295" s="151" t="s">
        <v>368</v>
      </c>
      <c r="G295" s="144">
        <v>3.9912457912457913</v>
      </c>
      <c r="H295" s="145">
        <v>15.032900286823013</v>
      </c>
      <c r="I295" s="146">
        <v>10.090834317529946</v>
      </c>
      <c r="J295" s="147">
        <v>0.77224983580001827</v>
      </c>
      <c r="K295" s="148">
        <v>101</v>
      </c>
      <c r="M295" s="149">
        <f t="shared" si="32"/>
        <v>0.6712499999999999</v>
      </c>
      <c r="N295" s="138">
        <f t="shared" si="33"/>
        <v>10.090834317529946</v>
      </c>
      <c r="O295" s="149"/>
      <c r="V295" s="158">
        <f t="shared" si="34"/>
        <v>231.18928620934898</v>
      </c>
      <c r="W295" s="158">
        <f t="shared" si="35"/>
        <v>69.802863580033588</v>
      </c>
      <c r="X295" s="158">
        <f t="shared" si="36"/>
        <v>39.361057938825006</v>
      </c>
      <c r="Y295" s="158">
        <f t="shared" si="37"/>
        <v>22.2145836369207</v>
      </c>
      <c r="Z295" s="158">
        <f t="shared" si="38"/>
        <v>0.92489615099051881</v>
      </c>
      <c r="AA295" s="158">
        <f t="shared" si="39"/>
        <v>-14.973931037330889</v>
      </c>
    </row>
    <row r="296" spans="1:27" ht="19.5" thickBot="1" x14ac:dyDescent="0.35">
      <c r="A296" s="150">
        <v>80</v>
      </c>
      <c r="B296" s="151" t="s">
        <v>340</v>
      </c>
      <c r="C296" s="150">
        <v>55</v>
      </c>
      <c r="D296" s="151" t="s">
        <v>358</v>
      </c>
      <c r="E296" s="150">
        <v>488616</v>
      </c>
      <c r="F296" s="151" t="s">
        <v>369</v>
      </c>
      <c r="G296" s="144">
        <v>1.8887926887926878</v>
      </c>
      <c r="H296" s="145">
        <v>7.4121422023021326</v>
      </c>
      <c r="I296" s="146">
        <v>5.0031959865539397</v>
      </c>
      <c r="J296" s="147">
        <v>0.8870778498976214</v>
      </c>
      <c r="K296" s="148">
        <v>218</v>
      </c>
      <c r="M296" s="149">
        <f t="shared" si="32"/>
        <v>0.67500000000000004</v>
      </c>
      <c r="N296" s="138">
        <f t="shared" si="33"/>
        <v>5.0031959865539397</v>
      </c>
      <c r="O296" s="149"/>
      <c r="V296" s="158">
        <f t="shared" si="34"/>
        <v>124.97638545375958</v>
      </c>
      <c r="W296" s="158">
        <f t="shared" si="35"/>
        <v>49.027161573693419</v>
      </c>
      <c r="X296" s="158">
        <f t="shared" si="36"/>
        <v>34.701101956720187</v>
      </c>
      <c r="Y296" s="158">
        <f t="shared" si="37"/>
        <v>26.631888981473406</v>
      </c>
      <c r="Z296" s="158">
        <f t="shared" si="38"/>
        <v>16.612860026854008</v>
      </c>
      <c r="AA296" s="158">
        <f t="shared" si="39"/>
        <v>9.130795762192836</v>
      </c>
    </row>
    <row r="297" spans="1:27" ht="18.75" x14ac:dyDescent="0.3">
      <c r="A297" s="150">
        <v>80</v>
      </c>
      <c r="B297" s="151" t="s">
        <v>340</v>
      </c>
      <c r="C297" s="150">
        <v>55</v>
      </c>
      <c r="D297" s="151" t="s">
        <v>358</v>
      </c>
      <c r="E297" s="150">
        <v>588666</v>
      </c>
      <c r="F297" s="151" t="s">
        <v>370</v>
      </c>
      <c r="G297" s="152">
        <v>3.20739114918638</v>
      </c>
      <c r="H297" s="153">
        <v>30.242647525109629</v>
      </c>
      <c r="I297" s="154">
        <v>20.42158157623382</v>
      </c>
      <c r="J297" s="155">
        <v>0.53908483571762189</v>
      </c>
      <c r="K297" s="156">
        <v>10</v>
      </c>
      <c r="M297" s="149">
        <f t="shared" si="32"/>
        <v>0.67525773195876282</v>
      </c>
      <c r="N297" s="138">
        <f t="shared" si="33"/>
        <v>20.42158157623382</v>
      </c>
      <c r="O297" s="149"/>
      <c r="V297" s="158">
        <f t="shared" si="34"/>
        <v>128.92144979065765</v>
      </c>
      <c r="W297" s="158">
        <f t="shared" si="35"/>
        <v>0</v>
      </c>
      <c r="X297" s="158">
        <f t="shared" si="36"/>
        <v>-24.31804146575795</v>
      </c>
      <c r="Y297" s="158">
        <f t="shared" si="37"/>
        <v>-38.015279992923979</v>
      </c>
      <c r="Z297" s="158">
        <f t="shared" si="38"/>
        <v>-55.022270615551335</v>
      </c>
      <c r="AA297" s="158">
        <f t="shared" si="39"/>
        <v>-67.722842433773167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K3" sqref="K3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44" customFormat="1" ht="3.75" customHeight="1" x14ac:dyDescent="0.2"/>
    <row r="2" spans="1:69" s="44" customFormat="1" ht="24" customHeight="1" x14ac:dyDescent="0.2">
      <c r="A2" s="329"/>
      <c r="B2" s="330"/>
      <c r="C2" s="330"/>
      <c r="D2" s="331"/>
      <c r="E2" s="45"/>
      <c r="F2" s="328"/>
      <c r="G2" s="327"/>
      <c r="H2" s="46"/>
      <c r="I2" s="327"/>
      <c r="J2" s="328"/>
      <c r="K2" s="46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47"/>
      <c r="X2" s="324"/>
      <c r="Y2" s="324"/>
      <c r="Z2" s="324"/>
      <c r="AA2" s="324"/>
      <c r="AB2" s="324"/>
      <c r="AC2" s="324"/>
      <c r="AD2" s="324"/>
      <c r="AE2" s="324"/>
      <c r="AF2" s="324"/>
      <c r="AG2" s="48"/>
      <c r="AH2" s="325"/>
      <c r="AI2" s="325"/>
      <c r="AJ2" s="325"/>
      <c r="AK2" s="325"/>
      <c r="AL2" s="325"/>
      <c r="AM2" s="325"/>
      <c r="AN2" s="325"/>
      <c r="AO2" s="325"/>
      <c r="AP2" s="325"/>
      <c r="AQ2" s="49"/>
      <c r="AR2" s="326"/>
      <c r="AS2" s="326"/>
      <c r="AT2" s="326"/>
      <c r="AU2" s="326"/>
      <c r="AV2" s="326"/>
      <c r="AW2" s="326"/>
      <c r="AX2" s="326"/>
      <c r="AY2" s="326"/>
      <c r="AZ2" s="326"/>
      <c r="BA2" s="49"/>
      <c r="BB2" s="321"/>
      <c r="BC2" s="321"/>
      <c r="BD2" s="321"/>
      <c r="BE2" s="321"/>
      <c r="BF2" s="321"/>
      <c r="BG2" s="321"/>
      <c r="BH2" s="321"/>
      <c r="BI2" s="321"/>
      <c r="BJ2" s="321"/>
      <c r="BK2" s="50"/>
      <c r="BL2" s="322"/>
      <c r="BM2" s="322"/>
      <c r="BN2" s="322"/>
      <c r="BO2" s="322"/>
      <c r="BP2" s="322"/>
      <c r="BQ2" s="322"/>
    </row>
    <row r="3" spans="1:69" s="44" customFormat="1" ht="20.25" customHeight="1" x14ac:dyDescent="0.2">
      <c r="A3" s="329"/>
      <c r="B3" s="330"/>
      <c r="C3" s="330"/>
      <c r="D3" s="331"/>
      <c r="E3" s="45"/>
      <c r="F3" s="328"/>
      <c r="G3" s="327"/>
      <c r="H3" s="46"/>
      <c r="I3" s="327"/>
      <c r="J3" s="328"/>
      <c r="K3" s="46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323"/>
      <c r="W3" s="47"/>
      <c r="X3" s="324"/>
      <c r="Y3" s="324"/>
      <c r="Z3" s="324"/>
      <c r="AA3" s="324"/>
      <c r="AB3" s="324"/>
      <c r="AC3" s="324"/>
      <c r="AD3" s="324"/>
      <c r="AE3" s="324"/>
      <c r="AF3" s="324"/>
      <c r="AG3" s="47"/>
      <c r="AH3" s="325"/>
      <c r="AI3" s="325"/>
      <c r="AJ3" s="325"/>
      <c r="AK3" s="325"/>
      <c r="AL3" s="325"/>
      <c r="AM3" s="325"/>
      <c r="AN3" s="325"/>
      <c r="AO3" s="325"/>
      <c r="AP3" s="325"/>
      <c r="AQ3" s="47"/>
      <c r="AR3" s="326"/>
      <c r="AS3" s="326"/>
      <c r="AT3" s="326"/>
      <c r="AU3" s="326"/>
      <c r="AV3" s="326"/>
      <c r="AW3" s="326"/>
      <c r="AX3" s="326"/>
      <c r="AY3" s="326"/>
      <c r="AZ3" s="326"/>
      <c r="BA3" s="47"/>
      <c r="BB3" s="321"/>
      <c r="BC3" s="321"/>
      <c r="BD3" s="321"/>
      <c r="BE3" s="321"/>
      <c r="BF3" s="321"/>
      <c r="BG3" s="321"/>
      <c r="BH3" s="321"/>
      <c r="BI3" s="321"/>
      <c r="BJ3" s="321"/>
      <c r="BK3" s="50"/>
      <c r="BL3" s="322"/>
      <c r="BM3" s="322"/>
      <c r="BN3" s="322"/>
      <c r="BO3" s="322"/>
      <c r="BP3" s="322"/>
      <c r="BQ3" s="322"/>
    </row>
    <row r="4" spans="1:69" s="44" customFormat="1" ht="20.25" customHeight="1" x14ac:dyDescent="0.2">
      <c r="A4" s="329"/>
      <c r="B4" s="330"/>
      <c r="C4" s="330"/>
      <c r="D4" s="331"/>
      <c r="E4" s="45"/>
      <c r="F4" s="328"/>
      <c r="G4" s="327"/>
      <c r="H4" s="46"/>
      <c r="I4" s="327"/>
      <c r="J4" s="328"/>
      <c r="K4" s="46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47"/>
      <c r="X4" s="319"/>
      <c r="Y4" s="319"/>
      <c r="Z4" s="319"/>
      <c r="AA4" s="319"/>
      <c r="AB4" s="319"/>
      <c r="AC4" s="319"/>
      <c r="AD4" s="319"/>
      <c r="AE4" s="319"/>
      <c r="AF4" s="319"/>
      <c r="AG4" s="47"/>
      <c r="AH4" s="318"/>
      <c r="AI4" s="318"/>
      <c r="AJ4" s="318"/>
      <c r="AK4" s="318"/>
      <c r="AL4" s="318"/>
      <c r="AM4" s="318"/>
      <c r="AN4" s="318"/>
      <c r="AO4" s="318"/>
      <c r="AP4" s="318"/>
      <c r="AQ4" s="47"/>
      <c r="AR4" s="317"/>
      <c r="AS4" s="317"/>
      <c r="AT4" s="317"/>
      <c r="AU4" s="317"/>
      <c r="AV4" s="317"/>
      <c r="AW4" s="317"/>
      <c r="AX4" s="317"/>
      <c r="AY4" s="317"/>
      <c r="AZ4" s="317"/>
      <c r="BA4" s="47"/>
      <c r="BB4" s="316"/>
      <c r="BC4" s="316"/>
      <c r="BD4" s="316"/>
      <c r="BE4" s="316"/>
      <c r="BF4" s="316"/>
      <c r="BG4" s="316"/>
      <c r="BH4" s="316"/>
      <c r="BI4" s="316"/>
      <c r="BJ4" s="316"/>
      <c r="BK4" s="50"/>
      <c r="BL4" s="315"/>
      <c r="BM4" s="315"/>
      <c r="BN4" s="315"/>
      <c r="BO4" s="315"/>
      <c r="BP4" s="315"/>
      <c r="BQ4" s="315"/>
    </row>
    <row r="5" spans="1:69" s="44" customFormat="1" ht="20.25" customHeight="1" x14ac:dyDescent="0.2">
      <c r="A5" s="329"/>
      <c r="B5" s="330"/>
      <c r="C5" s="330"/>
      <c r="D5" s="51"/>
      <c r="E5" s="45"/>
      <c r="F5" s="52"/>
      <c r="G5" s="53"/>
      <c r="H5" s="46"/>
      <c r="I5" s="52"/>
      <c r="J5" s="52"/>
      <c r="K5" s="46"/>
      <c r="L5" s="320"/>
      <c r="M5" s="320"/>
      <c r="N5" s="320"/>
      <c r="O5" s="320"/>
      <c r="P5" s="320"/>
      <c r="Q5" s="320"/>
      <c r="R5" s="320"/>
      <c r="S5" s="320"/>
      <c r="T5" s="320"/>
      <c r="U5" s="320"/>
      <c r="V5" s="320"/>
      <c r="W5" s="47"/>
      <c r="X5" s="319"/>
      <c r="Y5" s="319"/>
      <c r="Z5" s="319"/>
      <c r="AA5" s="319"/>
      <c r="AB5" s="319"/>
      <c r="AC5" s="319"/>
      <c r="AD5" s="319"/>
      <c r="AE5" s="319"/>
      <c r="AF5" s="319"/>
      <c r="AG5" s="47"/>
      <c r="AH5" s="318"/>
      <c r="AI5" s="318"/>
      <c r="AJ5" s="318"/>
      <c r="AK5" s="318"/>
      <c r="AL5" s="318"/>
      <c r="AM5" s="318"/>
      <c r="AN5" s="318"/>
      <c r="AO5" s="318"/>
      <c r="AP5" s="318"/>
      <c r="AQ5" s="47"/>
      <c r="AR5" s="317"/>
      <c r="AS5" s="317"/>
      <c r="AT5" s="317"/>
      <c r="AU5" s="317"/>
      <c r="AV5" s="317"/>
      <c r="AW5" s="317"/>
      <c r="AX5" s="317"/>
      <c r="AY5" s="317"/>
      <c r="AZ5" s="317"/>
      <c r="BA5" s="47"/>
      <c r="BB5" s="316"/>
      <c r="BC5" s="316"/>
      <c r="BD5" s="316"/>
      <c r="BE5" s="316"/>
      <c r="BF5" s="316"/>
      <c r="BG5" s="316"/>
      <c r="BH5" s="316"/>
      <c r="BI5" s="316"/>
      <c r="BJ5" s="316"/>
      <c r="BK5" s="50"/>
      <c r="BL5" s="315"/>
      <c r="BM5" s="315"/>
      <c r="BN5" s="315"/>
      <c r="BO5" s="315"/>
      <c r="BP5" s="315"/>
      <c r="BQ5" s="315"/>
    </row>
    <row r="6" spans="1:69" s="44" customFormat="1" ht="22.35" customHeight="1" x14ac:dyDescent="0.2">
      <c r="A6" s="100"/>
      <c r="B6" s="100"/>
      <c r="C6" s="100"/>
      <c r="D6" s="54"/>
      <c r="E6" s="55"/>
      <c r="F6" s="56"/>
      <c r="G6" s="56"/>
      <c r="H6" s="57"/>
      <c r="I6" s="58"/>
      <c r="J6" s="58"/>
      <c r="K6" s="55"/>
      <c r="L6" s="59"/>
      <c r="M6" s="59"/>
      <c r="N6" s="59"/>
      <c r="O6" s="54"/>
      <c r="P6" s="60"/>
      <c r="Q6" s="61"/>
      <c r="R6" s="62"/>
      <c r="S6" s="56"/>
      <c r="T6" s="56"/>
      <c r="U6" s="63"/>
      <c r="V6" s="64"/>
      <c r="W6" s="55"/>
      <c r="X6" s="63"/>
      <c r="Y6" s="54"/>
      <c r="Z6" s="65"/>
      <c r="AA6" s="66"/>
      <c r="AB6" s="67"/>
      <c r="AC6" s="56"/>
      <c r="AD6" s="56"/>
      <c r="AE6" s="64"/>
      <c r="AF6" s="64"/>
      <c r="AG6" s="55"/>
      <c r="AH6" s="68"/>
      <c r="AI6" s="54"/>
      <c r="AJ6" s="69"/>
      <c r="AK6" s="70"/>
      <c r="AL6" s="71"/>
      <c r="AM6" s="56"/>
      <c r="AN6" s="56"/>
      <c r="AO6" s="64"/>
      <c r="AP6" s="64"/>
      <c r="AQ6" s="55"/>
      <c r="AR6" s="68"/>
      <c r="AS6" s="54"/>
      <c r="AT6" s="69"/>
      <c r="AU6" s="61"/>
      <c r="AV6" s="62"/>
      <c r="AW6" s="56"/>
      <c r="AX6" s="56"/>
      <c r="AY6" s="64"/>
      <c r="AZ6" s="64"/>
      <c r="BA6" s="55"/>
      <c r="BB6" s="72"/>
      <c r="BC6" s="68"/>
      <c r="BD6" s="69"/>
      <c r="BE6" s="70"/>
      <c r="BF6" s="71"/>
      <c r="BG6" s="56"/>
      <c r="BH6" s="56"/>
      <c r="BI6" s="64"/>
      <c r="BJ6" s="64"/>
      <c r="BK6" s="57"/>
      <c r="BL6" s="73"/>
      <c r="BM6" s="70"/>
      <c r="BN6" s="74"/>
      <c r="BO6" s="75"/>
      <c r="BP6" s="66"/>
      <c r="BQ6" s="74"/>
    </row>
    <row r="7" spans="1:69" s="44" customFormat="1" ht="22.35" customHeight="1" x14ac:dyDescent="0.2">
      <c r="A7" s="100"/>
      <c r="B7" s="100"/>
      <c r="C7" s="100"/>
      <c r="D7" s="54"/>
      <c r="E7" s="55"/>
      <c r="F7" s="56"/>
      <c r="G7" s="56"/>
      <c r="H7" s="57"/>
      <c r="I7" s="58"/>
      <c r="J7" s="58"/>
      <c r="K7" s="55"/>
      <c r="L7" s="59"/>
      <c r="M7" s="59"/>
      <c r="N7" s="59"/>
      <c r="O7" s="54"/>
      <c r="P7" s="60"/>
      <c r="Q7" s="66"/>
      <c r="R7" s="67"/>
      <c r="S7" s="56"/>
      <c r="T7" s="56"/>
      <c r="U7" s="63"/>
      <c r="V7" s="64"/>
      <c r="W7" s="55"/>
      <c r="X7" s="63"/>
      <c r="Y7" s="54"/>
      <c r="Z7" s="65"/>
      <c r="AA7" s="66"/>
      <c r="AB7" s="67"/>
      <c r="AC7" s="56"/>
      <c r="AD7" s="56"/>
      <c r="AE7" s="64"/>
      <c r="AF7" s="64"/>
      <c r="AG7" s="55"/>
      <c r="AH7" s="68"/>
      <c r="AI7" s="54"/>
      <c r="AJ7" s="69"/>
      <c r="AK7" s="76"/>
      <c r="AL7" s="59"/>
      <c r="AM7" s="56"/>
      <c r="AN7" s="56"/>
      <c r="AO7" s="64"/>
      <c r="AP7" s="64"/>
      <c r="AQ7" s="55"/>
      <c r="AR7" s="68"/>
      <c r="AS7" s="54"/>
      <c r="AT7" s="69"/>
      <c r="AU7" s="61"/>
      <c r="AV7" s="62"/>
      <c r="AW7" s="56"/>
      <c r="AX7" s="56"/>
      <c r="AY7" s="64"/>
      <c r="AZ7" s="64"/>
      <c r="BA7" s="55"/>
      <c r="BB7" s="72"/>
      <c r="BC7" s="68"/>
      <c r="BD7" s="69"/>
      <c r="BE7" s="66"/>
      <c r="BF7" s="67"/>
      <c r="BG7" s="56"/>
      <c r="BH7" s="56"/>
      <c r="BI7" s="64"/>
      <c r="BJ7" s="64"/>
      <c r="BK7" s="57"/>
      <c r="BL7" s="73"/>
      <c r="BM7" s="70"/>
      <c r="BN7" s="74"/>
      <c r="BO7" s="75"/>
      <c r="BP7" s="66"/>
      <c r="BQ7" s="74"/>
    </row>
    <row r="8" spans="1:69" s="44" customFormat="1" ht="22.35" customHeight="1" x14ac:dyDescent="0.2">
      <c r="A8" s="100"/>
      <c r="B8" s="100"/>
      <c r="C8" s="100"/>
      <c r="D8" s="54"/>
      <c r="E8" s="55"/>
      <c r="F8" s="56"/>
      <c r="G8" s="56"/>
      <c r="H8" s="57"/>
      <c r="I8" s="58"/>
      <c r="J8" s="58"/>
      <c r="K8" s="55"/>
      <c r="L8" s="59"/>
      <c r="M8" s="59"/>
      <c r="N8" s="59"/>
      <c r="O8" s="54"/>
      <c r="P8" s="60"/>
      <c r="Q8" s="66"/>
      <c r="R8" s="67"/>
      <c r="S8" s="56"/>
      <c r="T8" s="56"/>
      <c r="U8" s="63"/>
      <c r="V8" s="64"/>
      <c r="W8" s="55"/>
      <c r="X8" s="63"/>
      <c r="Y8" s="54"/>
      <c r="Z8" s="65"/>
      <c r="AA8" s="66"/>
      <c r="AB8" s="67"/>
      <c r="AC8" s="56"/>
      <c r="AD8" s="56"/>
      <c r="AE8" s="64"/>
      <c r="AF8" s="64"/>
      <c r="AG8" s="55"/>
      <c r="AH8" s="68"/>
      <c r="AI8" s="54"/>
      <c r="AJ8" s="69"/>
      <c r="AK8" s="61"/>
      <c r="AL8" s="62"/>
      <c r="AM8" s="56"/>
      <c r="AN8" s="56"/>
      <c r="AO8" s="64"/>
      <c r="AP8" s="64"/>
      <c r="AQ8" s="55"/>
      <c r="AR8" s="68"/>
      <c r="AS8" s="54"/>
      <c r="AT8" s="69"/>
      <c r="AU8" s="70"/>
      <c r="AV8" s="71"/>
      <c r="AW8" s="56"/>
      <c r="AX8" s="56"/>
      <c r="AY8" s="64"/>
      <c r="AZ8" s="64"/>
      <c r="BA8" s="55"/>
      <c r="BB8" s="72"/>
      <c r="BC8" s="68"/>
      <c r="BD8" s="69"/>
      <c r="BE8" s="66"/>
      <c r="BF8" s="67"/>
      <c r="BG8" s="56"/>
      <c r="BH8" s="56"/>
      <c r="BI8" s="64"/>
      <c r="BJ8" s="64"/>
      <c r="BK8" s="57"/>
      <c r="BL8" s="73"/>
      <c r="BM8" s="70"/>
      <c r="BN8" s="74"/>
      <c r="BO8" s="75"/>
      <c r="BP8" s="66"/>
      <c r="BQ8" s="74"/>
    </row>
    <row r="9" spans="1:69" s="44" customFormat="1" ht="22.35" customHeight="1" x14ac:dyDescent="0.2">
      <c r="A9" s="100"/>
      <c r="B9" s="100"/>
      <c r="C9" s="100"/>
      <c r="D9" s="54"/>
      <c r="E9" s="55"/>
      <c r="F9" s="56"/>
      <c r="G9" s="56"/>
      <c r="H9" s="57"/>
      <c r="I9" s="58"/>
      <c r="J9" s="58"/>
      <c r="K9" s="55"/>
      <c r="L9" s="59"/>
      <c r="M9" s="59"/>
      <c r="N9" s="59"/>
      <c r="O9" s="54"/>
      <c r="P9" s="60"/>
      <c r="Q9" s="61"/>
      <c r="R9" s="62"/>
      <c r="S9" s="56"/>
      <c r="T9" s="56"/>
      <c r="U9" s="63"/>
      <c r="V9" s="64"/>
      <c r="W9" s="55"/>
      <c r="X9" s="63"/>
      <c r="Y9" s="54"/>
      <c r="Z9" s="65"/>
      <c r="AA9" s="70"/>
      <c r="AB9" s="71"/>
      <c r="AC9" s="56"/>
      <c r="AD9" s="56"/>
      <c r="AE9" s="64"/>
      <c r="AF9" s="64"/>
      <c r="AG9" s="55"/>
      <c r="AH9" s="68"/>
      <c r="AI9" s="54"/>
      <c r="AJ9" s="69"/>
      <c r="AK9" s="61"/>
      <c r="AL9" s="62"/>
      <c r="AM9" s="56"/>
      <c r="AN9" s="56"/>
      <c r="AO9" s="64"/>
      <c r="AP9" s="64"/>
      <c r="AQ9" s="55"/>
      <c r="AR9" s="68"/>
      <c r="AS9" s="54"/>
      <c r="AT9" s="69"/>
      <c r="AU9" s="61"/>
      <c r="AV9" s="62"/>
      <c r="AW9" s="56"/>
      <c r="AX9" s="56"/>
      <c r="AY9" s="64"/>
      <c r="AZ9" s="64"/>
      <c r="BA9" s="55"/>
      <c r="BB9" s="72"/>
      <c r="BC9" s="68"/>
      <c r="BD9" s="69"/>
      <c r="BE9" s="76"/>
      <c r="BF9" s="59"/>
      <c r="BG9" s="56"/>
      <c r="BH9" s="56"/>
      <c r="BI9" s="64"/>
      <c r="BJ9" s="64"/>
      <c r="BK9" s="57"/>
      <c r="BL9" s="73"/>
      <c r="BM9" s="70"/>
      <c r="BN9" s="74"/>
      <c r="BO9" s="75"/>
      <c r="BP9" s="66"/>
      <c r="BQ9" s="74"/>
    </row>
    <row r="10" spans="1:69" s="44" customFormat="1" ht="22.35" customHeight="1" x14ac:dyDescent="0.2">
      <c r="A10" s="100"/>
      <c r="B10" s="100"/>
      <c r="C10" s="100"/>
      <c r="D10" s="54"/>
      <c r="E10" s="55"/>
      <c r="F10" s="56"/>
      <c r="G10" s="56"/>
      <c r="H10" s="57"/>
      <c r="I10" s="58"/>
      <c r="J10" s="58"/>
      <c r="K10" s="55"/>
      <c r="L10" s="59"/>
      <c r="M10" s="59"/>
      <c r="N10" s="59"/>
      <c r="O10" s="54"/>
      <c r="P10" s="60"/>
      <c r="Q10" s="66"/>
      <c r="R10" s="67"/>
      <c r="S10" s="56"/>
      <c r="T10" s="56"/>
      <c r="U10" s="63"/>
      <c r="V10" s="64"/>
      <c r="W10" s="55"/>
      <c r="X10" s="63"/>
      <c r="Y10" s="54"/>
      <c r="Z10" s="65"/>
      <c r="AA10" s="66"/>
      <c r="AB10" s="67"/>
      <c r="AC10" s="56"/>
      <c r="AD10" s="56"/>
      <c r="AE10" s="64"/>
      <c r="AF10" s="64"/>
      <c r="AG10" s="55"/>
      <c r="AH10" s="68"/>
      <c r="AI10" s="54"/>
      <c r="AJ10" s="69"/>
      <c r="AK10" s="70"/>
      <c r="AL10" s="71"/>
      <c r="AM10" s="56"/>
      <c r="AN10" s="56"/>
      <c r="AO10" s="64"/>
      <c r="AP10" s="64"/>
      <c r="AQ10" s="55"/>
      <c r="AR10" s="68"/>
      <c r="AS10" s="54"/>
      <c r="AT10" s="69"/>
      <c r="AU10" s="61"/>
      <c r="AV10" s="62"/>
      <c r="AW10" s="56"/>
      <c r="AX10" s="56"/>
      <c r="AY10" s="64"/>
      <c r="AZ10" s="64"/>
      <c r="BA10" s="55"/>
      <c r="BB10" s="72"/>
      <c r="BC10" s="68"/>
      <c r="BD10" s="69"/>
      <c r="BE10" s="66"/>
      <c r="BF10" s="67"/>
      <c r="BG10" s="56"/>
      <c r="BH10" s="56"/>
      <c r="BI10" s="64"/>
      <c r="BJ10" s="64"/>
      <c r="BK10" s="57"/>
      <c r="BL10" s="73"/>
      <c r="BM10" s="70"/>
      <c r="BN10" s="74"/>
      <c r="BO10" s="75"/>
      <c r="BP10" s="66"/>
      <c r="BQ10" s="74"/>
    </row>
    <row r="11" spans="1:69" s="44" customFormat="1" ht="22.35" customHeight="1" x14ac:dyDescent="0.2">
      <c r="A11" s="100"/>
      <c r="B11" s="100"/>
      <c r="C11" s="100"/>
      <c r="D11" s="54"/>
      <c r="E11" s="55"/>
      <c r="F11" s="56"/>
      <c r="G11" s="56"/>
      <c r="H11" s="57"/>
      <c r="I11" s="58"/>
      <c r="J11" s="58"/>
      <c r="K11" s="55"/>
      <c r="L11" s="59"/>
      <c r="M11" s="59"/>
      <c r="N11" s="59"/>
      <c r="O11" s="54"/>
      <c r="P11" s="60"/>
      <c r="Q11" s="66"/>
      <c r="R11" s="67"/>
      <c r="S11" s="56"/>
      <c r="T11" s="56"/>
      <c r="U11" s="63"/>
      <c r="V11" s="64"/>
      <c r="W11" s="55"/>
      <c r="X11" s="63"/>
      <c r="Y11" s="54"/>
      <c r="Z11" s="65"/>
      <c r="AA11" s="70"/>
      <c r="AB11" s="71"/>
      <c r="AC11" s="56"/>
      <c r="AD11" s="56"/>
      <c r="AE11" s="64"/>
      <c r="AF11" s="64"/>
      <c r="AG11" s="55"/>
      <c r="AH11" s="68"/>
      <c r="AI11" s="54"/>
      <c r="AJ11" s="69"/>
      <c r="AK11" s="70"/>
      <c r="AL11" s="71"/>
      <c r="AM11" s="56"/>
      <c r="AN11" s="56"/>
      <c r="AO11" s="64"/>
      <c r="AP11" s="64"/>
      <c r="AQ11" s="55"/>
      <c r="AR11" s="68"/>
      <c r="AS11" s="54"/>
      <c r="AT11" s="69"/>
      <c r="AU11" s="61"/>
      <c r="AV11" s="62"/>
      <c r="AW11" s="56"/>
      <c r="AX11" s="56"/>
      <c r="AY11" s="64"/>
      <c r="AZ11" s="64"/>
      <c r="BA11" s="55"/>
      <c r="BB11" s="72"/>
      <c r="BC11" s="68"/>
      <c r="BD11" s="69"/>
      <c r="BE11" s="66"/>
      <c r="BF11" s="67"/>
      <c r="BG11" s="56"/>
      <c r="BH11" s="56"/>
      <c r="BI11" s="64"/>
      <c r="BJ11" s="64"/>
      <c r="BK11" s="57"/>
      <c r="BL11" s="73"/>
      <c r="BM11" s="70"/>
      <c r="BN11" s="74"/>
      <c r="BO11" s="75"/>
      <c r="BP11" s="66"/>
      <c r="BQ11" s="74"/>
    </row>
    <row r="12" spans="1:69" s="44" customFormat="1" ht="22.35" customHeight="1" x14ac:dyDescent="0.2">
      <c r="A12" s="100"/>
      <c r="B12" s="100"/>
      <c r="C12" s="100"/>
      <c r="D12" s="54"/>
      <c r="E12" s="55"/>
      <c r="F12" s="56"/>
      <c r="G12" s="56"/>
      <c r="H12" s="57"/>
      <c r="I12" s="58"/>
      <c r="J12" s="58"/>
      <c r="K12" s="55"/>
      <c r="L12" s="59"/>
      <c r="M12" s="59"/>
      <c r="N12" s="59"/>
      <c r="O12" s="54"/>
      <c r="P12" s="60"/>
      <c r="Q12" s="66"/>
      <c r="R12" s="67"/>
      <c r="S12" s="56"/>
      <c r="T12" s="56"/>
      <c r="U12" s="63"/>
      <c r="V12" s="64"/>
      <c r="W12" s="55"/>
      <c r="X12" s="63"/>
      <c r="Y12" s="54"/>
      <c r="Z12" s="65"/>
      <c r="AA12" s="70"/>
      <c r="AB12" s="71"/>
      <c r="AC12" s="56"/>
      <c r="AD12" s="56"/>
      <c r="AE12" s="64"/>
      <c r="AF12" s="64"/>
      <c r="AG12" s="55"/>
      <c r="AH12" s="68"/>
      <c r="AI12" s="54"/>
      <c r="AJ12" s="69"/>
      <c r="AK12" s="76"/>
      <c r="AL12" s="59"/>
      <c r="AM12" s="56"/>
      <c r="AN12" s="56"/>
      <c r="AO12" s="64"/>
      <c r="AP12" s="64"/>
      <c r="AQ12" s="55"/>
      <c r="AR12" s="68"/>
      <c r="AS12" s="54"/>
      <c r="AT12" s="69"/>
      <c r="AU12" s="61"/>
      <c r="AV12" s="62"/>
      <c r="AW12" s="56"/>
      <c r="AX12" s="56"/>
      <c r="AY12" s="64"/>
      <c r="AZ12" s="64"/>
      <c r="BA12" s="55"/>
      <c r="BB12" s="72"/>
      <c r="BC12" s="68"/>
      <c r="BD12" s="69"/>
      <c r="BE12" s="66"/>
      <c r="BF12" s="67"/>
      <c r="BG12" s="56"/>
      <c r="BH12" s="56"/>
      <c r="BI12" s="64"/>
      <c r="BJ12" s="64"/>
      <c r="BK12" s="57"/>
      <c r="BL12" s="73"/>
      <c r="BM12" s="76"/>
      <c r="BN12" s="74"/>
      <c r="BO12" s="75"/>
      <c r="BP12" s="66"/>
      <c r="BQ12" s="74"/>
    </row>
    <row r="13" spans="1:69" s="44" customFormat="1" ht="22.35" customHeight="1" x14ac:dyDescent="0.2">
      <c r="A13" s="100"/>
      <c r="B13" s="100"/>
      <c r="C13" s="100"/>
      <c r="D13" s="54"/>
      <c r="E13" s="55"/>
      <c r="F13" s="56"/>
      <c r="G13" s="56"/>
      <c r="H13" s="57"/>
      <c r="I13" s="58"/>
      <c r="J13" s="58"/>
      <c r="K13" s="55"/>
      <c r="L13" s="59"/>
      <c r="M13" s="59"/>
      <c r="N13" s="59"/>
      <c r="O13" s="54"/>
      <c r="P13" s="60"/>
      <c r="Q13" s="66"/>
      <c r="R13" s="67"/>
      <c r="S13" s="56"/>
      <c r="T13" s="56"/>
      <c r="U13" s="63"/>
      <c r="V13" s="64"/>
      <c r="W13" s="55"/>
      <c r="X13" s="63"/>
      <c r="Y13" s="54"/>
      <c r="Z13" s="65"/>
      <c r="AA13" s="66"/>
      <c r="AB13" s="67"/>
      <c r="AC13" s="56"/>
      <c r="AD13" s="56"/>
      <c r="AE13" s="64"/>
      <c r="AF13" s="64"/>
      <c r="AG13" s="55"/>
      <c r="AH13" s="68"/>
      <c r="AI13" s="54"/>
      <c r="AJ13" s="69"/>
      <c r="AK13" s="70"/>
      <c r="AL13" s="71"/>
      <c r="AM13" s="56"/>
      <c r="AN13" s="56"/>
      <c r="AO13" s="64"/>
      <c r="AP13" s="64"/>
      <c r="AQ13" s="55"/>
      <c r="AR13" s="68"/>
      <c r="AS13" s="54"/>
      <c r="AT13" s="69"/>
      <c r="AU13" s="76"/>
      <c r="AV13" s="59"/>
      <c r="AW13" s="56"/>
      <c r="AX13" s="56"/>
      <c r="AY13" s="64"/>
      <c r="AZ13" s="64"/>
      <c r="BA13" s="55"/>
      <c r="BB13" s="72"/>
      <c r="BC13" s="68"/>
      <c r="BD13" s="69"/>
      <c r="BE13" s="66"/>
      <c r="BF13" s="67"/>
      <c r="BG13" s="56"/>
      <c r="BH13" s="56"/>
      <c r="BI13" s="64"/>
      <c r="BJ13" s="64"/>
      <c r="BK13" s="57"/>
      <c r="BL13" s="73"/>
      <c r="BM13" s="70"/>
      <c r="BN13" s="74"/>
      <c r="BO13" s="75"/>
      <c r="BP13" s="66"/>
      <c r="BQ13" s="74"/>
    </row>
    <row r="14" spans="1:69" s="44" customFormat="1" ht="22.35" customHeight="1" x14ac:dyDescent="0.2">
      <c r="A14" s="100"/>
      <c r="B14" s="100"/>
      <c r="C14" s="100"/>
      <c r="D14" s="54"/>
      <c r="E14" s="55"/>
      <c r="F14" s="56"/>
      <c r="G14" s="56"/>
      <c r="H14" s="57"/>
      <c r="I14" s="58"/>
      <c r="J14" s="58"/>
      <c r="K14" s="55"/>
      <c r="L14" s="59"/>
      <c r="M14" s="59"/>
      <c r="N14" s="59"/>
      <c r="O14" s="54"/>
      <c r="P14" s="60"/>
      <c r="Q14" s="61"/>
      <c r="R14" s="62"/>
      <c r="S14" s="56"/>
      <c r="T14" s="56"/>
      <c r="U14" s="63"/>
      <c r="V14" s="64"/>
      <c r="W14" s="55"/>
      <c r="X14" s="63"/>
      <c r="Y14" s="54"/>
      <c r="Z14" s="65"/>
      <c r="AA14" s="66"/>
      <c r="AB14" s="67"/>
      <c r="AC14" s="56"/>
      <c r="AD14" s="56"/>
      <c r="AE14" s="64"/>
      <c r="AF14" s="64"/>
      <c r="AG14" s="55"/>
      <c r="AH14" s="68"/>
      <c r="AI14" s="54"/>
      <c r="AJ14" s="69"/>
      <c r="AK14" s="76"/>
      <c r="AL14" s="59"/>
      <c r="AM14" s="56"/>
      <c r="AN14" s="56"/>
      <c r="AO14" s="64"/>
      <c r="AP14" s="64"/>
      <c r="AQ14" s="55"/>
      <c r="AR14" s="68"/>
      <c r="AS14" s="54"/>
      <c r="AT14" s="69"/>
      <c r="AU14" s="61"/>
      <c r="AV14" s="62"/>
      <c r="AW14" s="56"/>
      <c r="AX14" s="56"/>
      <c r="AY14" s="64"/>
      <c r="AZ14" s="64"/>
      <c r="BA14" s="55"/>
      <c r="BB14" s="72"/>
      <c r="BC14" s="68"/>
      <c r="BD14" s="69"/>
      <c r="BE14" s="61"/>
      <c r="BF14" s="62"/>
      <c r="BG14" s="56"/>
      <c r="BH14" s="56"/>
      <c r="BI14" s="64"/>
      <c r="BJ14" s="64"/>
      <c r="BK14" s="57"/>
      <c r="BL14" s="73"/>
      <c r="BM14" s="76"/>
      <c r="BN14" s="74"/>
      <c r="BO14" s="75"/>
      <c r="BP14" s="66"/>
      <c r="BQ14" s="74"/>
    </row>
    <row r="15" spans="1:69" s="44" customFormat="1" ht="22.35" customHeight="1" x14ac:dyDescent="0.2">
      <c r="A15" s="100"/>
      <c r="B15" s="100"/>
      <c r="C15" s="100"/>
      <c r="D15" s="54"/>
      <c r="E15" s="55"/>
      <c r="F15" s="56"/>
      <c r="G15" s="56"/>
      <c r="H15" s="57"/>
      <c r="I15" s="58"/>
      <c r="J15" s="58"/>
      <c r="K15" s="55"/>
      <c r="L15" s="59"/>
      <c r="M15" s="59"/>
      <c r="N15" s="59"/>
      <c r="O15" s="54"/>
      <c r="P15" s="60"/>
      <c r="Q15" s="66"/>
      <c r="R15" s="67"/>
      <c r="S15" s="56"/>
      <c r="T15" s="56"/>
      <c r="U15" s="63"/>
      <c r="V15" s="64"/>
      <c r="W15" s="55"/>
      <c r="X15" s="63"/>
      <c r="Y15" s="54"/>
      <c r="Z15" s="65"/>
      <c r="AA15" s="70"/>
      <c r="AB15" s="71"/>
      <c r="AC15" s="56"/>
      <c r="AD15" s="56"/>
      <c r="AE15" s="64"/>
      <c r="AF15" s="64"/>
      <c r="AG15" s="55"/>
      <c r="AH15" s="68"/>
      <c r="AI15" s="54"/>
      <c r="AJ15" s="69"/>
      <c r="AK15" s="76"/>
      <c r="AL15" s="59"/>
      <c r="AM15" s="56"/>
      <c r="AN15" s="56"/>
      <c r="AO15" s="64"/>
      <c r="AP15" s="64"/>
      <c r="AQ15" s="55"/>
      <c r="AR15" s="68"/>
      <c r="AS15" s="54"/>
      <c r="AT15" s="69"/>
      <c r="AU15" s="61"/>
      <c r="AV15" s="62"/>
      <c r="AW15" s="56"/>
      <c r="AX15" s="56"/>
      <c r="AY15" s="64"/>
      <c r="AZ15" s="64"/>
      <c r="BA15" s="55"/>
      <c r="BB15" s="72"/>
      <c r="BC15" s="68"/>
      <c r="BD15" s="69"/>
      <c r="BE15" s="76"/>
      <c r="BF15" s="59"/>
      <c r="BG15" s="56"/>
      <c r="BH15" s="56"/>
      <c r="BI15" s="64"/>
      <c r="BJ15" s="64"/>
      <c r="BK15" s="57"/>
      <c r="BL15" s="73"/>
      <c r="BM15" s="70"/>
      <c r="BN15" s="74"/>
      <c r="BO15" s="75"/>
      <c r="BP15" s="66"/>
      <c r="BQ15" s="74"/>
    </row>
    <row r="16" spans="1:69" s="44" customFormat="1" ht="22.35" customHeight="1" x14ac:dyDescent="0.2">
      <c r="A16" s="100"/>
      <c r="B16" s="100"/>
      <c r="C16" s="100"/>
      <c r="D16" s="54"/>
      <c r="E16" s="55"/>
      <c r="F16" s="56"/>
      <c r="G16" s="56"/>
      <c r="H16" s="57"/>
      <c r="I16" s="58"/>
      <c r="J16" s="58"/>
      <c r="K16" s="55"/>
      <c r="L16" s="59"/>
      <c r="M16" s="59"/>
      <c r="N16" s="59"/>
      <c r="O16" s="54"/>
      <c r="P16" s="60"/>
      <c r="Q16" s="66"/>
      <c r="R16" s="67"/>
      <c r="S16" s="56"/>
      <c r="T16" s="56"/>
      <c r="U16" s="63"/>
      <c r="V16" s="64"/>
      <c r="W16" s="55"/>
      <c r="X16" s="63"/>
      <c r="Y16" s="54"/>
      <c r="Z16" s="65"/>
      <c r="AA16" s="66"/>
      <c r="AB16" s="67"/>
      <c r="AC16" s="56"/>
      <c r="AD16" s="56"/>
      <c r="AE16" s="64"/>
      <c r="AF16" s="64"/>
      <c r="AG16" s="55"/>
      <c r="AH16" s="68"/>
      <c r="AI16" s="54"/>
      <c r="AJ16" s="69"/>
      <c r="AK16" s="70"/>
      <c r="AL16" s="71"/>
      <c r="AM16" s="56"/>
      <c r="AN16" s="56"/>
      <c r="AO16" s="64"/>
      <c r="AP16" s="64"/>
      <c r="AQ16" s="55"/>
      <c r="AR16" s="68"/>
      <c r="AS16" s="54"/>
      <c r="AT16" s="69"/>
      <c r="AU16" s="61"/>
      <c r="AV16" s="62"/>
      <c r="AW16" s="56"/>
      <c r="AX16" s="56"/>
      <c r="AY16" s="64"/>
      <c r="AZ16" s="64"/>
      <c r="BA16" s="55"/>
      <c r="BB16" s="72"/>
      <c r="BC16" s="68"/>
      <c r="BD16" s="69"/>
      <c r="BE16" s="70"/>
      <c r="BF16" s="71"/>
      <c r="BG16" s="56"/>
      <c r="BH16" s="56"/>
      <c r="BI16" s="64"/>
      <c r="BJ16" s="64"/>
      <c r="BK16" s="57"/>
      <c r="BL16" s="73"/>
      <c r="BM16" s="70"/>
      <c r="BN16" s="74"/>
      <c r="BO16" s="75"/>
      <c r="BP16" s="66"/>
      <c r="BQ16" s="74"/>
    </row>
    <row r="17" spans="1:69" s="44" customFormat="1" ht="22.35" customHeight="1" x14ac:dyDescent="0.2">
      <c r="A17" s="100"/>
      <c r="B17" s="100"/>
      <c r="C17" s="100"/>
      <c r="D17" s="54"/>
      <c r="E17" s="55"/>
      <c r="F17" s="56"/>
      <c r="G17" s="56"/>
      <c r="H17" s="57"/>
      <c r="I17" s="58"/>
      <c r="J17" s="58"/>
      <c r="K17" s="55"/>
      <c r="L17" s="59"/>
      <c r="M17" s="59"/>
      <c r="N17" s="59"/>
      <c r="O17" s="54"/>
      <c r="P17" s="60"/>
      <c r="Q17" s="66"/>
      <c r="R17" s="67"/>
      <c r="S17" s="56"/>
      <c r="T17" s="56"/>
      <c r="U17" s="63"/>
      <c r="V17" s="64"/>
      <c r="W17" s="55"/>
      <c r="X17" s="63"/>
      <c r="Y17" s="54"/>
      <c r="Z17" s="65"/>
      <c r="AA17" s="66"/>
      <c r="AB17" s="67"/>
      <c r="AC17" s="56"/>
      <c r="AD17" s="56"/>
      <c r="AE17" s="64"/>
      <c r="AF17" s="64"/>
      <c r="AG17" s="55"/>
      <c r="AH17" s="68"/>
      <c r="AI17" s="54"/>
      <c r="AJ17" s="69"/>
      <c r="AK17" s="61"/>
      <c r="AL17" s="62"/>
      <c r="AM17" s="56"/>
      <c r="AN17" s="56"/>
      <c r="AO17" s="64"/>
      <c r="AP17" s="64"/>
      <c r="AQ17" s="55"/>
      <c r="AR17" s="68"/>
      <c r="AS17" s="54"/>
      <c r="AT17" s="69"/>
      <c r="AU17" s="61"/>
      <c r="AV17" s="62"/>
      <c r="AW17" s="56"/>
      <c r="AX17" s="56"/>
      <c r="AY17" s="64"/>
      <c r="AZ17" s="64"/>
      <c r="BA17" s="55"/>
      <c r="BB17" s="72"/>
      <c r="BC17" s="68"/>
      <c r="BD17" s="69"/>
      <c r="BE17" s="66"/>
      <c r="BF17" s="67"/>
      <c r="BG17" s="56"/>
      <c r="BH17" s="56"/>
      <c r="BI17" s="64"/>
      <c r="BJ17" s="64"/>
      <c r="BK17" s="57"/>
      <c r="BL17" s="73"/>
      <c r="BM17" s="76"/>
      <c r="BN17" s="74"/>
      <c r="BO17" s="75"/>
      <c r="BP17" s="66"/>
      <c r="BQ17" s="74"/>
    </row>
    <row r="18" spans="1:69" s="44" customFormat="1" ht="22.35" customHeight="1" x14ac:dyDescent="0.2">
      <c r="A18" s="100"/>
      <c r="B18" s="100"/>
      <c r="C18" s="100"/>
      <c r="D18" s="54"/>
      <c r="E18" s="55"/>
      <c r="F18" s="56"/>
      <c r="G18" s="56"/>
      <c r="H18" s="57"/>
      <c r="I18" s="58"/>
      <c r="J18" s="58"/>
      <c r="K18" s="55"/>
      <c r="L18" s="59"/>
      <c r="M18" s="59"/>
      <c r="N18" s="59"/>
      <c r="O18" s="54"/>
      <c r="P18" s="60"/>
      <c r="Q18" s="61"/>
      <c r="R18" s="62"/>
      <c r="S18" s="56"/>
      <c r="T18" s="56"/>
      <c r="U18" s="63"/>
      <c r="V18" s="64"/>
      <c r="W18" s="55"/>
      <c r="X18" s="63"/>
      <c r="Y18" s="54"/>
      <c r="Z18" s="65"/>
      <c r="AA18" s="66"/>
      <c r="AB18" s="67"/>
      <c r="AC18" s="56"/>
      <c r="AD18" s="56"/>
      <c r="AE18" s="64"/>
      <c r="AF18" s="64"/>
      <c r="AG18" s="55"/>
      <c r="AH18" s="68"/>
      <c r="AI18" s="54"/>
      <c r="AJ18" s="69"/>
      <c r="AK18" s="66"/>
      <c r="AL18" s="67"/>
      <c r="AM18" s="56"/>
      <c r="AN18" s="56"/>
      <c r="AO18" s="64"/>
      <c r="AP18" s="64"/>
      <c r="AQ18" s="55"/>
      <c r="AR18" s="68"/>
      <c r="AS18" s="54"/>
      <c r="AT18" s="69"/>
      <c r="AU18" s="61"/>
      <c r="AV18" s="62"/>
      <c r="AW18" s="56"/>
      <c r="AX18" s="56"/>
      <c r="AY18" s="64"/>
      <c r="AZ18" s="64"/>
      <c r="BA18" s="55"/>
      <c r="BB18" s="72"/>
      <c r="BC18" s="68"/>
      <c r="BD18" s="69"/>
      <c r="BE18" s="66"/>
      <c r="BF18" s="67"/>
      <c r="BG18" s="56"/>
      <c r="BH18" s="56"/>
      <c r="BI18" s="64"/>
      <c r="BJ18" s="64"/>
      <c r="BK18" s="57"/>
      <c r="BL18" s="73"/>
      <c r="BM18" s="70"/>
      <c r="BN18" s="74"/>
      <c r="BO18" s="75"/>
      <c r="BP18" s="66"/>
      <c r="BQ18" s="74"/>
    </row>
    <row r="19" spans="1:69" s="44" customFormat="1" ht="22.35" customHeight="1" x14ac:dyDescent="0.2">
      <c r="A19" s="100"/>
      <c r="B19" s="100"/>
      <c r="C19" s="100"/>
      <c r="D19" s="54"/>
      <c r="E19" s="55"/>
      <c r="F19" s="56"/>
      <c r="G19" s="56"/>
      <c r="H19" s="57"/>
      <c r="I19" s="58"/>
      <c r="J19" s="58"/>
      <c r="K19" s="55"/>
      <c r="L19" s="59"/>
      <c r="M19" s="59"/>
      <c r="N19" s="59"/>
      <c r="O19" s="54"/>
      <c r="P19" s="60"/>
      <c r="Q19" s="66"/>
      <c r="R19" s="67"/>
      <c r="S19" s="56"/>
      <c r="T19" s="56"/>
      <c r="U19" s="63"/>
      <c r="V19" s="64"/>
      <c r="W19" s="55"/>
      <c r="X19" s="63"/>
      <c r="Y19" s="54"/>
      <c r="Z19" s="65"/>
      <c r="AA19" s="76"/>
      <c r="AB19" s="59"/>
      <c r="AC19" s="56"/>
      <c r="AD19" s="56"/>
      <c r="AE19" s="64"/>
      <c r="AF19" s="64"/>
      <c r="AG19" s="55"/>
      <c r="AH19" s="68"/>
      <c r="AI19" s="54"/>
      <c r="AJ19" s="69"/>
      <c r="AK19" s="76"/>
      <c r="AL19" s="59"/>
      <c r="AM19" s="56"/>
      <c r="AN19" s="56"/>
      <c r="AO19" s="64"/>
      <c r="AP19" s="64"/>
      <c r="AQ19" s="55"/>
      <c r="AR19" s="68"/>
      <c r="AS19" s="54"/>
      <c r="AT19" s="69"/>
      <c r="AU19" s="61"/>
      <c r="AV19" s="62"/>
      <c r="AW19" s="56"/>
      <c r="AX19" s="56"/>
      <c r="AY19" s="64"/>
      <c r="AZ19" s="64"/>
      <c r="BA19" s="55"/>
      <c r="BB19" s="72"/>
      <c r="BC19" s="68"/>
      <c r="BD19" s="69"/>
      <c r="BE19" s="76"/>
      <c r="BF19" s="59"/>
      <c r="BG19" s="56"/>
      <c r="BH19" s="56"/>
      <c r="BI19" s="64"/>
      <c r="BJ19" s="64"/>
      <c r="BK19" s="57"/>
      <c r="BL19" s="73"/>
      <c r="BM19" s="76"/>
      <c r="BN19" s="74"/>
      <c r="BO19" s="75"/>
      <c r="BP19" s="66"/>
      <c r="BQ19" s="74"/>
    </row>
    <row r="20" spans="1:69" s="44" customFormat="1" ht="22.35" customHeight="1" x14ac:dyDescent="0.2">
      <c r="A20" s="100"/>
      <c r="B20" s="100"/>
      <c r="C20" s="100"/>
      <c r="D20" s="54"/>
      <c r="E20" s="55"/>
      <c r="F20" s="56"/>
      <c r="G20" s="56"/>
      <c r="H20" s="57"/>
      <c r="I20" s="58"/>
      <c r="J20" s="58"/>
      <c r="K20" s="55"/>
      <c r="L20" s="59"/>
      <c r="M20" s="59"/>
      <c r="N20" s="59"/>
      <c r="O20" s="54"/>
      <c r="P20" s="60"/>
      <c r="Q20" s="66"/>
      <c r="R20" s="67"/>
      <c r="S20" s="56"/>
      <c r="T20" s="56"/>
      <c r="U20" s="63"/>
      <c r="V20" s="64"/>
      <c r="W20" s="55"/>
      <c r="X20" s="63"/>
      <c r="Y20" s="54"/>
      <c r="Z20" s="65"/>
      <c r="AA20" s="70"/>
      <c r="AB20" s="71"/>
      <c r="AC20" s="56"/>
      <c r="AD20" s="56"/>
      <c r="AE20" s="64"/>
      <c r="AF20" s="64"/>
      <c r="AG20" s="55"/>
      <c r="AH20" s="68"/>
      <c r="AI20" s="54"/>
      <c r="AJ20" s="69"/>
      <c r="AK20" s="61"/>
      <c r="AL20" s="62"/>
      <c r="AM20" s="56"/>
      <c r="AN20" s="56"/>
      <c r="AO20" s="64"/>
      <c r="AP20" s="64"/>
      <c r="AQ20" s="55"/>
      <c r="AR20" s="68"/>
      <c r="AS20" s="54"/>
      <c r="AT20" s="69"/>
      <c r="AU20" s="76"/>
      <c r="AV20" s="59"/>
      <c r="AW20" s="56"/>
      <c r="AX20" s="56"/>
      <c r="AY20" s="64"/>
      <c r="AZ20" s="64"/>
      <c r="BA20" s="55"/>
      <c r="BB20" s="72"/>
      <c r="BC20" s="68"/>
      <c r="BD20" s="69"/>
      <c r="BE20" s="66"/>
      <c r="BF20" s="67"/>
      <c r="BG20" s="56"/>
      <c r="BH20" s="56"/>
      <c r="BI20" s="64"/>
      <c r="BJ20" s="64"/>
      <c r="BK20" s="57"/>
      <c r="BL20" s="73"/>
      <c r="BM20" s="76"/>
      <c r="BN20" s="74"/>
      <c r="BO20" s="75"/>
      <c r="BP20" s="66"/>
      <c r="BQ20" s="74"/>
    </row>
    <row r="21" spans="1:69" s="44" customFormat="1" ht="22.35" customHeight="1" x14ac:dyDescent="0.2">
      <c r="A21" s="100"/>
      <c r="B21" s="100"/>
      <c r="C21" s="100"/>
      <c r="D21" s="54"/>
      <c r="E21" s="55"/>
      <c r="F21" s="56"/>
      <c r="G21" s="56"/>
      <c r="H21" s="57"/>
      <c r="I21" s="58"/>
      <c r="J21" s="58"/>
      <c r="K21" s="55"/>
      <c r="L21" s="59"/>
      <c r="M21" s="59"/>
      <c r="N21" s="59"/>
      <c r="O21" s="54"/>
      <c r="P21" s="60"/>
      <c r="Q21" s="66"/>
      <c r="R21" s="67"/>
      <c r="S21" s="56"/>
      <c r="T21" s="56"/>
      <c r="U21" s="63"/>
      <c r="V21" s="64"/>
      <c r="W21" s="55"/>
      <c r="X21" s="63"/>
      <c r="Y21" s="54"/>
      <c r="Z21" s="65"/>
      <c r="AA21" s="70"/>
      <c r="AB21" s="71"/>
      <c r="AC21" s="56"/>
      <c r="AD21" s="56"/>
      <c r="AE21" s="64"/>
      <c r="AF21" s="64"/>
      <c r="AG21" s="55"/>
      <c r="AH21" s="68"/>
      <c r="AI21" s="54"/>
      <c r="AJ21" s="69"/>
      <c r="AK21" s="61"/>
      <c r="AL21" s="62"/>
      <c r="AM21" s="56"/>
      <c r="AN21" s="56"/>
      <c r="AO21" s="64"/>
      <c r="AP21" s="64"/>
      <c r="AQ21" s="55"/>
      <c r="AR21" s="68"/>
      <c r="AS21" s="54"/>
      <c r="AT21" s="69"/>
      <c r="AU21" s="61"/>
      <c r="AV21" s="62"/>
      <c r="AW21" s="56"/>
      <c r="AX21" s="56"/>
      <c r="AY21" s="64"/>
      <c r="AZ21" s="64"/>
      <c r="BA21" s="55"/>
      <c r="BB21" s="72"/>
      <c r="BC21" s="68"/>
      <c r="BD21" s="69"/>
      <c r="BE21" s="66"/>
      <c r="BF21" s="67"/>
      <c r="BG21" s="56"/>
      <c r="BH21" s="56"/>
      <c r="BI21" s="64"/>
      <c r="BJ21" s="64"/>
      <c r="BK21" s="57"/>
      <c r="BL21" s="73"/>
      <c r="BM21" s="70"/>
      <c r="BN21" s="74"/>
      <c r="BO21" s="75"/>
      <c r="BP21" s="66"/>
      <c r="BQ21" s="74"/>
    </row>
    <row r="22" spans="1:69" s="44" customFormat="1" ht="22.35" customHeight="1" x14ac:dyDescent="0.2">
      <c r="A22" s="100"/>
      <c r="B22" s="100"/>
      <c r="C22" s="100"/>
      <c r="D22" s="54"/>
      <c r="E22" s="55"/>
      <c r="F22" s="56"/>
      <c r="G22" s="56"/>
      <c r="H22" s="57"/>
      <c r="I22" s="58"/>
      <c r="J22" s="58"/>
      <c r="K22" s="55"/>
      <c r="L22" s="59"/>
      <c r="M22" s="59"/>
      <c r="N22" s="59"/>
      <c r="O22" s="54"/>
      <c r="P22" s="60"/>
      <c r="Q22" s="66"/>
      <c r="R22" s="67"/>
      <c r="S22" s="56"/>
      <c r="T22" s="56"/>
      <c r="U22" s="63"/>
      <c r="V22" s="64"/>
      <c r="W22" s="55"/>
      <c r="X22" s="63"/>
      <c r="Y22" s="54"/>
      <c r="Z22" s="65"/>
      <c r="AA22" s="70"/>
      <c r="AB22" s="71"/>
      <c r="AC22" s="56"/>
      <c r="AD22" s="56"/>
      <c r="AE22" s="64"/>
      <c r="AF22" s="64"/>
      <c r="AG22" s="55"/>
      <c r="AH22" s="68"/>
      <c r="AI22" s="54"/>
      <c r="AJ22" s="69"/>
      <c r="AK22" s="61"/>
      <c r="AL22" s="62"/>
      <c r="AM22" s="56"/>
      <c r="AN22" s="56"/>
      <c r="AO22" s="64"/>
      <c r="AP22" s="64"/>
      <c r="AQ22" s="55"/>
      <c r="AR22" s="68"/>
      <c r="AS22" s="54"/>
      <c r="AT22" s="69"/>
      <c r="AU22" s="61"/>
      <c r="AV22" s="62"/>
      <c r="AW22" s="56"/>
      <c r="AX22" s="56"/>
      <c r="AY22" s="64"/>
      <c r="AZ22" s="64"/>
      <c r="BA22" s="55"/>
      <c r="BB22" s="72"/>
      <c r="BC22" s="68"/>
      <c r="BD22" s="69"/>
      <c r="BE22" s="66"/>
      <c r="BF22" s="67"/>
      <c r="BG22" s="56"/>
      <c r="BH22" s="56"/>
      <c r="BI22" s="64"/>
      <c r="BJ22" s="64"/>
      <c r="BK22" s="57"/>
      <c r="BL22" s="73"/>
      <c r="BM22" s="70"/>
      <c r="BN22" s="74"/>
      <c r="BO22" s="75"/>
      <c r="BP22" s="66"/>
      <c r="BQ22" s="74"/>
    </row>
    <row r="23" spans="1:69" s="44" customFormat="1" ht="22.35" customHeight="1" x14ac:dyDescent="0.2">
      <c r="A23" s="100"/>
      <c r="B23" s="100"/>
      <c r="C23" s="100"/>
      <c r="D23" s="54"/>
      <c r="E23" s="55"/>
      <c r="F23" s="56"/>
      <c r="G23" s="56"/>
      <c r="H23" s="57"/>
      <c r="I23" s="58"/>
      <c r="J23" s="58"/>
      <c r="K23" s="55"/>
      <c r="L23" s="59"/>
      <c r="M23" s="59"/>
      <c r="N23" s="59"/>
      <c r="O23" s="54"/>
      <c r="P23" s="60"/>
      <c r="Q23" s="66"/>
      <c r="R23" s="67"/>
      <c r="S23" s="56"/>
      <c r="T23" s="56"/>
      <c r="U23" s="63"/>
      <c r="V23" s="64"/>
      <c r="W23" s="55"/>
      <c r="X23" s="63"/>
      <c r="Y23" s="54"/>
      <c r="Z23" s="65"/>
      <c r="AA23" s="76"/>
      <c r="AB23" s="59"/>
      <c r="AC23" s="56"/>
      <c r="AD23" s="56"/>
      <c r="AE23" s="64"/>
      <c r="AF23" s="64"/>
      <c r="AG23" s="55"/>
      <c r="AH23" s="68"/>
      <c r="AI23" s="54"/>
      <c r="AJ23" s="69"/>
      <c r="AK23" s="61"/>
      <c r="AL23" s="62"/>
      <c r="AM23" s="56"/>
      <c r="AN23" s="56"/>
      <c r="AO23" s="64"/>
      <c r="AP23" s="64"/>
      <c r="AQ23" s="55"/>
      <c r="AR23" s="68"/>
      <c r="AS23" s="54"/>
      <c r="AT23" s="69"/>
      <c r="AU23" s="61"/>
      <c r="AV23" s="62"/>
      <c r="AW23" s="56"/>
      <c r="AX23" s="56"/>
      <c r="AY23" s="64"/>
      <c r="AZ23" s="64"/>
      <c r="BA23" s="55"/>
      <c r="BB23" s="72"/>
      <c r="BC23" s="68"/>
      <c r="BD23" s="69"/>
      <c r="BE23" s="76"/>
      <c r="BF23" s="59"/>
      <c r="BG23" s="56"/>
      <c r="BH23" s="56"/>
      <c r="BI23" s="64"/>
      <c r="BJ23" s="64"/>
      <c r="BK23" s="57"/>
      <c r="BL23" s="73"/>
      <c r="BM23" s="70"/>
      <c r="BN23" s="74"/>
      <c r="BO23" s="75"/>
      <c r="BP23" s="66"/>
      <c r="BQ23" s="74"/>
    </row>
    <row r="24" spans="1:69" s="44" customFormat="1" ht="22.35" customHeight="1" x14ac:dyDescent="0.2">
      <c r="A24" s="100"/>
      <c r="B24" s="100"/>
      <c r="C24" s="100"/>
      <c r="D24" s="54"/>
      <c r="E24" s="55"/>
      <c r="F24" s="56"/>
      <c r="G24" s="56"/>
      <c r="H24" s="57"/>
      <c r="I24" s="58"/>
      <c r="J24" s="58"/>
      <c r="K24" s="55"/>
      <c r="L24" s="59"/>
      <c r="M24" s="59"/>
      <c r="N24" s="59"/>
      <c r="O24" s="54"/>
      <c r="P24" s="60"/>
      <c r="Q24" s="66"/>
      <c r="R24" s="67"/>
      <c r="S24" s="56"/>
      <c r="T24" s="56"/>
      <c r="U24" s="63"/>
      <c r="V24" s="64"/>
      <c r="W24" s="55"/>
      <c r="X24" s="63"/>
      <c r="Y24" s="54"/>
      <c r="Z24" s="65"/>
      <c r="AA24" s="70"/>
      <c r="AB24" s="71"/>
      <c r="AC24" s="56"/>
      <c r="AD24" s="56"/>
      <c r="AE24" s="64"/>
      <c r="AF24" s="64"/>
      <c r="AG24" s="55"/>
      <c r="AH24" s="68"/>
      <c r="AI24" s="54"/>
      <c r="AJ24" s="69"/>
      <c r="AK24" s="76"/>
      <c r="AL24" s="59"/>
      <c r="AM24" s="56"/>
      <c r="AN24" s="56"/>
      <c r="AO24" s="64"/>
      <c r="AP24" s="64"/>
      <c r="AQ24" s="55"/>
      <c r="AR24" s="68"/>
      <c r="AS24" s="54"/>
      <c r="AT24" s="69"/>
      <c r="AU24" s="61"/>
      <c r="AV24" s="62"/>
      <c r="AW24" s="56"/>
      <c r="AX24" s="56"/>
      <c r="AY24" s="64"/>
      <c r="AZ24" s="64"/>
      <c r="BA24" s="55"/>
      <c r="BB24" s="72"/>
      <c r="BC24" s="68"/>
      <c r="BD24" s="69"/>
      <c r="BE24" s="70"/>
      <c r="BF24" s="71"/>
      <c r="BG24" s="56"/>
      <c r="BH24" s="56"/>
      <c r="BI24" s="64"/>
      <c r="BJ24" s="64"/>
      <c r="BK24" s="57"/>
      <c r="BL24" s="73"/>
      <c r="BM24" s="70"/>
      <c r="BN24" s="74"/>
      <c r="BO24" s="75"/>
      <c r="BP24" s="66"/>
      <c r="BQ24" s="74"/>
    </row>
    <row r="25" spans="1:69" s="44" customFormat="1" ht="22.35" customHeight="1" x14ac:dyDescent="0.2">
      <c r="A25" s="100"/>
      <c r="B25" s="100"/>
      <c r="C25" s="100"/>
      <c r="D25" s="54"/>
      <c r="E25" s="55"/>
      <c r="F25" s="56"/>
      <c r="G25" s="56"/>
      <c r="H25" s="57"/>
      <c r="I25" s="58"/>
      <c r="J25" s="58"/>
      <c r="K25" s="55"/>
      <c r="L25" s="59"/>
      <c r="M25" s="59"/>
      <c r="N25" s="59"/>
      <c r="O25" s="54"/>
      <c r="P25" s="60"/>
      <c r="Q25" s="66"/>
      <c r="R25" s="67"/>
      <c r="S25" s="56"/>
      <c r="T25" s="56"/>
      <c r="U25" s="63"/>
      <c r="V25" s="64"/>
      <c r="W25" s="55"/>
      <c r="X25" s="63"/>
      <c r="Y25" s="54"/>
      <c r="Z25" s="65"/>
      <c r="AA25" s="76"/>
      <c r="AB25" s="59"/>
      <c r="AC25" s="56"/>
      <c r="AD25" s="56"/>
      <c r="AE25" s="64"/>
      <c r="AF25" s="64"/>
      <c r="AG25" s="55"/>
      <c r="AH25" s="68"/>
      <c r="AI25" s="54"/>
      <c r="AJ25" s="69"/>
      <c r="AK25" s="61"/>
      <c r="AL25" s="62"/>
      <c r="AM25" s="56"/>
      <c r="AN25" s="56"/>
      <c r="AO25" s="64"/>
      <c r="AP25" s="64"/>
      <c r="AQ25" s="55"/>
      <c r="AR25" s="68"/>
      <c r="AS25" s="54"/>
      <c r="AT25" s="69"/>
      <c r="AU25" s="61"/>
      <c r="AV25" s="62"/>
      <c r="AW25" s="56"/>
      <c r="AX25" s="56"/>
      <c r="AY25" s="64"/>
      <c r="AZ25" s="64"/>
      <c r="BA25" s="55"/>
      <c r="BB25" s="72"/>
      <c r="BC25" s="68"/>
      <c r="BD25" s="69"/>
      <c r="BE25" s="66"/>
      <c r="BF25" s="67"/>
      <c r="BG25" s="56"/>
      <c r="BH25" s="56"/>
      <c r="BI25" s="64"/>
      <c r="BJ25" s="64"/>
      <c r="BK25" s="57"/>
      <c r="BL25" s="73"/>
      <c r="BM25" s="70"/>
      <c r="BN25" s="74"/>
      <c r="BO25" s="75"/>
      <c r="BP25" s="66"/>
      <c r="BQ25" s="74"/>
    </row>
    <row r="26" spans="1:69" s="44" customFormat="1" ht="22.35" customHeight="1" x14ac:dyDescent="0.2">
      <c r="A26" s="100"/>
      <c r="B26" s="100"/>
      <c r="C26" s="100"/>
      <c r="D26" s="54"/>
      <c r="E26" s="55"/>
      <c r="F26" s="56"/>
      <c r="G26" s="56"/>
      <c r="H26" s="57"/>
      <c r="I26" s="58"/>
      <c r="J26" s="58"/>
      <c r="K26" s="55"/>
      <c r="L26" s="59"/>
      <c r="M26" s="59"/>
      <c r="N26" s="59"/>
      <c r="O26" s="54"/>
      <c r="P26" s="60"/>
      <c r="Q26" s="66"/>
      <c r="R26" s="67"/>
      <c r="S26" s="56"/>
      <c r="T26" s="56"/>
      <c r="U26" s="63"/>
      <c r="V26" s="64"/>
      <c r="W26" s="55"/>
      <c r="X26" s="63"/>
      <c r="Y26" s="54"/>
      <c r="Z26" s="65"/>
      <c r="AA26" s="70"/>
      <c r="AB26" s="71"/>
      <c r="AC26" s="56"/>
      <c r="AD26" s="56"/>
      <c r="AE26" s="64"/>
      <c r="AF26" s="64"/>
      <c r="AG26" s="55"/>
      <c r="AH26" s="68"/>
      <c r="AI26" s="54"/>
      <c r="AJ26" s="69"/>
      <c r="AK26" s="76"/>
      <c r="AL26" s="59"/>
      <c r="AM26" s="56"/>
      <c r="AN26" s="56"/>
      <c r="AO26" s="64"/>
      <c r="AP26" s="64"/>
      <c r="AQ26" s="55"/>
      <c r="AR26" s="68"/>
      <c r="AS26" s="54"/>
      <c r="AT26" s="69"/>
      <c r="AU26" s="61"/>
      <c r="AV26" s="62"/>
      <c r="AW26" s="56"/>
      <c r="AX26" s="56"/>
      <c r="AY26" s="64"/>
      <c r="AZ26" s="64"/>
      <c r="BA26" s="55"/>
      <c r="BB26" s="72"/>
      <c r="BC26" s="68"/>
      <c r="BD26" s="69"/>
      <c r="BE26" s="66"/>
      <c r="BF26" s="67"/>
      <c r="BG26" s="56"/>
      <c r="BH26" s="56"/>
      <c r="BI26" s="64"/>
      <c r="BJ26" s="64"/>
      <c r="BK26" s="57"/>
      <c r="BL26" s="73"/>
      <c r="BM26" s="76"/>
      <c r="BN26" s="74"/>
      <c r="BO26" s="75"/>
      <c r="BP26" s="66"/>
      <c r="BQ26" s="74"/>
    </row>
    <row r="27" spans="1:69" s="44" customFormat="1" ht="22.35" customHeight="1" x14ac:dyDescent="0.2">
      <c r="A27" s="100"/>
      <c r="B27" s="100"/>
      <c r="C27" s="100"/>
      <c r="D27" s="54"/>
      <c r="E27" s="55"/>
      <c r="F27" s="56"/>
      <c r="G27" s="56"/>
      <c r="H27" s="57"/>
      <c r="I27" s="58"/>
      <c r="J27" s="58"/>
      <c r="K27" s="55"/>
      <c r="L27" s="59"/>
      <c r="M27" s="59"/>
      <c r="N27" s="59"/>
      <c r="O27" s="54"/>
      <c r="P27" s="60"/>
      <c r="Q27" s="66"/>
      <c r="R27" s="67"/>
      <c r="S27" s="56"/>
      <c r="T27" s="56"/>
      <c r="U27" s="63"/>
      <c r="V27" s="64"/>
      <c r="W27" s="55"/>
      <c r="X27" s="63"/>
      <c r="Y27" s="54"/>
      <c r="Z27" s="65"/>
      <c r="AA27" s="76"/>
      <c r="AB27" s="59"/>
      <c r="AC27" s="56"/>
      <c r="AD27" s="56"/>
      <c r="AE27" s="64"/>
      <c r="AF27" s="64"/>
      <c r="AG27" s="55"/>
      <c r="AH27" s="68"/>
      <c r="AI27" s="54"/>
      <c r="AJ27" s="69"/>
      <c r="AK27" s="76"/>
      <c r="AL27" s="59"/>
      <c r="AM27" s="56"/>
      <c r="AN27" s="56"/>
      <c r="AO27" s="64"/>
      <c r="AP27" s="64"/>
      <c r="AQ27" s="55"/>
      <c r="AR27" s="68"/>
      <c r="AS27" s="54"/>
      <c r="AT27" s="69"/>
      <c r="AU27" s="61"/>
      <c r="AV27" s="62"/>
      <c r="AW27" s="56"/>
      <c r="AX27" s="56"/>
      <c r="AY27" s="64"/>
      <c r="AZ27" s="64"/>
      <c r="BA27" s="55"/>
      <c r="BB27" s="72"/>
      <c r="BC27" s="68"/>
      <c r="BD27" s="69"/>
      <c r="BE27" s="70"/>
      <c r="BF27" s="71"/>
      <c r="BG27" s="56"/>
      <c r="BH27" s="56"/>
      <c r="BI27" s="64"/>
      <c r="BJ27" s="64"/>
      <c r="BK27" s="57"/>
      <c r="BL27" s="73"/>
      <c r="BM27" s="70"/>
      <c r="BN27" s="74"/>
      <c r="BO27" s="75"/>
      <c r="BP27" s="66"/>
      <c r="BQ27" s="74"/>
    </row>
    <row r="28" spans="1:69" s="44" customFormat="1" ht="22.35" customHeight="1" x14ac:dyDescent="0.2">
      <c r="A28" s="100"/>
      <c r="B28" s="100"/>
      <c r="C28" s="100"/>
      <c r="D28" s="54"/>
      <c r="E28" s="55"/>
      <c r="F28" s="56"/>
      <c r="G28" s="56"/>
      <c r="H28" s="57"/>
      <c r="I28" s="58"/>
      <c r="J28" s="58"/>
      <c r="K28" s="55"/>
      <c r="L28" s="59"/>
      <c r="M28" s="59"/>
      <c r="N28" s="59"/>
      <c r="O28" s="54"/>
      <c r="P28" s="60"/>
      <c r="Q28" s="66"/>
      <c r="R28" s="67"/>
      <c r="S28" s="56"/>
      <c r="T28" s="56"/>
      <c r="U28" s="63"/>
      <c r="V28" s="64"/>
      <c r="W28" s="55"/>
      <c r="X28" s="63"/>
      <c r="Y28" s="54"/>
      <c r="Z28" s="65"/>
      <c r="AA28" s="66"/>
      <c r="AB28" s="67"/>
      <c r="AC28" s="56"/>
      <c r="AD28" s="56"/>
      <c r="AE28" s="64"/>
      <c r="AF28" s="64"/>
      <c r="AG28" s="55"/>
      <c r="AH28" s="68"/>
      <c r="AI28" s="54"/>
      <c r="AJ28" s="69"/>
      <c r="AK28" s="61"/>
      <c r="AL28" s="62"/>
      <c r="AM28" s="56"/>
      <c r="AN28" s="56"/>
      <c r="AO28" s="64"/>
      <c r="AP28" s="64"/>
      <c r="AQ28" s="55"/>
      <c r="AR28" s="68"/>
      <c r="AS28" s="54"/>
      <c r="AT28" s="69"/>
      <c r="AU28" s="61"/>
      <c r="AV28" s="62"/>
      <c r="AW28" s="56"/>
      <c r="AX28" s="56"/>
      <c r="AY28" s="64"/>
      <c r="AZ28" s="64"/>
      <c r="BA28" s="55"/>
      <c r="BB28" s="72"/>
      <c r="BC28" s="68"/>
      <c r="BD28" s="69"/>
      <c r="BE28" s="66"/>
      <c r="BF28" s="67"/>
      <c r="BG28" s="56"/>
      <c r="BH28" s="56"/>
      <c r="BI28" s="64"/>
      <c r="BJ28" s="64"/>
      <c r="BK28" s="57"/>
      <c r="BL28" s="73"/>
      <c r="BM28" s="76"/>
      <c r="BN28" s="74"/>
      <c r="BO28" s="75"/>
      <c r="BP28" s="66"/>
      <c r="BQ28" s="74"/>
    </row>
    <row r="29" spans="1:69" s="44" customFormat="1" ht="22.35" customHeight="1" x14ac:dyDescent="0.2">
      <c r="A29" s="100"/>
      <c r="B29" s="100"/>
      <c r="C29" s="100"/>
      <c r="D29" s="54"/>
      <c r="E29" s="55"/>
      <c r="F29" s="56"/>
      <c r="G29" s="56"/>
      <c r="H29" s="57"/>
      <c r="I29" s="58"/>
      <c r="J29" s="58"/>
      <c r="K29" s="55"/>
      <c r="L29" s="59"/>
      <c r="M29" s="59"/>
      <c r="N29" s="59"/>
      <c r="O29" s="54"/>
      <c r="P29" s="60"/>
      <c r="Q29" s="66"/>
      <c r="R29" s="67"/>
      <c r="S29" s="56"/>
      <c r="T29" s="56"/>
      <c r="U29" s="63"/>
      <c r="V29" s="64"/>
      <c r="W29" s="55"/>
      <c r="X29" s="63"/>
      <c r="Y29" s="54"/>
      <c r="Z29" s="65"/>
      <c r="AA29" s="70"/>
      <c r="AB29" s="71"/>
      <c r="AC29" s="56"/>
      <c r="AD29" s="56"/>
      <c r="AE29" s="64"/>
      <c r="AF29" s="64"/>
      <c r="AG29" s="55"/>
      <c r="AH29" s="68"/>
      <c r="AI29" s="54"/>
      <c r="AJ29" s="69"/>
      <c r="AK29" s="61"/>
      <c r="AL29" s="62"/>
      <c r="AM29" s="56"/>
      <c r="AN29" s="56"/>
      <c r="AO29" s="64"/>
      <c r="AP29" s="64"/>
      <c r="AQ29" s="55"/>
      <c r="AR29" s="68"/>
      <c r="AS29" s="54"/>
      <c r="AT29" s="69"/>
      <c r="AU29" s="61"/>
      <c r="AV29" s="62"/>
      <c r="AW29" s="56"/>
      <c r="AX29" s="56"/>
      <c r="AY29" s="64"/>
      <c r="AZ29" s="64"/>
      <c r="BA29" s="55"/>
      <c r="BB29" s="72"/>
      <c r="BC29" s="68"/>
      <c r="BD29" s="69"/>
      <c r="BE29" s="70"/>
      <c r="BF29" s="71"/>
      <c r="BG29" s="56"/>
      <c r="BH29" s="56"/>
      <c r="BI29" s="64"/>
      <c r="BJ29" s="64"/>
      <c r="BK29" s="57"/>
      <c r="BL29" s="73"/>
      <c r="BM29" s="76"/>
      <c r="BN29" s="74"/>
      <c r="BO29" s="75"/>
      <c r="BP29" s="66"/>
      <c r="BQ29" s="74"/>
    </row>
    <row r="30" spans="1:69" s="44" customFormat="1" ht="22.35" customHeight="1" x14ac:dyDescent="0.2">
      <c r="A30" s="100"/>
      <c r="B30" s="100"/>
      <c r="C30" s="100"/>
      <c r="D30" s="54"/>
      <c r="E30" s="55"/>
      <c r="F30" s="56"/>
      <c r="G30" s="56"/>
      <c r="H30" s="57"/>
      <c r="I30" s="58"/>
      <c r="J30" s="58"/>
      <c r="K30" s="55"/>
      <c r="L30" s="59"/>
      <c r="M30" s="59"/>
      <c r="N30" s="59"/>
      <c r="O30" s="54"/>
      <c r="P30" s="60"/>
      <c r="Q30" s="66"/>
      <c r="R30" s="67"/>
      <c r="S30" s="56"/>
      <c r="T30" s="56"/>
      <c r="U30" s="63"/>
      <c r="V30" s="64"/>
      <c r="W30" s="55"/>
      <c r="X30" s="63"/>
      <c r="Y30" s="54"/>
      <c r="Z30" s="65"/>
      <c r="AA30" s="61"/>
      <c r="AB30" s="62"/>
      <c r="AC30" s="56"/>
      <c r="AD30" s="56"/>
      <c r="AE30" s="64"/>
      <c r="AF30" s="64"/>
      <c r="AG30" s="55"/>
      <c r="AH30" s="68"/>
      <c r="AI30" s="54"/>
      <c r="AJ30" s="69"/>
      <c r="AK30" s="76"/>
      <c r="AL30" s="59"/>
      <c r="AM30" s="56"/>
      <c r="AN30" s="56"/>
      <c r="AO30" s="64"/>
      <c r="AP30" s="64"/>
      <c r="AQ30" s="55"/>
      <c r="AR30" s="68"/>
      <c r="AS30" s="54"/>
      <c r="AT30" s="69"/>
      <c r="AU30" s="61"/>
      <c r="AV30" s="62"/>
      <c r="AW30" s="56"/>
      <c r="AX30" s="56"/>
      <c r="AY30" s="64"/>
      <c r="AZ30" s="64"/>
      <c r="BA30" s="55"/>
      <c r="BB30" s="72"/>
      <c r="BC30" s="68"/>
      <c r="BD30" s="69"/>
      <c r="BE30" s="70"/>
      <c r="BF30" s="71"/>
      <c r="BG30" s="56"/>
      <c r="BH30" s="56"/>
      <c r="BI30" s="64"/>
      <c r="BJ30" s="64"/>
      <c r="BK30" s="57"/>
      <c r="BL30" s="73"/>
      <c r="BM30" s="76"/>
      <c r="BN30" s="74"/>
      <c r="BO30" s="75"/>
      <c r="BP30" s="66"/>
      <c r="BQ30" s="74"/>
    </row>
    <row r="31" spans="1:69" s="44" customFormat="1" ht="22.35" customHeight="1" x14ac:dyDescent="0.2">
      <c r="A31" s="100"/>
      <c r="B31" s="100"/>
      <c r="C31" s="100"/>
      <c r="D31" s="54"/>
      <c r="E31" s="55"/>
      <c r="F31" s="56"/>
      <c r="G31" s="56"/>
      <c r="H31" s="57"/>
      <c r="I31" s="58"/>
      <c r="J31" s="58"/>
      <c r="K31" s="55"/>
      <c r="L31" s="59"/>
      <c r="M31" s="59"/>
      <c r="N31" s="59"/>
      <c r="O31" s="54"/>
      <c r="P31" s="60"/>
      <c r="Q31" s="66"/>
      <c r="R31" s="67"/>
      <c r="S31" s="56"/>
      <c r="T31" s="56"/>
      <c r="U31" s="63"/>
      <c r="V31" s="64"/>
      <c r="W31" s="55"/>
      <c r="X31" s="63"/>
      <c r="Y31" s="54"/>
      <c r="Z31" s="65"/>
      <c r="AA31" s="66"/>
      <c r="AB31" s="67"/>
      <c r="AC31" s="56"/>
      <c r="AD31" s="56"/>
      <c r="AE31" s="64"/>
      <c r="AF31" s="64"/>
      <c r="AG31" s="55"/>
      <c r="AH31" s="68"/>
      <c r="AI31" s="54"/>
      <c r="AJ31" s="69"/>
      <c r="AK31" s="70"/>
      <c r="AL31" s="71"/>
      <c r="AM31" s="56"/>
      <c r="AN31" s="56"/>
      <c r="AO31" s="64"/>
      <c r="AP31" s="64"/>
      <c r="AQ31" s="55"/>
      <c r="AR31" s="68"/>
      <c r="AS31" s="54"/>
      <c r="AT31" s="69"/>
      <c r="AU31" s="61"/>
      <c r="AV31" s="62"/>
      <c r="AW31" s="56"/>
      <c r="AX31" s="56"/>
      <c r="AY31" s="64"/>
      <c r="AZ31" s="64"/>
      <c r="BA31" s="55"/>
      <c r="BB31" s="72"/>
      <c r="BC31" s="68"/>
      <c r="BD31" s="69"/>
      <c r="BE31" s="70"/>
      <c r="BF31" s="71"/>
      <c r="BG31" s="56"/>
      <c r="BH31" s="56"/>
      <c r="BI31" s="64"/>
      <c r="BJ31" s="64"/>
      <c r="BK31" s="57"/>
      <c r="BL31" s="73"/>
      <c r="BM31" s="61"/>
      <c r="BN31" s="74"/>
      <c r="BO31" s="75"/>
      <c r="BP31" s="66"/>
      <c r="BQ31" s="74"/>
    </row>
    <row r="32" spans="1:69" s="44" customFormat="1" ht="22.35" customHeight="1" x14ac:dyDescent="0.2">
      <c r="A32" s="100"/>
      <c r="B32" s="100"/>
      <c r="C32" s="100"/>
      <c r="D32" s="54"/>
      <c r="E32" s="55"/>
      <c r="F32" s="56"/>
      <c r="G32" s="56"/>
      <c r="H32" s="57"/>
      <c r="I32" s="58"/>
      <c r="J32" s="58"/>
      <c r="K32" s="55"/>
      <c r="L32" s="59"/>
      <c r="M32" s="59"/>
      <c r="N32" s="59"/>
      <c r="O32" s="54"/>
      <c r="P32" s="60"/>
      <c r="Q32" s="66"/>
      <c r="R32" s="67"/>
      <c r="S32" s="56"/>
      <c r="T32" s="56"/>
      <c r="U32" s="63"/>
      <c r="V32" s="64"/>
      <c r="W32" s="55"/>
      <c r="X32" s="63"/>
      <c r="Y32" s="54"/>
      <c r="Z32" s="65"/>
      <c r="AA32" s="76"/>
      <c r="AB32" s="59"/>
      <c r="AC32" s="56"/>
      <c r="AD32" s="56"/>
      <c r="AE32" s="64"/>
      <c r="AF32" s="64"/>
      <c r="AG32" s="55"/>
      <c r="AH32" s="68"/>
      <c r="AI32" s="54"/>
      <c r="AJ32" s="69"/>
      <c r="AK32" s="61"/>
      <c r="AL32" s="62"/>
      <c r="AM32" s="56"/>
      <c r="AN32" s="56"/>
      <c r="AO32" s="64"/>
      <c r="AP32" s="64"/>
      <c r="AQ32" s="55"/>
      <c r="AR32" s="68"/>
      <c r="AS32" s="54"/>
      <c r="AT32" s="69"/>
      <c r="AU32" s="61"/>
      <c r="AV32" s="62"/>
      <c r="AW32" s="56"/>
      <c r="AX32" s="56"/>
      <c r="AY32" s="64"/>
      <c r="AZ32" s="64"/>
      <c r="BA32" s="55"/>
      <c r="BB32" s="72"/>
      <c r="BC32" s="68"/>
      <c r="BD32" s="69"/>
      <c r="BE32" s="76"/>
      <c r="BF32" s="59"/>
      <c r="BG32" s="56"/>
      <c r="BH32" s="56"/>
      <c r="BI32" s="64"/>
      <c r="BJ32" s="64"/>
      <c r="BK32" s="57"/>
      <c r="BL32" s="73"/>
      <c r="BM32" s="61"/>
      <c r="BN32" s="74"/>
      <c r="BO32" s="75"/>
      <c r="BP32" s="66"/>
      <c r="BQ32" s="74"/>
    </row>
    <row r="33" spans="1:69" s="44" customFormat="1" ht="22.35" customHeight="1" x14ac:dyDescent="0.2">
      <c r="A33" s="100"/>
      <c r="B33" s="100"/>
      <c r="C33" s="100"/>
      <c r="D33" s="54"/>
      <c r="E33" s="55"/>
      <c r="F33" s="56"/>
      <c r="G33" s="56"/>
      <c r="H33" s="57"/>
      <c r="I33" s="58"/>
      <c r="J33" s="58"/>
      <c r="K33" s="55"/>
      <c r="L33" s="59"/>
      <c r="M33" s="59"/>
      <c r="N33" s="59"/>
      <c r="O33" s="54"/>
      <c r="P33" s="60"/>
      <c r="Q33" s="66"/>
      <c r="R33" s="67"/>
      <c r="S33" s="56"/>
      <c r="T33" s="56"/>
      <c r="U33" s="63"/>
      <c r="V33" s="64"/>
      <c r="W33" s="55"/>
      <c r="X33" s="63"/>
      <c r="Y33" s="54"/>
      <c r="Z33" s="65"/>
      <c r="AA33" s="76"/>
      <c r="AB33" s="59"/>
      <c r="AC33" s="56"/>
      <c r="AD33" s="56"/>
      <c r="AE33" s="64"/>
      <c r="AF33" s="64"/>
      <c r="AG33" s="55"/>
      <c r="AH33" s="68"/>
      <c r="AI33" s="54"/>
      <c r="AJ33" s="69"/>
      <c r="AK33" s="61"/>
      <c r="AL33" s="62"/>
      <c r="AM33" s="56"/>
      <c r="AN33" s="56"/>
      <c r="AO33" s="64"/>
      <c r="AP33" s="64"/>
      <c r="AQ33" s="55"/>
      <c r="AR33" s="68"/>
      <c r="AS33" s="54"/>
      <c r="AT33" s="69"/>
      <c r="AU33" s="61"/>
      <c r="AV33" s="62"/>
      <c r="AW33" s="56"/>
      <c r="AX33" s="56"/>
      <c r="AY33" s="64"/>
      <c r="AZ33" s="64"/>
      <c r="BA33" s="55"/>
      <c r="BB33" s="72"/>
      <c r="BC33" s="68"/>
      <c r="BD33" s="69"/>
      <c r="BE33" s="66"/>
      <c r="BF33" s="67"/>
      <c r="BG33" s="56"/>
      <c r="BH33" s="56"/>
      <c r="BI33" s="64"/>
      <c r="BJ33" s="64"/>
      <c r="BK33" s="57"/>
      <c r="BL33" s="73"/>
      <c r="BM33" s="61"/>
      <c r="BN33" s="74"/>
      <c r="BO33" s="75"/>
      <c r="BP33" s="66"/>
      <c r="BQ33" s="74"/>
    </row>
    <row r="34" spans="1:69" s="44" customFormat="1" ht="22.35" customHeight="1" x14ac:dyDescent="0.2">
      <c r="A34" s="100"/>
      <c r="B34" s="100"/>
      <c r="C34" s="100"/>
      <c r="D34" s="54"/>
      <c r="E34" s="55"/>
      <c r="F34" s="56"/>
      <c r="G34" s="56"/>
      <c r="H34" s="57"/>
      <c r="I34" s="58"/>
      <c r="J34" s="58"/>
      <c r="K34" s="55"/>
      <c r="L34" s="59"/>
      <c r="M34" s="59"/>
      <c r="N34" s="59"/>
      <c r="O34" s="54"/>
      <c r="P34" s="60"/>
      <c r="Q34" s="66"/>
      <c r="R34" s="67"/>
      <c r="S34" s="56"/>
      <c r="T34" s="56"/>
      <c r="U34" s="63"/>
      <c r="V34" s="64"/>
      <c r="W34" s="55"/>
      <c r="X34" s="63"/>
      <c r="Y34" s="54"/>
      <c r="Z34" s="65"/>
      <c r="AA34" s="61"/>
      <c r="AB34" s="62"/>
      <c r="AC34" s="56"/>
      <c r="AD34" s="56"/>
      <c r="AE34" s="64"/>
      <c r="AF34" s="64"/>
      <c r="AG34" s="55"/>
      <c r="AH34" s="68"/>
      <c r="AI34" s="54"/>
      <c r="AJ34" s="69"/>
      <c r="AK34" s="61"/>
      <c r="AL34" s="62"/>
      <c r="AM34" s="56"/>
      <c r="AN34" s="56"/>
      <c r="AO34" s="64"/>
      <c r="AP34" s="64"/>
      <c r="AQ34" s="55"/>
      <c r="AR34" s="68"/>
      <c r="AS34" s="54"/>
      <c r="AT34" s="69"/>
      <c r="AU34" s="61"/>
      <c r="AV34" s="62"/>
      <c r="AW34" s="56"/>
      <c r="AX34" s="56"/>
      <c r="AY34" s="64"/>
      <c r="AZ34" s="64"/>
      <c r="BA34" s="55"/>
      <c r="BB34" s="72"/>
      <c r="BC34" s="68"/>
      <c r="BD34" s="69"/>
      <c r="BE34" s="61"/>
      <c r="BF34" s="62"/>
      <c r="BG34" s="56"/>
      <c r="BH34" s="56"/>
      <c r="BI34" s="64"/>
      <c r="BJ34" s="64"/>
      <c r="BK34" s="57"/>
      <c r="BL34" s="73"/>
      <c r="BM34" s="70"/>
      <c r="BN34" s="74"/>
      <c r="BO34" s="75"/>
      <c r="BP34" s="66"/>
      <c r="BQ34" s="74"/>
    </row>
    <row r="35" spans="1:69" s="44" customFormat="1" ht="22.35" customHeight="1" x14ac:dyDescent="0.2">
      <c r="A35" s="100"/>
      <c r="B35" s="100"/>
      <c r="C35" s="100"/>
      <c r="D35" s="54"/>
      <c r="E35" s="55"/>
      <c r="F35" s="56"/>
      <c r="G35" s="56"/>
      <c r="H35" s="57"/>
      <c r="I35" s="58"/>
      <c r="J35" s="58"/>
      <c r="K35" s="55"/>
      <c r="L35" s="59"/>
      <c r="M35" s="59"/>
      <c r="N35" s="59"/>
      <c r="O35" s="54"/>
      <c r="P35" s="60"/>
      <c r="Q35" s="66"/>
      <c r="R35" s="67"/>
      <c r="S35" s="56"/>
      <c r="T35" s="56"/>
      <c r="U35" s="63"/>
      <c r="V35" s="64"/>
      <c r="W35" s="55"/>
      <c r="X35" s="63"/>
      <c r="Y35" s="54"/>
      <c r="Z35" s="65"/>
      <c r="AA35" s="66"/>
      <c r="AB35" s="67"/>
      <c r="AC35" s="56"/>
      <c r="AD35" s="56"/>
      <c r="AE35" s="64"/>
      <c r="AF35" s="64"/>
      <c r="AG35" s="55"/>
      <c r="AH35" s="68"/>
      <c r="AI35" s="54"/>
      <c r="AJ35" s="69"/>
      <c r="AK35" s="70"/>
      <c r="AL35" s="71"/>
      <c r="AM35" s="56"/>
      <c r="AN35" s="56"/>
      <c r="AO35" s="64"/>
      <c r="AP35" s="64"/>
      <c r="AQ35" s="55"/>
      <c r="AR35" s="68"/>
      <c r="AS35" s="54"/>
      <c r="AT35" s="69"/>
      <c r="AU35" s="61"/>
      <c r="AV35" s="62"/>
      <c r="AW35" s="56"/>
      <c r="AX35" s="56"/>
      <c r="AY35" s="64"/>
      <c r="AZ35" s="64"/>
      <c r="BA35" s="55"/>
      <c r="BB35" s="72"/>
      <c r="BC35" s="68"/>
      <c r="BD35" s="69"/>
      <c r="BE35" s="76"/>
      <c r="BF35" s="59"/>
      <c r="BG35" s="56"/>
      <c r="BH35" s="56"/>
      <c r="BI35" s="64"/>
      <c r="BJ35" s="64"/>
      <c r="BK35" s="57"/>
      <c r="BL35" s="73"/>
      <c r="BM35" s="61"/>
      <c r="BN35" s="74"/>
      <c r="BO35" s="75"/>
      <c r="BP35" s="66"/>
      <c r="BQ35" s="74"/>
    </row>
    <row r="36" spans="1:69" s="44" customFormat="1" ht="22.35" customHeight="1" x14ac:dyDescent="0.2">
      <c r="A36" s="100"/>
      <c r="B36" s="100"/>
      <c r="C36" s="100"/>
      <c r="D36" s="54"/>
      <c r="E36" s="55"/>
      <c r="F36" s="56"/>
      <c r="G36" s="56"/>
      <c r="H36" s="57"/>
      <c r="I36" s="58"/>
      <c r="J36" s="58"/>
      <c r="K36" s="55"/>
      <c r="L36" s="59"/>
      <c r="M36" s="59"/>
      <c r="N36" s="59"/>
      <c r="O36" s="54"/>
      <c r="P36" s="60"/>
      <c r="Q36" s="66"/>
      <c r="R36" s="67"/>
      <c r="S36" s="56"/>
      <c r="T36" s="56"/>
      <c r="U36" s="63"/>
      <c r="V36" s="64"/>
      <c r="W36" s="55"/>
      <c r="X36" s="63"/>
      <c r="Y36" s="54"/>
      <c r="Z36" s="65"/>
      <c r="AA36" s="76"/>
      <c r="AB36" s="59"/>
      <c r="AC36" s="56"/>
      <c r="AD36" s="56"/>
      <c r="AE36" s="64"/>
      <c r="AF36" s="64"/>
      <c r="AG36" s="55"/>
      <c r="AH36" s="68"/>
      <c r="AI36" s="54"/>
      <c r="AJ36" s="69"/>
      <c r="AK36" s="70"/>
      <c r="AL36" s="71"/>
      <c r="AM36" s="56"/>
      <c r="AN36" s="56"/>
      <c r="AO36" s="64"/>
      <c r="AP36" s="64"/>
      <c r="AQ36" s="55"/>
      <c r="AR36" s="68"/>
      <c r="AS36" s="54"/>
      <c r="AT36" s="69"/>
      <c r="AU36" s="61"/>
      <c r="AV36" s="62"/>
      <c r="AW36" s="56"/>
      <c r="AX36" s="56"/>
      <c r="AY36" s="64"/>
      <c r="AZ36" s="64"/>
      <c r="BA36" s="55"/>
      <c r="BB36" s="72"/>
      <c r="BC36" s="68"/>
      <c r="BD36" s="69"/>
      <c r="BE36" s="66"/>
      <c r="BF36" s="67"/>
      <c r="BG36" s="56"/>
      <c r="BH36" s="56"/>
      <c r="BI36" s="64"/>
      <c r="BJ36" s="64"/>
      <c r="BK36" s="57"/>
      <c r="BL36" s="73"/>
      <c r="BM36" s="76"/>
      <c r="BN36" s="74"/>
      <c r="BO36" s="75"/>
      <c r="BP36" s="66"/>
      <c r="BQ36" s="74"/>
    </row>
    <row r="37" spans="1:69" s="44" customFormat="1" ht="22.35" customHeight="1" x14ac:dyDescent="0.2">
      <c r="A37" s="100"/>
      <c r="B37" s="100"/>
      <c r="C37" s="100"/>
      <c r="D37" s="54"/>
      <c r="E37" s="55"/>
      <c r="F37" s="56"/>
      <c r="G37" s="56"/>
      <c r="H37" s="57"/>
      <c r="I37" s="58"/>
      <c r="J37" s="58"/>
      <c r="K37" s="55"/>
      <c r="L37" s="59"/>
      <c r="M37" s="59"/>
      <c r="N37" s="59"/>
      <c r="O37" s="54"/>
      <c r="P37" s="60"/>
      <c r="Q37" s="66"/>
      <c r="R37" s="67"/>
      <c r="S37" s="56"/>
      <c r="T37" s="56"/>
      <c r="U37" s="63"/>
      <c r="V37" s="64"/>
      <c r="W37" s="55"/>
      <c r="X37" s="63"/>
      <c r="Y37" s="54"/>
      <c r="Z37" s="65"/>
      <c r="AA37" s="70"/>
      <c r="AB37" s="71"/>
      <c r="AC37" s="56"/>
      <c r="AD37" s="56"/>
      <c r="AE37" s="64"/>
      <c r="AF37" s="64"/>
      <c r="AG37" s="55"/>
      <c r="AH37" s="68"/>
      <c r="AI37" s="54"/>
      <c r="AJ37" s="69"/>
      <c r="AK37" s="76"/>
      <c r="AL37" s="59"/>
      <c r="AM37" s="56"/>
      <c r="AN37" s="56"/>
      <c r="AO37" s="64"/>
      <c r="AP37" s="64"/>
      <c r="AQ37" s="55"/>
      <c r="AR37" s="68"/>
      <c r="AS37" s="54"/>
      <c r="AT37" s="69"/>
      <c r="AU37" s="61"/>
      <c r="AV37" s="62"/>
      <c r="AW37" s="56"/>
      <c r="AX37" s="56"/>
      <c r="AY37" s="64"/>
      <c r="AZ37" s="64"/>
      <c r="BA37" s="55"/>
      <c r="BB37" s="72"/>
      <c r="BC37" s="68"/>
      <c r="BD37" s="69"/>
      <c r="BE37" s="76"/>
      <c r="BF37" s="59"/>
      <c r="BG37" s="56"/>
      <c r="BH37" s="56"/>
      <c r="BI37" s="64"/>
      <c r="BJ37" s="64"/>
      <c r="BK37" s="57"/>
      <c r="BL37" s="73"/>
      <c r="BM37" s="61"/>
      <c r="BN37" s="74"/>
      <c r="BO37" s="75"/>
      <c r="BP37" s="76"/>
      <c r="BQ37" s="74"/>
    </row>
    <row r="38" spans="1:69" s="44" customFormat="1" ht="22.35" customHeight="1" x14ac:dyDescent="0.2">
      <c r="A38" s="100"/>
      <c r="B38" s="100"/>
      <c r="C38" s="100"/>
      <c r="D38" s="54"/>
      <c r="E38" s="55"/>
      <c r="F38" s="56"/>
      <c r="G38" s="56"/>
      <c r="H38" s="57"/>
      <c r="I38" s="58"/>
      <c r="J38" s="58"/>
      <c r="K38" s="55"/>
      <c r="L38" s="59"/>
      <c r="M38" s="59"/>
      <c r="N38" s="59"/>
      <c r="O38" s="54"/>
      <c r="P38" s="60"/>
      <c r="Q38" s="66"/>
      <c r="R38" s="67"/>
      <c r="S38" s="56"/>
      <c r="T38" s="56"/>
      <c r="U38" s="63"/>
      <c r="V38" s="64"/>
      <c r="W38" s="55"/>
      <c r="X38" s="63"/>
      <c r="Y38" s="54"/>
      <c r="Z38" s="65"/>
      <c r="AA38" s="70"/>
      <c r="AB38" s="71"/>
      <c r="AC38" s="56"/>
      <c r="AD38" s="56"/>
      <c r="AE38" s="64"/>
      <c r="AF38" s="64"/>
      <c r="AG38" s="55"/>
      <c r="AH38" s="68"/>
      <c r="AI38" s="54"/>
      <c r="AJ38" s="69"/>
      <c r="AK38" s="76"/>
      <c r="AL38" s="59"/>
      <c r="AM38" s="56"/>
      <c r="AN38" s="56"/>
      <c r="AO38" s="64"/>
      <c r="AP38" s="64"/>
      <c r="AQ38" s="55"/>
      <c r="AR38" s="68"/>
      <c r="AS38" s="54"/>
      <c r="AT38" s="69"/>
      <c r="AU38" s="61"/>
      <c r="AV38" s="62"/>
      <c r="AW38" s="56"/>
      <c r="AX38" s="56"/>
      <c r="AY38" s="64"/>
      <c r="AZ38" s="64"/>
      <c r="BA38" s="55"/>
      <c r="BB38" s="72"/>
      <c r="BC38" s="68"/>
      <c r="BD38" s="69"/>
      <c r="BE38" s="76"/>
      <c r="BF38" s="59"/>
      <c r="BG38" s="56"/>
      <c r="BH38" s="56"/>
      <c r="BI38" s="64"/>
      <c r="BJ38" s="64"/>
      <c r="BK38" s="57"/>
      <c r="BL38" s="73"/>
      <c r="BM38" s="61"/>
      <c r="BN38" s="74"/>
      <c r="BO38" s="75"/>
      <c r="BP38" s="76"/>
      <c r="BQ38" s="74"/>
    </row>
    <row r="39" spans="1:69" s="44" customFormat="1" ht="22.35" customHeight="1" x14ac:dyDescent="0.2">
      <c r="A39" s="100"/>
      <c r="B39" s="100"/>
      <c r="C39" s="100"/>
      <c r="D39" s="54"/>
      <c r="E39" s="55"/>
      <c r="F39" s="56"/>
      <c r="G39" s="56"/>
      <c r="H39" s="57"/>
      <c r="I39" s="58"/>
      <c r="J39" s="58"/>
      <c r="K39" s="55"/>
      <c r="L39" s="59"/>
      <c r="M39" s="59"/>
      <c r="N39" s="59"/>
      <c r="O39" s="54"/>
      <c r="P39" s="60"/>
      <c r="Q39" s="66"/>
      <c r="R39" s="67"/>
      <c r="S39" s="56"/>
      <c r="T39" s="56"/>
      <c r="U39" s="63"/>
      <c r="V39" s="64"/>
      <c r="W39" s="55"/>
      <c r="X39" s="63"/>
      <c r="Y39" s="54"/>
      <c r="Z39" s="65"/>
      <c r="AA39" s="61"/>
      <c r="AB39" s="62"/>
      <c r="AC39" s="56"/>
      <c r="AD39" s="56"/>
      <c r="AE39" s="64"/>
      <c r="AF39" s="64"/>
      <c r="AG39" s="55"/>
      <c r="AH39" s="68"/>
      <c r="AI39" s="54"/>
      <c r="AJ39" s="69"/>
      <c r="AK39" s="76"/>
      <c r="AL39" s="59"/>
      <c r="AM39" s="56"/>
      <c r="AN39" s="56"/>
      <c r="AO39" s="64"/>
      <c r="AP39" s="64"/>
      <c r="AQ39" s="55"/>
      <c r="AR39" s="68"/>
      <c r="AS39" s="54"/>
      <c r="AT39" s="69"/>
      <c r="AU39" s="61"/>
      <c r="AV39" s="62"/>
      <c r="AW39" s="56"/>
      <c r="AX39" s="56"/>
      <c r="AY39" s="64"/>
      <c r="AZ39" s="64"/>
      <c r="BA39" s="55"/>
      <c r="BB39" s="72"/>
      <c r="BC39" s="68"/>
      <c r="BD39" s="69"/>
      <c r="BE39" s="70"/>
      <c r="BF39" s="71"/>
      <c r="BG39" s="56"/>
      <c r="BH39" s="56"/>
      <c r="BI39" s="64"/>
      <c r="BJ39" s="64"/>
      <c r="BK39" s="57"/>
      <c r="BL39" s="73"/>
      <c r="BM39" s="61"/>
      <c r="BN39" s="74"/>
      <c r="BO39" s="75"/>
      <c r="BP39" s="66"/>
      <c r="BQ39" s="74"/>
    </row>
    <row r="40" spans="1:69" s="44" customFormat="1" ht="22.35" customHeight="1" x14ac:dyDescent="0.2">
      <c r="A40" s="100"/>
      <c r="B40" s="100"/>
      <c r="C40" s="100"/>
      <c r="D40" s="54"/>
      <c r="E40" s="55"/>
      <c r="F40" s="56"/>
      <c r="G40" s="56"/>
      <c r="H40" s="57"/>
      <c r="I40" s="58"/>
      <c r="J40" s="58"/>
      <c r="K40" s="55"/>
      <c r="L40" s="59"/>
      <c r="M40" s="59"/>
      <c r="N40" s="59"/>
      <c r="O40" s="54"/>
      <c r="P40" s="60"/>
      <c r="Q40" s="66"/>
      <c r="R40" s="67"/>
      <c r="S40" s="56"/>
      <c r="T40" s="56"/>
      <c r="U40" s="63"/>
      <c r="V40" s="64"/>
      <c r="W40" s="55"/>
      <c r="X40" s="63"/>
      <c r="Y40" s="54"/>
      <c r="Z40" s="65"/>
      <c r="AA40" s="66"/>
      <c r="AB40" s="67"/>
      <c r="AC40" s="56"/>
      <c r="AD40" s="56"/>
      <c r="AE40" s="64"/>
      <c r="AF40" s="64"/>
      <c r="AG40" s="55"/>
      <c r="AH40" s="68"/>
      <c r="AI40" s="54"/>
      <c r="AJ40" s="69"/>
      <c r="AK40" s="61"/>
      <c r="AL40" s="62"/>
      <c r="AM40" s="56"/>
      <c r="AN40" s="56"/>
      <c r="AO40" s="64"/>
      <c r="AP40" s="64"/>
      <c r="AQ40" s="55"/>
      <c r="AR40" s="68"/>
      <c r="AS40" s="54"/>
      <c r="AT40" s="69"/>
      <c r="AU40" s="61"/>
      <c r="AV40" s="62"/>
      <c r="AW40" s="56"/>
      <c r="AX40" s="56"/>
      <c r="AY40" s="64"/>
      <c r="AZ40" s="64"/>
      <c r="BA40" s="55"/>
      <c r="BB40" s="72"/>
      <c r="BC40" s="68"/>
      <c r="BD40" s="69"/>
      <c r="BE40" s="70"/>
      <c r="BF40" s="71"/>
      <c r="BG40" s="56"/>
      <c r="BH40" s="56"/>
      <c r="BI40" s="64"/>
      <c r="BJ40" s="64"/>
      <c r="BK40" s="57"/>
      <c r="BL40" s="73"/>
      <c r="BM40" s="76"/>
      <c r="BN40" s="74"/>
      <c r="BO40" s="75"/>
      <c r="BP40" s="66"/>
      <c r="BQ40" s="74"/>
    </row>
    <row r="41" spans="1:69" s="44" customFormat="1" ht="22.35" customHeight="1" x14ac:dyDescent="0.2">
      <c r="A41" s="100"/>
      <c r="B41" s="100"/>
      <c r="C41" s="100"/>
      <c r="D41" s="54"/>
      <c r="E41" s="55"/>
      <c r="F41" s="56"/>
      <c r="G41" s="56"/>
      <c r="H41" s="57"/>
      <c r="I41" s="58"/>
      <c r="J41" s="58"/>
      <c r="K41" s="55"/>
      <c r="L41" s="59"/>
      <c r="M41" s="59"/>
      <c r="N41" s="59"/>
      <c r="O41" s="54"/>
      <c r="P41" s="60"/>
      <c r="Q41" s="66"/>
      <c r="R41" s="67"/>
      <c r="S41" s="56"/>
      <c r="T41" s="56"/>
      <c r="U41" s="63"/>
      <c r="V41" s="64"/>
      <c r="W41" s="55"/>
      <c r="X41" s="63"/>
      <c r="Y41" s="54"/>
      <c r="Z41" s="65"/>
      <c r="AA41" s="66"/>
      <c r="AB41" s="67"/>
      <c r="AC41" s="56"/>
      <c r="AD41" s="56"/>
      <c r="AE41" s="64"/>
      <c r="AF41" s="64"/>
      <c r="AG41" s="55"/>
      <c r="AH41" s="68"/>
      <c r="AI41" s="54"/>
      <c r="AJ41" s="69"/>
      <c r="AK41" s="61"/>
      <c r="AL41" s="62"/>
      <c r="AM41" s="56"/>
      <c r="AN41" s="56"/>
      <c r="AO41" s="64"/>
      <c r="AP41" s="64"/>
      <c r="AQ41" s="55"/>
      <c r="AR41" s="68"/>
      <c r="AS41" s="54"/>
      <c r="AT41" s="69"/>
      <c r="AU41" s="61"/>
      <c r="AV41" s="62"/>
      <c r="AW41" s="56"/>
      <c r="AX41" s="56"/>
      <c r="AY41" s="64"/>
      <c r="AZ41" s="64"/>
      <c r="BA41" s="55"/>
      <c r="BB41" s="72"/>
      <c r="BC41" s="68"/>
      <c r="BD41" s="69"/>
      <c r="BE41" s="70"/>
      <c r="BF41" s="71"/>
      <c r="BG41" s="56"/>
      <c r="BH41" s="56"/>
      <c r="BI41" s="64"/>
      <c r="BJ41" s="64"/>
      <c r="BK41" s="57"/>
      <c r="BL41" s="73"/>
      <c r="BM41" s="76"/>
      <c r="BN41" s="74"/>
      <c r="BO41" s="75"/>
      <c r="BP41" s="70"/>
      <c r="BQ41" s="74"/>
    </row>
    <row r="42" spans="1:69" s="44" customFormat="1" ht="22.35" customHeight="1" x14ac:dyDescent="0.2">
      <c r="A42" s="100"/>
      <c r="B42" s="100"/>
      <c r="C42" s="100"/>
      <c r="D42" s="54"/>
      <c r="E42" s="55"/>
      <c r="F42" s="56"/>
      <c r="G42" s="56"/>
      <c r="H42" s="57"/>
      <c r="I42" s="58"/>
      <c r="J42" s="58"/>
      <c r="K42" s="55"/>
      <c r="L42" s="59"/>
      <c r="M42" s="59"/>
      <c r="N42" s="59"/>
      <c r="O42" s="54"/>
      <c r="P42" s="60"/>
      <c r="Q42" s="66"/>
      <c r="R42" s="67"/>
      <c r="S42" s="56"/>
      <c r="T42" s="56"/>
      <c r="U42" s="63"/>
      <c r="V42" s="64"/>
      <c r="W42" s="55"/>
      <c r="X42" s="63"/>
      <c r="Y42" s="54"/>
      <c r="Z42" s="65"/>
      <c r="AA42" s="76"/>
      <c r="AB42" s="59"/>
      <c r="AC42" s="56"/>
      <c r="AD42" s="56"/>
      <c r="AE42" s="64"/>
      <c r="AF42" s="64"/>
      <c r="AG42" s="55"/>
      <c r="AH42" s="68"/>
      <c r="AI42" s="54"/>
      <c r="AJ42" s="69"/>
      <c r="AK42" s="61"/>
      <c r="AL42" s="62"/>
      <c r="AM42" s="56"/>
      <c r="AN42" s="56"/>
      <c r="AO42" s="64"/>
      <c r="AP42" s="64"/>
      <c r="AQ42" s="55"/>
      <c r="AR42" s="68"/>
      <c r="AS42" s="54"/>
      <c r="AT42" s="69"/>
      <c r="AU42" s="61"/>
      <c r="AV42" s="62"/>
      <c r="AW42" s="56"/>
      <c r="AX42" s="56"/>
      <c r="AY42" s="64"/>
      <c r="AZ42" s="64"/>
      <c r="BA42" s="55"/>
      <c r="BB42" s="72"/>
      <c r="BC42" s="68"/>
      <c r="BD42" s="69"/>
      <c r="BE42" s="76"/>
      <c r="BF42" s="59"/>
      <c r="BG42" s="56"/>
      <c r="BH42" s="56"/>
      <c r="BI42" s="64"/>
      <c r="BJ42" s="64"/>
      <c r="BK42" s="57"/>
      <c r="BL42" s="73"/>
      <c r="BM42" s="76"/>
      <c r="BN42" s="74"/>
      <c r="BO42" s="75"/>
      <c r="BP42" s="66"/>
      <c r="BQ42" s="74"/>
    </row>
    <row r="43" spans="1:69" s="44" customFormat="1" ht="22.35" customHeight="1" x14ac:dyDescent="0.2">
      <c r="A43" s="100"/>
      <c r="B43" s="100"/>
      <c r="C43" s="100"/>
      <c r="D43" s="54"/>
      <c r="E43" s="55"/>
      <c r="F43" s="56"/>
      <c r="G43" s="56"/>
      <c r="H43" s="57"/>
      <c r="I43" s="58"/>
      <c r="J43" s="58"/>
      <c r="K43" s="55"/>
      <c r="L43" s="59"/>
      <c r="M43" s="59"/>
      <c r="N43" s="59"/>
      <c r="O43" s="54"/>
      <c r="P43" s="60"/>
      <c r="Q43" s="66"/>
      <c r="R43" s="67"/>
      <c r="S43" s="56"/>
      <c r="T43" s="56"/>
      <c r="U43" s="63"/>
      <c r="V43" s="64"/>
      <c r="W43" s="55"/>
      <c r="X43" s="63"/>
      <c r="Y43" s="54"/>
      <c r="Z43" s="65"/>
      <c r="AA43" s="76"/>
      <c r="AB43" s="59"/>
      <c r="AC43" s="56"/>
      <c r="AD43" s="56"/>
      <c r="AE43" s="64"/>
      <c r="AF43" s="64"/>
      <c r="AG43" s="55"/>
      <c r="AH43" s="68"/>
      <c r="AI43" s="54"/>
      <c r="AJ43" s="69"/>
      <c r="AK43" s="76"/>
      <c r="AL43" s="59"/>
      <c r="AM43" s="56"/>
      <c r="AN43" s="56"/>
      <c r="AO43" s="64"/>
      <c r="AP43" s="64"/>
      <c r="AQ43" s="55"/>
      <c r="AR43" s="68"/>
      <c r="AS43" s="54"/>
      <c r="AT43" s="69"/>
      <c r="AU43" s="61"/>
      <c r="AV43" s="62"/>
      <c r="AW43" s="56"/>
      <c r="AX43" s="56"/>
      <c r="AY43" s="64"/>
      <c r="AZ43" s="64"/>
      <c r="BA43" s="55"/>
      <c r="BB43" s="72"/>
      <c r="BC43" s="68"/>
      <c r="BD43" s="69"/>
      <c r="BE43" s="76"/>
      <c r="BF43" s="59"/>
      <c r="BG43" s="56"/>
      <c r="BH43" s="56"/>
      <c r="BI43" s="64"/>
      <c r="BJ43" s="64"/>
      <c r="BK43" s="57"/>
      <c r="BL43" s="73"/>
      <c r="BM43" s="61"/>
      <c r="BN43" s="74"/>
      <c r="BO43" s="75"/>
      <c r="BP43" s="66"/>
      <c r="BQ43" s="74"/>
    </row>
    <row r="44" spans="1:69" s="44" customFormat="1" ht="22.35" customHeight="1" x14ac:dyDescent="0.2">
      <c r="A44" s="100"/>
      <c r="B44" s="100"/>
      <c r="C44" s="100"/>
      <c r="D44" s="54"/>
      <c r="E44" s="55"/>
      <c r="F44" s="56"/>
      <c r="G44" s="56"/>
      <c r="H44" s="57"/>
      <c r="I44" s="58"/>
      <c r="J44" s="58"/>
      <c r="K44" s="55"/>
      <c r="L44" s="59"/>
      <c r="M44" s="59"/>
      <c r="N44" s="59"/>
      <c r="O44" s="54"/>
      <c r="P44" s="60"/>
      <c r="Q44" s="66"/>
      <c r="R44" s="67"/>
      <c r="S44" s="56"/>
      <c r="T44" s="56"/>
      <c r="U44" s="63"/>
      <c r="V44" s="64"/>
      <c r="W44" s="55"/>
      <c r="X44" s="63"/>
      <c r="Y44" s="54"/>
      <c r="Z44" s="65"/>
      <c r="AA44" s="70"/>
      <c r="AB44" s="71"/>
      <c r="AC44" s="56"/>
      <c r="AD44" s="56"/>
      <c r="AE44" s="64"/>
      <c r="AF44" s="64"/>
      <c r="AG44" s="55"/>
      <c r="AH44" s="68"/>
      <c r="AI44" s="54"/>
      <c r="AJ44" s="69"/>
      <c r="AK44" s="66"/>
      <c r="AL44" s="67"/>
      <c r="AM44" s="56"/>
      <c r="AN44" s="56"/>
      <c r="AO44" s="64"/>
      <c r="AP44" s="64"/>
      <c r="AQ44" s="55"/>
      <c r="AR44" s="68"/>
      <c r="AS44" s="54"/>
      <c r="AT44" s="69"/>
      <c r="AU44" s="76"/>
      <c r="AV44" s="59"/>
      <c r="AW44" s="56"/>
      <c r="AX44" s="56"/>
      <c r="AY44" s="64"/>
      <c r="AZ44" s="64"/>
      <c r="BA44" s="55"/>
      <c r="BB44" s="72"/>
      <c r="BC44" s="68"/>
      <c r="BD44" s="69"/>
      <c r="BE44" s="66"/>
      <c r="BF44" s="67"/>
      <c r="BG44" s="56"/>
      <c r="BH44" s="56"/>
      <c r="BI44" s="64"/>
      <c r="BJ44" s="64"/>
      <c r="BK44" s="57"/>
      <c r="BL44" s="73"/>
      <c r="BM44" s="70"/>
      <c r="BN44" s="74"/>
      <c r="BO44" s="75"/>
      <c r="BP44" s="66"/>
      <c r="BQ44" s="74"/>
    </row>
    <row r="45" spans="1:69" s="44" customFormat="1" ht="22.35" customHeight="1" x14ac:dyDescent="0.2">
      <c r="A45" s="100"/>
      <c r="B45" s="100"/>
      <c r="C45" s="100"/>
      <c r="D45" s="54"/>
      <c r="E45" s="55"/>
      <c r="F45" s="56"/>
      <c r="G45" s="56"/>
      <c r="H45" s="57"/>
      <c r="I45" s="58"/>
      <c r="J45" s="58"/>
      <c r="K45" s="55"/>
      <c r="L45" s="59"/>
      <c r="M45" s="59"/>
      <c r="N45" s="59"/>
      <c r="O45" s="54"/>
      <c r="P45" s="60"/>
      <c r="Q45" s="66"/>
      <c r="R45" s="67"/>
      <c r="S45" s="56"/>
      <c r="T45" s="56"/>
      <c r="U45" s="63"/>
      <c r="V45" s="64"/>
      <c r="W45" s="55"/>
      <c r="X45" s="63"/>
      <c r="Y45" s="54"/>
      <c r="Z45" s="65"/>
      <c r="AA45" s="70"/>
      <c r="AB45" s="71"/>
      <c r="AC45" s="56"/>
      <c r="AD45" s="56"/>
      <c r="AE45" s="64"/>
      <c r="AF45" s="64"/>
      <c r="AG45" s="55"/>
      <c r="AH45" s="68"/>
      <c r="AI45" s="54"/>
      <c r="AJ45" s="69"/>
      <c r="AK45" s="61"/>
      <c r="AL45" s="62"/>
      <c r="AM45" s="56"/>
      <c r="AN45" s="56"/>
      <c r="AO45" s="64"/>
      <c r="AP45" s="64"/>
      <c r="AQ45" s="55"/>
      <c r="AR45" s="68"/>
      <c r="AS45" s="54"/>
      <c r="AT45" s="69"/>
      <c r="AU45" s="61"/>
      <c r="AV45" s="62"/>
      <c r="AW45" s="56"/>
      <c r="AX45" s="56"/>
      <c r="AY45" s="64"/>
      <c r="AZ45" s="64"/>
      <c r="BA45" s="55"/>
      <c r="BB45" s="72"/>
      <c r="BC45" s="68"/>
      <c r="BD45" s="69"/>
      <c r="BE45" s="66"/>
      <c r="BF45" s="67"/>
      <c r="BG45" s="56"/>
      <c r="BH45" s="56"/>
      <c r="BI45" s="64"/>
      <c r="BJ45" s="64"/>
      <c r="BK45" s="57"/>
      <c r="BL45" s="73"/>
      <c r="BM45" s="70"/>
      <c r="BN45" s="74"/>
      <c r="BO45" s="75"/>
      <c r="BP45" s="66"/>
      <c r="BQ45" s="74"/>
    </row>
    <row r="46" spans="1:69" s="44" customFormat="1" ht="22.35" customHeight="1" x14ac:dyDescent="0.2">
      <c r="A46" s="100"/>
      <c r="B46" s="100"/>
      <c r="C46" s="100"/>
      <c r="D46" s="54"/>
      <c r="E46" s="55"/>
      <c r="F46" s="56"/>
      <c r="G46" s="56"/>
      <c r="H46" s="57"/>
      <c r="I46" s="58"/>
      <c r="J46" s="58"/>
      <c r="K46" s="55"/>
      <c r="L46" s="59"/>
      <c r="M46" s="59"/>
      <c r="N46" s="59"/>
      <c r="O46" s="54"/>
      <c r="P46" s="60"/>
      <c r="Q46" s="66"/>
      <c r="R46" s="67"/>
      <c r="S46" s="56"/>
      <c r="T46" s="56"/>
      <c r="U46" s="63"/>
      <c r="V46" s="64"/>
      <c r="W46" s="55"/>
      <c r="X46" s="63"/>
      <c r="Y46" s="54"/>
      <c r="Z46" s="65"/>
      <c r="AA46" s="76"/>
      <c r="AB46" s="59"/>
      <c r="AC46" s="56"/>
      <c r="AD46" s="56"/>
      <c r="AE46" s="64"/>
      <c r="AF46" s="64"/>
      <c r="AG46" s="55"/>
      <c r="AH46" s="68"/>
      <c r="AI46" s="54"/>
      <c r="AJ46" s="69"/>
      <c r="AK46" s="76"/>
      <c r="AL46" s="59"/>
      <c r="AM46" s="56"/>
      <c r="AN46" s="56"/>
      <c r="AO46" s="64"/>
      <c r="AP46" s="64"/>
      <c r="AQ46" s="55"/>
      <c r="AR46" s="68"/>
      <c r="AS46" s="54"/>
      <c r="AT46" s="69"/>
      <c r="AU46" s="61"/>
      <c r="AV46" s="62"/>
      <c r="AW46" s="56"/>
      <c r="AX46" s="56"/>
      <c r="AY46" s="64"/>
      <c r="AZ46" s="64"/>
      <c r="BA46" s="55"/>
      <c r="BB46" s="72"/>
      <c r="BC46" s="68"/>
      <c r="BD46" s="69"/>
      <c r="BE46" s="70"/>
      <c r="BF46" s="71"/>
      <c r="BG46" s="56"/>
      <c r="BH46" s="56"/>
      <c r="BI46" s="64"/>
      <c r="BJ46" s="64"/>
      <c r="BK46" s="57"/>
      <c r="BL46" s="73"/>
      <c r="BM46" s="76"/>
      <c r="BN46" s="74"/>
      <c r="BO46" s="75"/>
      <c r="BP46" s="66"/>
      <c r="BQ46" s="74"/>
    </row>
    <row r="47" spans="1:69" s="44" customFormat="1" ht="22.35" customHeight="1" x14ac:dyDescent="0.2">
      <c r="A47" s="100"/>
      <c r="B47" s="100"/>
      <c r="C47" s="100"/>
      <c r="D47" s="54"/>
      <c r="E47" s="55"/>
      <c r="F47" s="56"/>
      <c r="G47" s="56"/>
      <c r="H47" s="57"/>
      <c r="I47" s="58"/>
      <c r="J47" s="58"/>
      <c r="K47" s="55"/>
      <c r="L47" s="59"/>
      <c r="M47" s="59"/>
      <c r="N47" s="59"/>
      <c r="O47" s="54"/>
      <c r="P47" s="60"/>
      <c r="Q47" s="66"/>
      <c r="R47" s="67"/>
      <c r="S47" s="56"/>
      <c r="T47" s="56"/>
      <c r="U47" s="63"/>
      <c r="V47" s="64"/>
      <c r="W47" s="55"/>
      <c r="X47" s="63"/>
      <c r="Y47" s="54"/>
      <c r="Z47" s="65"/>
      <c r="AA47" s="76"/>
      <c r="AB47" s="59"/>
      <c r="AC47" s="56"/>
      <c r="AD47" s="56"/>
      <c r="AE47" s="64"/>
      <c r="AF47" s="64"/>
      <c r="AG47" s="55"/>
      <c r="AH47" s="68"/>
      <c r="AI47" s="54"/>
      <c r="AJ47" s="69"/>
      <c r="AK47" s="61"/>
      <c r="AL47" s="62"/>
      <c r="AM47" s="56"/>
      <c r="AN47" s="56"/>
      <c r="AO47" s="64"/>
      <c r="AP47" s="64"/>
      <c r="AQ47" s="55"/>
      <c r="AR47" s="68"/>
      <c r="AS47" s="54"/>
      <c r="AT47" s="69"/>
      <c r="AU47" s="61"/>
      <c r="AV47" s="62"/>
      <c r="AW47" s="56"/>
      <c r="AX47" s="56"/>
      <c r="AY47" s="64"/>
      <c r="AZ47" s="64"/>
      <c r="BA47" s="55"/>
      <c r="BB47" s="72"/>
      <c r="BC47" s="68"/>
      <c r="BD47" s="69"/>
      <c r="BE47" s="76"/>
      <c r="BF47" s="59"/>
      <c r="BG47" s="56"/>
      <c r="BH47" s="56"/>
      <c r="BI47" s="64"/>
      <c r="BJ47" s="64"/>
      <c r="BK47" s="57"/>
      <c r="BL47" s="73"/>
      <c r="BM47" s="76"/>
      <c r="BN47" s="74"/>
      <c r="BO47" s="75"/>
      <c r="BP47" s="66"/>
      <c r="BQ47" s="74"/>
    </row>
    <row r="48" spans="1:69" s="44" customFormat="1" ht="22.35" customHeight="1" x14ac:dyDescent="0.2">
      <c r="A48" s="100"/>
      <c r="B48" s="100"/>
      <c r="C48" s="100"/>
      <c r="D48" s="54"/>
      <c r="E48" s="55"/>
      <c r="F48" s="56"/>
      <c r="G48" s="56"/>
      <c r="H48" s="57"/>
      <c r="I48" s="58"/>
      <c r="J48" s="58"/>
      <c r="K48" s="55"/>
      <c r="L48" s="59"/>
      <c r="M48" s="59"/>
      <c r="N48" s="59"/>
      <c r="O48" s="54"/>
      <c r="P48" s="60"/>
      <c r="Q48" s="66"/>
      <c r="R48" s="67"/>
      <c r="S48" s="56"/>
      <c r="T48" s="56"/>
      <c r="U48" s="63"/>
      <c r="V48" s="64"/>
      <c r="W48" s="55"/>
      <c r="X48" s="63"/>
      <c r="Y48" s="54"/>
      <c r="Z48" s="65"/>
      <c r="AA48" s="76"/>
      <c r="AB48" s="59"/>
      <c r="AC48" s="56"/>
      <c r="AD48" s="56"/>
      <c r="AE48" s="64"/>
      <c r="AF48" s="64"/>
      <c r="AG48" s="55"/>
      <c r="AH48" s="68"/>
      <c r="AI48" s="54"/>
      <c r="AJ48" s="69"/>
      <c r="AK48" s="76"/>
      <c r="AL48" s="59"/>
      <c r="AM48" s="56"/>
      <c r="AN48" s="56"/>
      <c r="AO48" s="64"/>
      <c r="AP48" s="64"/>
      <c r="AQ48" s="55"/>
      <c r="AR48" s="68"/>
      <c r="AS48" s="54"/>
      <c r="AT48" s="69"/>
      <c r="AU48" s="66"/>
      <c r="AV48" s="67"/>
      <c r="AW48" s="56"/>
      <c r="AX48" s="56"/>
      <c r="AY48" s="64"/>
      <c r="AZ48" s="64"/>
      <c r="BA48" s="55"/>
      <c r="BB48" s="72"/>
      <c r="BC48" s="68"/>
      <c r="BD48" s="69"/>
      <c r="BE48" s="66"/>
      <c r="BF48" s="67"/>
      <c r="BG48" s="56"/>
      <c r="BH48" s="56"/>
      <c r="BI48" s="64"/>
      <c r="BJ48" s="64"/>
      <c r="BK48" s="57"/>
      <c r="BL48" s="73"/>
      <c r="BM48" s="61"/>
      <c r="BN48" s="74"/>
      <c r="BO48" s="75"/>
      <c r="BP48" s="66"/>
      <c r="BQ48" s="74"/>
    </row>
    <row r="49" spans="1:69" s="44" customFormat="1" ht="22.35" customHeight="1" x14ac:dyDescent="0.2">
      <c r="A49" s="100"/>
      <c r="B49" s="100"/>
      <c r="C49" s="100"/>
      <c r="D49" s="54"/>
      <c r="E49" s="55"/>
      <c r="F49" s="56"/>
      <c r="G49" s="56"/>
      <c r="H49" s="57"/>
      <c r="I49" s="58"/>
      <c r="J49" s="58"/>
      <c r="K49" s="55"/>
      <c r="L49" s="59"/>
      <c r="M49" s="59"/>
      <c r="N49" s="59"/>
      <c r="O49" s="54"/>
      <c r="P49" s="60"/>
      <c r="Q49" s="66"/>
      <c r="R49" s="67"/>
      <c r="S49" s="56"/>
      <c r="T49" s="56"/>
      <c r="U49" s="63"/>
      <c r="V49" s="64"/>
      <c r="W49" s="55"/>
      <c r="X49" s="63"/>
      <c r="Y49" s="54"/>
      <c r="Z49" s="65"/>
      <c r="AA49" s="76"/>
      <c r="AB49" s="59"/>
      <c r="AC49" s="56"/>
      <c r="AD49" s="56"/>
      <c r="AE49" s="64"/>
      <c r="AF49" s="64"/>
      <c r="AG49" s="55"/>
      <c r="AH49" s="68"/>
      <c r="AI49" s="54"/>
      <c r="AJ49" s="69"/>
      <c r="AK49" s="61"/>
      <c r="AL49" s="62"/>
      <c r="AM49" s="56"/>
      <c r="AN49" s="56"/>
      <c r="AO49" s="64"/>
      <c r="AP49" s="64"/>
      <c r="AQ49" s="55"/>
      <c r="AR49" s="68"/>
      <c r="AS49" s="54"/>
      <c r="AT49" s="69"/>
      <c r="AU49" s="61"/>
      <c r="AV49" s="62"/>
      <c r="AW49" s="56"/>
      <c r="AX49" s="56"/>
      <c r="AY49" s="64"/>
      <c r="AZ49" s="64"/>
      <c r="BA49" s="55"/>
      <c r="BB49" s="72"/>
      <c r="BC49" s="68"/>
      <c r="BD49" s="69"/>
      <c r="BE49" s="76"/>
      <c r="BF49" s="59"/>
      <c r="BG49" s="56"/>
      <c r="BH49" s="56"/>
      <c r="BI49" s="64"/>
      <c r="BJ49" s="64"/>
      <c r="BK49" s="57"/>
      <c r="BL49" s="73"/>
      <c r="BM49" s="61"/>
      <c r="BN49" s="74"/>
      <c r="BO49" s="75"/>
      <c r="BP49" s="66"/>
      <c r="BQ49" s="74"/>
    </row>
    <row r="50" spans="1:69" s="44" customFormat="1" ht="22.35" customHeight="1" x14ac:dyDescent="0.2">
      <c r="A50" s="100"/>
      <c r="B50" s="100"/>
      <c r="C50" s="100"/>
      <c r="D50" s="54"/>
      <c r="E50" s="55"/>
      <c r="F50" s="56"/>
      <c r="G50" s="56"/>
      <c r="H50" s="57"/>
      <c r="I50" s="58"/>
      <c r="J50" s="58"/>
      <c r="K50" s="55"/>
      <c r="L50" s="59"/>
      <c r="M50" s="59"/>
      <c r="N50" s="59"/>
      <c r="O50" s="54"/>
      <c r="P50" s="60"/>
      <c r="Q50" s="66"/>
      <c r="R50" s="67"/>
      <c r="S50" s="56"/>
      <c r="T50" s="56"/>
      <c r="U50" s="63"/>
      <c r="V50" s="64"/>
      <c r="W50" s="55"/>
      <c r="X50" s="63"/>
      <c r="Y50" s="54"/>
      <c r="Z50" s="65"/>
      <c r="AA50" s="61"/>
      <c r="AB50" s="62"/>
      <c r="AC50" s="56"/>
      <c r="AD50" s="56"/>
      <c r="AE50" s="64"/>
      <c r="AF50" s="64"/>
      <c r="AG50" s="55"/>
      <c r="AH50" s="68"/>
      <c r="AI50" s="54"/>
      <c r="AJ50" s="69"/>
      <c r="AK50" s="61"/>
      <c r="AL50" s="62"/>
      <c r="AM50" s="56"/>
      <c r="AN50" s="56"/>
      <c r="AO50" s="64"/>
      <c r="AP50" s="64"/>
      <c r="AQ50" s="55"/>
      <c r="AR50" s="68"/>
      <c r="AS50" s="54"/>
      <c r="AT50" s="69"/>
      <c r="AU50" s="61"/>
      <c r="AV50" s="62"/>
      <c r="AW50" s="56"/>
      <c r="AX50" s="56"/>
      <c r="AY50" s="64"/>
      <c r="AZ50" s="64"/>
      <c r="BA50" s="55"/>
      <c r="BB50" s="72"/>
      <c r="BC50" s="68"/>
      <c r="BD50" s="69"/>
      <c r="BE50" s="61"/>
      <c r="BF50" s="62"/>
      <c r="BG50" s="56"/>
      <c r="BH50" s="56"/>
      <c r="BI50" s="64"/>
      <c r="BJ50" s="64"/>
      <c r="BK50" s="57"/>
      <c r="BL50" s="73"/>
      <c r="BM50" s="61"/>
      <c r="BN50" s="74"/>
      <c r="BO50" s="75"/>
      <c r="BP50" s="66"/>
      <c r="BQ50" s="74"/>
    </row>
    <row r="51" spans="1:69" s="44" customFormat="1" ht="22.35" customHeight="1" x14ac:dyDescent="0.2">
      <c r="A51" s="100"/>
      <c r="B51" s="100"/>
      <c r="C51" s="100"/>
      <c r="D51" s="54"/>
      <c r="E51" s="55"/>
      <c r="F51" s="56"/>
      <c r="G51" s="56"/>
      <c r="H51" s="57"/>
      <c r="I51" s="58"/>
      <c r="J51" s="58"/>
      <c r="K51" s="55"/>
      <c r="L51" s="59"/>
      <c r="M51" s="59"/>
      <c r="N51" s="59"/>
      <c r="O51" s="54"/>
      <c r="P51" s="60"/>
      <c r="Q51" s="66"/>
      <c r="R51" s="67"/>
      <c r="S51" s="56"/>
      <c r="T51" s="56"/>
      <c r="U51" s="63"/>
      <c r="V51" s="64"/>
      <c r="W51" s="55"/>
      <c r="X51" s="63"/>
      <c r="Y51" s="54"/>
      <c r="Z51" s="65"/>
      <c r="AA51" s="76"/>
      <c r="AB51" s="59"/>
      <c r="AC51" s="56"/>
      <c r="AD51" s="56"/>
      <c r="AE51" s="64"/>
      <c r="AF51" s="64"/>
      <c r="AG51" s="55"/>
      <c r="AH51" s="68"/>
      <c r="AI51" s="54"/>
      <c r="AJ51" s="69"/>
      <c r="AK51" s="70"/>
      <c r="AL51" s="71"/>
      <c r="AM51" s="56"/>
      <c r="AN51" s="56"/>
      <c r="AO51" s="64"/>
      <c r="AP51" s="64"/>
      <c r="AQ51" s="55"/>
      <c r="AR51" s="68"/>
      <c r="AS51" s="54"/>
      <c r="AT51" s="69"/>
      <c r="AU51" s="61"/>
      <c r="AV51" s="62"/>
      <c r="AW51" s="56"/>
      <c r="AX51" s="56"/>
      <c r="AY51" s="64"/>
      <c r="AZ51" s="64"/>
      <c r="BA51" s="55"/>
      <c r="BB51" s="72"/>
      <c r="BC51" s="68"/>
      <c r="BD51" s="69"/>
      <c r="BE51" s="66"/>
      <c r="BF51" s="67"/>
      <c r="BG51" s="56"/>
      <c r="BH51" s="56"/>
      <c r="BI51" s="64"/>
      <c r="BJ51" s="64"/>
      <c r="BK51" s="57"/>
      <c r="BL51" s="73"/>
      <c r="BM51" s="76"/>
      <c r="BN51" s="74"/>
      <c r="BO51" s="75"/>
      <c r="BP51" s="66"/>
      <c r="BQ51" s="74"/>
    </row>
    <row r="52" spans="1:69" s="44" customFormat="1" ht="22.35" customHeight="1" x14ac:dyDescent="0.2">
      <c r="A52" s="100"/>
      <c r="B52" s="100"/>
      <c r="C52" s="100"/>
      <c r="D52" s="54"/>
      <c r="E52" s="55"/>
      <c r="F52" s="56"/>
      <c r="G52" s="56"/>
      <c r="H52" s="57"/>
      <c r="I52" s="58"/>
      <c r="J52" s="58"/>
      <c r="K52" s="55"/>
      <c r="L52" s="59"/>
      <c r="M52" s="59"/>
      <c r="N52" s="59"/>
      <c r="O52" s="54"/>
      <c r="P52" s="60"/>
      <c r="Q52" s="66"/>
      <c r="R52" s="67"/>
      <c r="S52" s="56"/>
      <c r="T52" s="56"/>
      <c r="U52" s="63"/>
      <c r="V52" s="64"/>
      <c r="W52" s="55"/>
      <c r="X52" s="63"/>
      <c r="Y52" s="54"/>
      <c r="Z52" s="65"/>
      <c r="AA52" s="70"/>
      <c r="AB52" s="71"/>
      <c r="AC52" s="56"/>
      <c r="AD52" s="56"/>
      <c r="AE52" s="64"/>
      <c r="AF52" s="64"/>
      <c r="AG52" s="55"/>
      <c r="AH52" s="68"/>
      <c r="AI52" s="54"/>
      <c r="AJ52" s="69"/>
      <c r="AK52" s="76"/>
      <c r="AL52" s="59"/>
      <c r="AM52" s="56"/>
      <c r="AN52" s="56"/>
      <c r="AO52" s="64"/>
      <c r="AP52" s="64"/>
      <c r="AQ52" s="55"/>
      <c r="AR52" s="68"/>
      <c r="AS52" s="54"/>
      <c r="AT52" s="69"/>
      <c r="AU52" s="61"/>
      <c r="AV52" s="62"/>
      <c r="AW52" s="56"/>
      <c r="AX52" s="56"/>
      <c r="AY52" s="64"/>
      <c r="AZ52" s="64"/>
      <c r="BA52" s="55"/>
      <c r="BB52" s="72"/>
      <c r="BC52" s="68"/>
      <c r="BD52" s="69"/>
      <c r="BE52" s="70"/>
      <c r="BF52" s="71"/>
      <c r="BG52" s="56"/>
      <c r="BH52" s="56"/>
      <c r="BI52" s="64"/>
      <c r="BJ52" s="64"/>
      <c r="BK52" s="57"/>
      <c r="BL52" s="73"/>
      <c r="BM52" s="76"/>
      <c r="BN52" s="74"/>
      <c r="BO52" s="75"/>
      <c r="BP52" s="66"/>
      <c r="BQ52" s="74"/>
    </row>
    <row r="53" spans="1:69" s="44" customFormat="1" ht="22.35" customHeight="1" x14ac:dyDescent="0.2">
      <c r="A53" s="100"/>
      <c r="B53" s="100"/>
      <c r="C53" s="100"/>
      <c r="D53" s="54"/>
      <c r="E53" s="55"/>
      <c r="F53" s="56"/>
      <c r="G53" s="56"/>
      <c r="H53" s="57"/>
      <c r="I53" s="58"/>
      <c r="J53" s="58"/>
      <c r="K53" s="55"/>
      <c r="L53" s="59"/>
      <c r="M53" s="59"/>
      <c r="N53" s="59"/>
      <c r="O53" s="54"/>
      <c r="P53" s="60"/>
      <c r="Q53" s="66"/>
      <c r="R53" s="67"/>
      <c r="S53" s="56"/>
      <c r="T53" s="56"/>
      <c r="U53" s="63"/>
      <c r="V53" s="64"/>
      <c r="W53" s="55"/>
      <c r="X53" s="63"/>
      <c r="Y53" s="54"/>
      <c r="Z53" s="65"/>
      <c r="AA53" s="76"/>
      <c r="AB53" s="59"/>
      <c r="AC53" s="56"/>
      <c r="AD53" s="56"/>
      <c r="AE53" s="64"/>
      <c r="AF53" s="64"/>
      <c r="AG53" s="55"/>
      <c r="AH53" s="68"/>
      <c r="AI53" s="54"/>
      <c r="AJ53" s="69"/>
      <c r="AK53" s="61"/>
      <c r="AL53" s="62"/>
      <c r="AM53" s="56"/>
      <c r="AN53" s="56"/>
      <c r="AO53" s="64"/>
      <c r="AP53" s="64"/>
      <c r="AQ53" s="55"/>
      <c r="AR53" s="68"/>
      <c r="AS53" s="54"/>
      <c r="AT53" s="69"/>
      <c r="AU53" s="61"/>
      <c r="AV53" s="62"/>
      <c r="AW53" s="56"/>
      <c r="AX53" s="56"/>
      <c r="AY53" s="64"/>
      <c r="AZ53" s="64"/>
      <c r="BA53" s="55"/>
      <c r="BB53" s="72"/>
      <c r="BC53" s="68"/>
      <c r="BD53" s="69"/>
      <c r="BE53" s="70"/>
      <c r="BF53" s="71"/>
      <c r="BG53" s="56"/>
      <c r="BH53" s="56"/>
      <c r="BI53" s="64"/>
      <c r="BJ53" s="64"/>
      <c r="BK53" s="57"/>
      <c r="BL53" s="73"/>
      <c r="BM53" s="76"/>
      <c r="BN53" s="74"/>
      <c r="BO53" s="75"/>
      <c r="BP53" s="66"/>
      <c r="BQ53" s="74"/>
    </row>
    <row r="54" spans="1:69" s="44" customFormat="1" ht="22.35" customHeight="1" x14ac:dyDescent="0.2">
      <c r="A54" s="100"/>
      <c r="B54" s="100"/>
      <c r="C54" s="100"/>
      <c r="D54" s="54"/>
      <c r="E54" s="55"/>
      <c r="F54" s="56"/>
      <c r="G54" s="56"/>
      <c r="H54" s="57"/>
      <c r="I54" s="58"/>
      <c r="J54" s="58"/>
      <c r="K54" s="55"/>
      <c r="L54" s="59"/>
      <c r="M54" s="59"/>
      <c r="N54" s="59"/>
      <c r="O54" s="54"/>
      <c r="P54" s="60"/>
      <c r="Q54" s="66"/>
      <c r="R54" s="67"/>
      <c r="S54" s="56"/>
      <c r="T54" s="56"/>
      <c r="U54" s="63"/>
      <c r="V54" s="64"/>
      <c r="W54" s="55"/>
      <c r="X54" s="63"/>
      <c r="Y54" s="54"/>
      <c r="Z54" s="65"/>
      <c r="AA54" s="66"/>
      <c r="AB54" s="67"/>
      <c r="AC54" s="56"/>
      <c r="AD54" s="56"/>
      <c r="AE54" s="64"/>
      <c r="AF54" s="64"/>
      <c r="AG54" s="55"/>
      <c r="AH54" s="68"/>
      <c r="AI54" s="54"/>
      <c r="AJ54" s="69"/>
      <c r="AK54" s="70"/>
      <c r="AL54" s="71"/>
      <c r="AM54" s="56"/>
      <c r="AN54" s="56"/>
      <c r="AO54" s="64"/>
      <c r="AP54" s="64"/>
      <c r="AQ54" s="55"/>
      <c r="AR54" s="68"/>
      <c r="AS54" s="54"/>
      <c r="AT54" s="69"/>
      <c r="AU54" s="61"/>
      <c r="AV54" s="62"/>
      <c r="AW54" s="56"/>
      <c r="AX54" s="56"/>
      <c r="AY54" s="64"/>
      <c r="AZ54" s="64"/>
      <c r="BA54" s="55"/>
      <c r="BB54" s="72"/>
      <c r="BC54" s="68"/>
      <c r="BD54" s="69"/>
      <c r="BE54" s="70"/>
      <c r="BF54" s="71"/>
      <c r="BG54" s="56"/>
      <c r="BH54" s="56"/>
      <c r="BI54" s="64"/>
      <c r="BJ54" s="64"/>
      <c r="BK54" s="57"/>
      <c r="BL54" s="73"/>
      <c r="BM54" s="76"/>
      <c r="BN54" s="74"/>
      <c r="BO54" s="75"/>
      <c r="BP54" s="66"/>
      <c r="BQ54" s="74"/>
    </row>
    <row r="55" spans="1:69" s="44" customFormat="1" ht="22.35" customHeight="1" x14ac:dyDescent="0.2">
      <c r="A55" s="100"/>
      <c r="B55" s="100"/>
      <c r="C55" s="100"/>
      <c r="D55" s="54"/>
      <c r="E55" s="55"/>
      <c r="F55" s="56"/>
      <c r="G55" s="56"/>
      <c r="H55" s="57"/>
      <c r="I55" s="58"/>
      <c r="J55" s="58"/>
      <c r="K55" s="55"/>
      <c r="L55" s="59"/>
      <c r="M55" s="59"/>
      <c r="N55" s="59"/>
      <c r="O55" s="54"/>
      <c r="P55" s="60"/>
      <c r="Q55" s="66"/>
      <c r="R55" s="67"/>
      <c r="S55" s="56"/>
      <c r="T55" s="56"/>
      <c r="U55" s="63"/>
      <c r="V55" s="64"/>
      <c r="W55" s="55"/>
      <c r="X55" s="63"/>
      <c r="Y55" s="54"/>
      <c r="Z55" s="65"/>
      <c r="AA55" s="61"/>
      <c r="AB55" s="62"/>
      <c r="AC55" s="56"/>
      <c r="AD55" s="56"/>
      <c r="AE55" s="64"/>
      <c r="AF55" s="64"/>
      <c r="AG55" s="55"/>
      <c r="AH55" s="68"/>
      <c r="AI55" s="54"/>
      <c r="AJ55" s="69"/>
      <c r="AK55" s="61"/>
      <c r="AL55" s="62"/>
      <c r="AM55" s="56"/>
      <c r="AN55" s="56"/>
      <c r="AO55" s="64"/>
      <c r="AP55" s="64"/>
      <c r="AQ55" s="55"/>
      <c r="AR55" s="68"/>
      <c r="AS55" s="54"/>
      <c r="AT55" s="69"/>
      <c r="AU55" s="61"/>
      <c r="AV55" s="62"/>
      <c r="AW55" s="56"/>
      <c r="AX55" s="56"/>
      <c r="AY55" s="64"/>
      <c r="AZ55" s="64"/>
      <c r="BA55" s="55"/>
      <c r="BB55" s="72"/>
      <c r="BC55" s="68"/>
      <c r="BD55" s="69"/>
      <c r="BE55" s="76"/>
      <c r="BF55" s="59"/>
      <c r="BG55" s="56"/>
      <c r="BH55" s="56"/>
      <c r="BI55" s="64"/>
      <c r="BJ55" s="64"/>
      <c r="BK55" s="57"/>
      <c r="BL55" s="73"/>
      <c r="BM55" s="76"/>
      <c r="BN55" s="74"/>
      <c r="BO55" s="75"/>
      <c r="BP55" s="66"/>
      <c r="BQ55" s="74"/>
    </row>
    <row r="56" spans="1:69" s="44" customFormat="1" ht="22.35" customHeight="1" x14ac:dyDescent="0.2">
      <c r="A56" s="100"/>
      <c r="B56" s="100"/>
      <c r="C56" s="100"/>
      <c r="D56" s="54"/>
      <c r="E56" s="55"/>
      <c r="F56" s="56"/>
      <c r="G56" s="56"/>
      <c r="H56" s="57"/>
      <c r="I56" s="58"/>
      <c r="J56" s="58"/>
      <c r="K56" s="55"/>
      <c r="L56" s="59"/>
      <c r="M56" s="59"/>
      <c r="N56" s="59"/>
      <c r="O56" s="54"/>
      <c r="P56" s="60"/>
      <c r="Q56" s="66"/>
      <c r="R56" s="67"/>
      <c r="S56" s="56"/>
      <c r="T56" s="56"/>
      <c r="U56" s="63"/>
      <c r="V56" s="64"/>
      <c r="W56" s="55"/>
      <c r="X56" s="63"/>
      <c r="Y56" s="54"/>
      <c r="Z56" s="65"/>
      <c r="AA56" s="76"/>
      <c r="AB56" s="59"/>
      <c r="AC56" s="56"/>
      <c r="AD56" s="56"/>
      <c r="AE56" s="64"/>
      <c r="AF56" s="64"/>
      <c r="AG56" s="55"/>
      <c r="AH56" s="68"/>
      <c r="AI56" s="54"/>
      <c r="AJ56" s="69"/>
      <c r="AK56" s="61"/>
      <c r="AL56" s="62"/>
      <c r="AM56" s="56"/>
      <c r="AN56" s="56"/>
      <c r="AO56" s="64"/>
      <c r="AP56" s="64"/>
      <c r="AQ56" s="55"/>
      <c r="AR56" s="68"/>
      <c r="AS56" s="54"/>
      <c r="AT56" s="69"/>
      <c r="AU56" s="61"/>
      <c r="AV56" s="62"/>
      <c r="AW56" s="56"/>
      <c r="AX56" s="56"/>
      <c r="AY56" s="64"/>
      <c r="AZ56" s="64"/>
      <c r="BA56" s="55"/>
      <c r="BB56" s="72"/>
      <c r="BC56" s="68"/>
      <c r="BD56" s="69"/>
      <c r="BE56" s="70"/>
      <c r="BF56" s="71"/>
      <c r="BG56" s="56"/>
      <c r="BH56" s="56"/>
      <c r="BI56" s="64"/>
      <c r="BJ56" s="64"/>
      <c r="BK56" s="57"/>
      <c r="BL56" s="73"/>
      <c r="BM56" s="76"/>
      <c r="BN56" s="74"/>
      <c r="BO56" s="75"/>
      <c r="BP56" s="66"/>
      <c r="BQ56" s="74"/>
    </row>
    <row r="57" spans="1:69" s="44" customFormat="1" ht="22.35" customHeight="1" x14ac:dyDescent="0.2">
      <c r="A57" s="100"/>
      <c r="B57" s="100"/>
      <c r="C57" s="100"/>
      <c r="D57" s="54"/>
      <c r="E57" s="55"/>
      <c r="F57" s="56"/>
      <c r="G57" s="56"/>
      <c r="H57" s="57"/>
      <c r="I57" s="58"/>
      <c r="J57" s="58"/>
      <c r="K57" s="55"/>
      <c r="L57" s="59"/>
      <c r="M57" s="59"/>
      <c r="N57" s="59"/>
      <c r="O57" s="54"/>
      <c r="P57" s="60"/>
      <c r="Q57" s="66"/>
      <c r="R57" s="67"/>
      <c r="S57" s="56"/>
      <c r="T57" s="56"/>
      <c r="U57" s="63"/>
      <c r="V57" s="64"/>
      <c r="W57" s="55"/>
      <c r="X57" s="63"/>
      <c r="Y57" s="54"/>
      <c r="Z57" s="65"/>
      <c r="AA57" s="66"/>
      <c r="AB57" s="67"/>
      <c r="AC57" s="56"/>
      <c r="AD57" s="56"/>
      <c r="AE57" s="64"/>
      <c r="AF57" s="64"/>
      <c r="AG57" s="55"/>
      <c r="AH57" s="68"/>
      <c r="AI57" s="54"/>
      <c r="AJ57" s="69"/>
      <c r="AK57" s="70"/>
      <c r="AL57" s="71"/>
      <c r="AM57" s="56"/>
      <c r="AN57" s="56"/>
      <c r="AO57" s="64"/>
      <c r="AP57" s="64"/>
      <c r="AQ57" s="55"/>
      <c r="AR57" s="68"/>
      <c r="AS57" s="54"/>
      <c r="AT57" s="69"/>
      <c r="AU57" s="66"/>
      <c r="AV57" s="67"/>
      <c r="AW57" s="56"/>
      <c r="AX57" s="56"/>
      <c r="AY57" s="64"/>
      <c r="AZ57" s="64"/>
      <c r="BA57" s="55"/>
      <c r="BB57" s="72"/>
      <c r="BC57" s="68"/>
      <c r="BD57" s="69"/>
      <c r="BE57" s="66"/>
      <c r="BF57" s="67"/>
      <c r="BG57" s="56"/>
      <c r="BH57" s="56"/>
      <c r="BI57" s="64"/>
      <c r="BJ57" s="64"/>
      <c r="BK57" s="57"/>
      <c r="BL57" s="73"/>
      <c r="BM57" s="76"/>
      <c r="BN57" s="74"/>
      <c r="BO57" s="75"/>
      <c r="BP57" s="66"/>
      <c r="BQ57" s="74"/>
    </row>
    <row r="58" spans="1:69" s="44" customFormat="1" ht="22.35" customHeight="1" x14ac:dyDescent="0.2">
      <c r="A58" s="100"/>
      <c r="B58" s="100"/>
      <c r="C58" s="100"/>
      <c r="D58" s="54"/>
      <c r="E58" s="55"/>
      <c r="F58" s="56"/>
      <c r="G58" s="56"/>
      <c r="H58" s="57"/>
      <c r="I58" s="58"/>
      <c r="J58" s="58"/>
      <c r="K58" s="55"/>
      <c r="L58" s="59"/>
      <c r="M58" s="59"/>
      <c r="N58" s="59"/>
      <c r="O58" s="54"/>
      <c r="P58" s="60"/>
      <c r="Q58" s="66"/>
      <c r="R58" s="67"/>
      <c r="S58" s="56"/>
      <c r="T58" s="56"/>
      <c r="U58" s="63"/>
      <c r="V58" s="64"/>
      <c r="W58" s="55"/>
      <c r="X58" s="63"/>
      <c r="Y58" s="54"/>
      <c r="Z58" s="65"/>
      <c r="AA58" s="61"/>
      <c r="AB58" s="62"/>
      <c r="AC58" s="56"/>
      <c r="AD58" s="56"/>
      <c r="AE58" s="64"/>
      <c r="AF58" s="64"/>
      <c r="AG58" s="55"/>
      <c r="AH58" s="68"/>
      <c r="AI58" s="54"/>
      <c r="AJ58" s="69"/>
      <c r="AK58" s="61"/>
      <c r="AL58" s="62"/>
      <c r="AM58" s="56"/>
      <c r="AN58" s="56"/>
      <c r="AO58" s="64"/>
      <c r="AP58" s="64"/>
      <c r="AQ58" s="55"/>
      <c r="AR58" s="68"/>
      <c r="AS58" s="54"/>
      <c r="AT58" s="69"/>
      <c r="AU58" s="61"/>
      <c r="AV58" s="62"/>
      <c r="AW58" s="56"/>
      <c r="AX58" s="56"/>
      <c r="AY58" s="64"/>
      <c r="AZ58" s="64"/>
      <c r="BA58" s="55"/>
      <c r="BB58" s="72"/>
      <c r="BC58" s="68"/>
      <c r="BD58" s="69"/>
      <c r="BE58" s="70"/>
      <c r="BF58" s="71"/>
      <c r="BG58" s="56"/>
      <c r="BH58" s="56"/>
      <c r="BI58" s="64"/>
      <c r="BJ58" s="64"/>
      <c r="BK58" s="57"/>
      <c r="BL58" s="73"/>
      <c r="BM58" s="61"/>
      <c r="BN58" s="74"/>
      <c r="BO58" s="75"/>
      <c r="BP58" s="66"/>
      <c r="BQ58" s="74"/>
    </row>
    <row r="59" spans="1:69" s="44" customFormat="1" ht="22.35" customHeight="1" x14ac:dyDescent="0.2">
      <c r="A59" s="100"/>
      <c r="B59" s="100"/>
      <c r="C59" s="100"/>
      <c r="D59" s="54"/>
      <c r="E59" s="55"/>
      <c r="F59" s="56"/>
      <c r="G59" s="56"/>
      <c r="H59" s="57"/>
      <c r="I59" s="58"/>
      <c r="J59" s="58"/>
      <c r="K59" s="55"/>
      <c r="L59" s="59"/>
      <c r="M59" s="59"/>
      <c r="N59" s="59"/>
      <c r="O59" s="54"/>
      <c r="P59" s="60"/>
      <c r="Q59" s="66"/>
      <c r="R59" s="67"/>
      <c r="S59" s="56"/>
      <c r="T59" s="56"/>
      <c r="U59" s="63"/>
      <c r="V59" s="64"/>
      <c r="W59" s="55"/>
      <c r="X59" s="63"/>
      <c r="Y59" s="54"/>
      <c r="Z59" s="65"/>
      <c r="AA59" s="76"/>
      <c r="AB59" s="59"/>
      <c r="AC59" s="56"/>
      <c r="AD59" s="56"/>
      <c r="AE59" s="64"/>
      <c r="AF59" s="64"/>
      <c r="AG59" s="55"/>
      <c r="AH59" s="68"/>
      <c r="AI59" s="54"/>
      <c r="AJ59" s="69"/>
      <c r="AK59" s="61"/>
      <c r="AL59" s="62"/>
      <c r="AM59" s="56"/>
      <c r="AN59" s="56"/>
      <c r="AO59" s="64"/>
      <c r="AP59" s="64"/>
      <c r="AQ59" s="55"/>
      <c r="AR59" s="68"/>
      <c r="AS59" s="54"/>
      <c r="AT59" s="69"/>
      <c r="AU59" s="61"/>
      <c r="AV59" s="62"/>
      <c r="AW59" s="56"/>
      <c r="AX59" s="56"/>
      <c r="AY59" s="64"/>
      <c r="AZ59" s="64"/>
      <c r="BA59" s="55"/>
      <c r="BB59" s="72"/>
      <c r="BC59" s="68"/>
      <c r="BD59" s="69"/>
      <c r="BE59" s="76"/>
      <c r="BF59" s="59"/>
      <c r="BG59" s="56"/>
      <c r="BH59" s="56"/>
      <c r="BI59" s="64"/>
      <c r="BJ59" s="64"/>
      <c r="BK59" s="57"/>
      <c r="BL59" s="73"/>
      <c r="BM59" s="76"/>
      <c r="BN59" s="74"/>
      <c r="BO59" s="75"/>
      <c r="BP59" s="66"/>
      <c r="BQ59" s="74"/>
    </row>
    <row r="60" spans="1:69" s="44" customFormat="1" ht="22.35" customHeight="1" x14ac:dyDescent="0.2">
      <c r="A60" s="100"/>
      <c r="B60" s="100"/>
      <c r="C60" s="100"/>
      <c r="D60" s="54"/>
      <c r="E60" s="55"/>
      <c r="F60" s="56"/>
      <c r="G60" s="56"/>
      <c r="H60" s="57"/>
      <c r="I60" s="58"/>
      <c r="J60" s="58"/>
      <c r="K60" s="55"/>
      <c r="L60" s="59"/>
      <c r="M60" s="59"/>
      <c r="N60" s="59"/>
      <c r="O60" s="54"/>
      <c r="P60" s="60"/>
      <c r="Q60" s="66"/>
      <c r="R60" s="67"/>
      <c r="S60" s="56"/>
      <c r="T60" s="56"/>
      <c r="U60" s="63"/>
      <c r="V60" s="64"/>
      <c r="W60" s="55"/>
      <c r="X60" s="63"/>
      <c r="Y60" s="54"/>
      <c r="Z60" s="65"/>
      <c r="AA60" s="66"/>
      <c r="AB60" s="67"/>
      <c r="AC60" s="56"/>
      <c r="AD60" s="56"/>
      <c r="AE60" s="64"/>
      <c r="AF60" s="64"/>
      <c r="AG60" s="55"/>
      <c r="AH60" s="68"/>
      <c r="AI60" s="54"/>
      <c r="AJ60" s="69"/>
      <c r="AK60" s="76"/>
      <c r="AL60" s="59"/>
      <c r="AM60" s="56"/>
      <c r="AN60" s="56"/>
      <c r="AO60" s="64"/>
      <c r="AP60" s="64"/>
      <c r="AQ60" s="55"/>
      <c r="AR60" s="68"/>
      <c r="AS60" s="54"/>
      <c r="AT60" s="69"/>
      <c r="AU60" s="61"/>
      <c r="AV60" s="62"/>
      <c r="AW60" s="56"/>
      <c r="AX60" s="56"/>
      <c r="AY60" s="64"/>
      <c r="AZ60" s="64"/>
      <c r="BA60" s="55"/>
      <c r="BB60" s="72"/>
      <c r="BC60" s="68"/>
      <c r="BD60" s="69"/>
      <c r="BE60" s="66"/>
      <c r="BF60" s="67"/>
      <c r="BG60" s="56"/>
      <c r="BH60" s="56"/>
      <c r="BI60" s="64"/>
      <c r="BJ60" s="64"/>
      <c r="BK60" s="57"/>
      <c r="BL60" s="73"/>
      <c r="BM60" s="76"/>
      <c r="BN60" s="74"/>
      <c r="BO60" s="75"/>
      <c r="BP60" s="66"/>
      <c r="BQ60" s="74"/>
    </row>
    <row r="61" spans="1:69" s="44" customFormat="1" ht="22.35" customHeight="1" x14ac:dyDescent="0.2">
      <c r="A61" s="100"/>
      <c r="B61" s="100"/>
      <c r="C61" s="100"/>
      <c r="D61" s="54"/>
      <c r="E61" s="55"/>
      <c r="F61" s="56"/>
      <c r="G61" s="56"/>
      <c r="H61" s="57"/>
      <c r="I61" s="58"/>
      <c r="J61" s="58"/>
      <c r="K61" s="55"/>
      <c r="L61" s="59"/>
      <c r="M61" s="59"/>
      <c r="N61" s="59"/>
      <c r="O61" s="54"/>
      <c r="P61" s="60"/>
      <c r="Q61" s="66"/>
      <c r="R61" s="67"/>
      <c r="S61" s="56"/>
      <c r="T61" s="56"/>
      <c r="U61" s="63"/>
      <c r="V61" s="64"/>
      <c r="W61" s="55"/>
      <c r="X61" s="63"/>
      <c r="Y61" s="54"/>
      <c r="Z61" s="65"/>
      <c r="AA61" s="70"/>
      <c r="AB61" s="71"/>
      <c r="AC61" s="56"/>
      <c r="AD61" s="56"/>
      <c r="AE61" s="64"/>
      <c r="AF61" s="64"/>
      <c r="AG61" s="55"/>
      <c r="AH61" s="68"/>
      <c r="AI61" s="54"/>
      <c r="AJ61" s="69"/>
      <c r="AK61" s="76"/>
      <c r="AL61" s="59"/>
      <c r="AM61" s="56"/>
      <c r="AN61" s="56"/>
      <c r="AO61" s="64"/>
      <c r="AP61" s="64"/>
      <c r="AQ61" s="55"/>
      <c r="AR61" s="68"/>
      <c r="AS61" s="54"/>
      <c r="AT61" s="69"/>
      <c r="AU61" s="61"/>
      <c r="AV61" s="62"/>
      <c r="AW61" s="56"/>
      <c r="AX61" s="56"/>
      <c r="AY61" s="64"/>
      <c r="AZ61" s="64"/>
      <c r="BA61" s="55"/>
      <c r="BB61" s="72"/>
      <c r="BC61" s="68"/>
      <c r="BD61" s="69"/>
      <c r="BE61" s="66"/>
      <c r="BF61" s="67"/>
      <c r="BG61" s="56"/>
      <c r="BH61" s="56"/>
      <c r="BI61" s="64"/>
      <c r="BJ61" s="64"/>
      <c r="BK61" s="57"/>
      <c r="BL61" s="73"/>
      <c r="BM61" s="61"/>
      <c r="BN61" s="74"/>
      <c r="BO61" s="75"/>
      <c r="BP61" s="66"/>
      <c r="BQ61" s="74"/>
    </row>
    <row r="62" spans="1:69" s="44" customFormat="1" ht="22.35" customHeight="1" x14ac:dyDescent="0.2">
      <c r="A62" s="100"/>
      <c r="B62" s="100"/>
      <c r="C62" s="100"/>
      <c r="D62" s="54"/>
      <c r="E62" s="55"/>
      <c r="F62" s="56"/>
      <c r="G62" s="56"/>
      <c r="H62" s="57"/>
      <c r="I62" s="58"/>
      <c r="J62" s="58"/>
      <c r="K62" s="55"/>
      <c r="L62" s="59"/>
      <c r="M62" s="59"/>
      <c r="N62" s="59"/>
      <c r="O62" s="54"/>
      <c r="P62" s="60"/>
      <c r="Q62" s="66"/>
      <c r="R62" s="67"/>
      <c r="S62" s="56"/>
      <c r="T62" s="56"/>
      <c r="U62" s="63"/>
      <c r="V62" s="64"/>
      <c r="W62" s="55"/>
      <c r="X62" s="63"/>
      <c r="Y62" s="54"/>
      <c r="Z62" s="65"/>
      <c r="AA62" s="70"/>
      <c r="AB62" s="71"/>
      <c r="AC62" s="56"/>
      <c r="AD62" s="56"/>
      <c r="AE62" s="64"/>
      <c r="AF62" s="64"/>
      <c r="AG62" s="55"/>
      <c r="AH62" s="68"/>
      <c r="AI62" s="54"/>
      <c r="AJ62" s="69"/>
      <c r="AK62" s="66"/>
      <c r="AL62" s="67"/>
      <c r="AM62" s="56"/>
      <c r="AN62" s="56"/>
      <c r="AO62" s="64"/>
      <c r="AP62" s="64"/>
      <c r="AQ62" s="55"/>
      <c r="AR62" s="68"/>
      <c r="AS62" s="54"/>
      <c r="AT62" s="69"/>
      <c r="AU62" s="76"/>
      <c r="AV62" s="59"/>
      <c r="AW62" s="56"/>
      <c r="AX62" s="56"/>
      <c r="AY62" s="64"/>
      <c r="AZ62" s="64"/>
      <c r="BA62" s="55"/>
      <c r="BB62" s="72"/>
      <c r="BC62" s="68"/>
      <c r="BD62" s="69"/>
      <c r="BE62" s="66"/>
      <c r="BF62" s="67"/>
      <c r="BG62" s="56"/>
      <c r="BH62" s="56"/>
      <c r="BI62" s="64"/>
      <c r="BJ62" s="64"/>
      <c r="BK62" s="57"/>
      <c r="BL62" s="73"/>
      <c r="BM62" s="76"/>
      <c r="BN62" s="74"/>
      <c r="BO62" s="75"/>
      <c r="BP62" s="66"/>
      <c r="BQ62" s="74"/>
    </row>
    <row r="63" spans="1:69" s="44" customFormat="1" ht="22.35" customHeight="1" x14ac:dyDescent="0.2">
      <c r="A63" s="100"/>
      <c r="B63" s="100"/>
      <c r="C63" s="100"/>
      <c r="D63" s="54"/>
      <c r="E63" s="55"/>
      <c r="F63" s="56"/>
      <c r="G63" s="56"/>
      <c r="H63" s="57"/>
      <c r="I63" s="58"/>
      <c r="J63" s="58"/>
      <c r="K63" s="55"/>
      <c r="L63" s="59"/>
      <c r="M63" s="59"/>
      <c r="N63" s="59"/>
      <c r="O63" s="54"/>
      <c r="P63" s="60"/>
      <c r="Q63" s="66"/>
      <c r="R63" s="67"/>
      <c r="S63" s="56"/>
      <c r="T63" s="56"/>
      <c r="U63" s="63"/>
      <c r="V63" s="64"/>
      <c r="W63" s="55"/>
      <c r="X63" s="63"/>
      <c r="Y63" s="54"/>
      <c r="Z63" s="65"/>
      <c r="AA63" s="70"/>
      <c r="AB63" s="71"/>
      <c r="AC63" s="56"/>
      <c r="AD63" s="56"/>
      <c r="AE63" s="64"/>
      <c r="AF63" s="64"/>
      <c r="AG63" s="55"/>
      <c r="AH63" s="68"/>
      <c r="AI63" s="54"/>
      <c r="AJ63" s="69"/>
      <c r="AK63" s="70"/>
      <c r="AL63" s="71"/>
      <c r="AM63" s="56"/>
      <c r="AN63" s="56"/>
      <c r="AO63" s="64"/>
      <c r="AP63" s="64"/>
      <c r="AQ63" s="55"/>
      <c r="AR63" s="68"/>
      <c r="AS63" s="54"/>
      <c r="AT63" s="69"/>
      <c r="AU63" s="61"/>
      <c r="AV63" s="62"/>
      <c r="AW63" s="56"/>
      <c r="AX63" s="56"/>
      <c r="AY63" s="64"/>
      <c r="AZ63" s="64"/>
      <c r="BA63" s="55"/>
      <c r="BB63" s="72"/>
      <c r="BC63" s="68"/>
      <c r="BD63" s="69"/>
      <c r="BE63" s="66"/>
      <c r="BF63" s="67"/>
      <c r="BG63" s="56"/>
      <c r="BH63" s="56"/>
      <c r="BI63" s="64"/>
      <c r="BJ63" s="64"/>
      <c r="BK63" s="57"/>
      <c r="BL63" s="73"/>
      <c r="BM63" s="76"/>
      <c r="BN63" s="74"/>
      <c r="BO63" s="75"/>
      <c r="BP63" s="61"/>
      <c r="BQ63" s="74"/>
    </row>
    <row r="64" spans="1:69" s="44" customFormat="1" ht="22.35" customHeight="1" x14ac:dyDescent="0.2">
      <c r="A64" s="100"/>
      <c r="B64" s="100"/>
      <c r="C64" s="100"/>
      <c r="D64" s="54"/>
      <c r="E64" s="55"/>
      <c r="F64" s="56"/>
      <c r="G64" s="56"/>
      <c r="H64" s="57"/>
      <c r="I64" s="58"/>
      <c r="J64" s="58"/>
      <c r="K64" s="55"/>
      <c r="L64" s="59"/>
      <c r="M64" s="59"/>
      <c r="N64" s="59"/>
      <c r="O64" s="54"/>
      <c r="P64" s="60"/>
      <c r="Q64" s="66"/>
      <c r="R64" s="67"/>
      <c r="S64" s="56"/>
      <c r="T64" s="56"/>
      <c r="U64" s="63"/>
      <c r="V64" s="64"/>
      <c r="W64" s="55"/>
      <c r="X64" s="63"/>
      <c r="Y64" s="54"/>
      <c r="Z64" s="65"/>
      <c r="AA64" s="66"/>
      <c r="AB64" s="67"/>
      <c r="AC64" s="56"/>
      <c r="AD64" s="56"/>
      <c r="AE64" s="64"/>
      <c r="AF64" s="64"/>
      <c r="AG64" s="55"/>
      <c r="AH64" s="68"/>
      <c r="AI64" s="54"/>
      <c r="AJ64" s="69"/>
      <c r="AK64" s="76"/>
      <c r="AL64" s="59"/>
      <c r="AM64" s="56"/>
      <c r="AN64" s="56"/>
      <c r="AO64" s="64"/>
      <c r="AP64" s="64"/>
      <c r="AQ64" s="55"/>
      <c r="AR64" s="68"/>
      <c r="AS64" s="54"/>
      <c r="AT64" s="69"/>
      <c r="AU64" s="61"/>
      <c r="AV64" s="62"/>
      <c r="AW64" s="56"/>
      <c r="AX64" s="56"/>
      <c r="AY64" s="64"/>
      <c r="AZ64" s="64"/>
      <c r="BA64" s="55"/>
      <c r="BB64" s="72"/>
      <c r="BC64" s="68"/>
      <c r="BD64" s="69"/>
      <c r="BE64" s="66"/>
      <c r="BF64" s="67"/>
      <c r="BG64" s="56"/>
      <c r="BH64" s="56"/>
      <c r="BI64" s="64"/>
      <c r="BJ64" s="64"/>
      <c r="BK64" s="57"/>
      <c r="BL64" s="73"/>
      <c r="BM64" s="61"/>
      <c r="BN64" s="74"/>
      <c r="BO64" s="75"/>
      <c r="BP64" s="66"/>
      <c r="BQ64" s="74"/>
    </row>
    <row r="65" spans="1:69" s="44" customFormat="1" ht="22.35" customHeight="1" x14ac:dyDescent="0.2">
      <c r="A65" s="100"/>
      <c r="B65" s="100"/>
      <c r="C65" s="100"/>
      <c r="D65" s="54"/>
      <c r="E65" s="55"/>
      <c r="F65" s="56"/>
      <c r="G65" s="56"/>
      <c r="H65" s="57"/>
      <c r="I65" s="58"/>
      <c r="J65" s="58"/>
      <c r="K65" s="55"/>
      <c r="L65" s="59"/>
      <c r="M65" s="59"/>
      <c r="N65" s="59"/>
      <c r="O65" s="54"/>
      <c r="P65" s="60"/>
      <c r="Q65" s="66"/>
      <c r="R65" s="67"/>
      <c r="S65" s="56"/>
      <c r="T65" s="56"/>
      <c r="U65" s="63"/>
      <c r="V65" s="64"/>
      <c r="W65" s="55"/>
      <c r="X65" s="63"/>
      <c r="Y65" s="54"/>
      <c r="Z65" s="65"/>
      <c r="AA65" s="76"/>
      <c r="AB65" s="59"/>
      <c r="AC65" s="56"/>
      <c r="AD65" s="56"/>
      <c r="AE65" s="64"/>
      <c r="AF65" s="64"/>
      <c r="AG65" s="55"/>
      <c r="AH65" s="68"/>
      <c r="AI65" s="54"/>
      <c r="AJ65" s="69"/>
      <c r="AK65" s="76"/>
      <c r="AL65" s="59"/>
      <c r="AM65" s="56"/>
      <c r="AN65" s="56"/>
      <c r="AO65" s="64"/>
      <c r="AP65" s="64"/>
      <c r="AQ65" s="55"/>
      <c r="AR65" s="68"/>
      <c r="AS65" s="54"/>
      <c r="AT65" s="69"/>
      <c r="AU65" s="61"/>
      <c r="AV65" s="62"/>
      <c r="AW65" s="56"/>
      <c r="AX65" s="56"/>
      <c r="AY65" s="64"/>
      <c r="AZ65" s="64"/>
      <c r="BA65" s="55"/>
      <c r="BB65" s="72"/>
      <c r="BC65" s="68"/>
      <c r="BD65" s="69"/>
      <c r="BE65" s="66"/>
      <c r="BF65" s="67"/>
      <c r="BG65" s="56"/>
      <c r="BH65" s="56"/>
      <c r="BI65" s="64"/>
      <c r="BJ65" s="64"/>
      <c r="BK65" s="57"/>
      <c r="BL65" s="73"/>
      <c r="BM65" s="61"/>
      <c r="BN65" s="74"/>
      <c r="BO65" s="75"/>
      <c r="BP65" s="76"/>
      <c r="BQ65" s="74"/>
    </row>
    <row r="66" spans="1:69" s="44" customFormat="1" ht="22.35" customHeight="1" x14ac:dyDescent="0.2">
      <c r="A66" s="100"/>
      <c r="B66" s="100"/>
      <c r="C66" s="100"/>
      <c r="D66" s="54"/>
      <c r="E66" s="55"/>
      <c r="F66" s="56"/>
      <c r="G66" s="56"/>
      <c r="H66" s="57"/>
      <c r="I66" s="58"/>
      <c r="J66" s="58"/>
      <c r="K66" s="55"/>
      <c r="L66" s="59"/>
      <c r="M66" s="59"/>
      <c r="N66" s="59"/>
      <c r="O66" s="54"/>
      <c r="P66" s="60"/>
      <c r="Q66" s="66"/>
      <c r="R66" s="67"/>
      <c r="S66" s="56"/>
      <c r="T66" s="56"/>
      <c r="U66" s="63"/>
      <c r="V66" s="64"/>
      <c r="W66" s="55"/>
      <c r="X66" s="63"/>
      <c r="Y66" s="54"/>
      <c r="Z66" s="65"/>
      <c r="AA66" s="66"/>
      <c r="AB66" s="67"/>
      <c r="AC66" s="56"/>
      <c r="AD66" s="56"/>
      <c r="AE66" s="64"/>
      <c r="AF66" s="64"/>
      <c r="AG66" s="55"/>
      <c r="AH66" s="68"/>
      <c r="AI66" s="54"/>
      <c r="AJ66" s="69"/>
      <c r="AK66" s="61"/>
      <c r="AL66" s="62"/>
      <c r="AM66" s="56"/>
      <c r="AN66" s="56"/>
      <c r="AO66" s="64"/>
      <c r="AP66" s="64"/>
      <c r="AQ66" s="55"/>
      <c r="AR66" s="68"/>
      <c r="AS66" s="54"/>
      <c r="AT66" s="69"/>
      <c r="AU66" s="61"/>
      <c r="AV66" s="62"/>
      <c r="AW66" s="56"/>
      <c r="AX66" s="56"/>
      <c r="AY66" s="64"/>
      <c r="AZ66" s="64"/>
      <c r="BA66" s="55"/>
      <c r="BB66" s="72"/>
      <c r="BC66" s="68"/>
      <c r="BD66" s="69"/>
      <c r="BE66" s="76"/>
      <c r="BF66" s="59"/>
      <c r="BG66" s="56"/>
      <c r="BH66" s="56"/>
      <c r="BI66" s="64"/>
      <c r="BJ66" s="64"/>
      <c r="BK66" s="57"/>
      <c r="BL66" s="73"/>
      <c r="BM66" s="76"/>
      <c r="BN66" s="74"/>
      <c r="BO66" s="75"/>
      <c r="BP66" s="66"/>
      <c r="BQ66" s="74"/>
    </row>
    <row r="67" spans="1:69" s="44" customFormat="1" ht="22.35" customHeight="1" x14ac:dyDescent="0.2">
      <c r="A67" s="100"/>
      <c r="B67" s="100"/>
      <c r="C67" s="100"/>
      <c r="D67" s="54"/>
      <c r="E67" s="55"/>
      <c r="F67" s="56"/>
      <c r="G67" s="56"/>
      <c r="H67" s="57"/>
      <c r="I67" s="58"/>
      <c r="J67" s="58"/>
      <c r="K67" s="55"/>
      <c r="L67" s="59"/>
      <c r="M67" s="59"/>
      <c r="N67" s="59"/>
      <c r="O67" s="54"/>
      <c r="P67" s="60"/>
      <c r="Q67" s="66"/>
      <c r="R67" s="67"/>
      <c r="S67" s="56"/>
      <c r="T67" s="56"/>
      <c r="U67" s="63"/>
      <c r="V67" s="64"/>
      <c r="W67" s="55"/>
      <c r="X67" s="63"/>
      <c r="Y67" s="54"/>
      <c r="Z67" s="65"/>
      <c r="AA67" s="76"/>
      <c r="AB67" s="59"/>
      <c r="AC67" s="56"/>
      <c r="AD67" s="56"/>
      <c r="AE67" s="64"/>
      <c r="AF67" s="64"/>
      <c r="AG67" s="55"/>
      <c r="AH67" s="68"/>
      <c r="AI67" s="54"/>
      <c r="AJ67" s="69"/>
      <c r="AK67" s="61"/>
      <c r="AL67" s="62"/>
      <c r="AM67" s="56"/>
      <c r="AN67" s="56"/>
      <c r="AO67" s="64"/>
      <c r="AP67" s="64"/>
      <c r="AQ67" s="55"/>
      <c r="AR67" s="68"/>
      <c r="AS67" s="54"/>
      <c r="AT67" s="69"/>
      <c r="AU67" s="61"/>
      <c r="AV67" s="62"/>
      <c r="AW67" s="56"/>
      <c r="AX67" s="56"/>
      <c r="AY67" s="64"/>
      <c r="AZ67" s="64"/>
      <c r="BA67" s="55"/>
      <c r="BB67" s="72"/>
      <c r="BC67" s="68"/>
      <c r="BD67" s="69"/>
      <c r="BE67" s="66"/>
      <c r="BF67" s="67"/>
      <c r="BG67" s="56"/>
      <c r="BH67" s="56"/>
      <c r="BI67" s="64"/>
      <c r="BJ67" s="64"/>
      <c r="BK67" s="57"/>
      <c r="BL67" s="73"/>
      <c r="BM67" s="76"/>
      <c r="BN67" s="74"/>
      <c r="BO67" s="75"/>
      <c r="BP67" s="66"/>
      <c r="BQ67" s="74"/>
    </row>
    <row r="68" spans="1:69" s="44" customFormat="1" ht="22.35" customHeight="1" x14ac:dyDescent="0.2">
      <c r="A68" s="100"/>
      <c r="B68" s="100"/>
      <c r="C68" s="100"/>
      <c r="D68" s="54"/>
      <c r="E68" s="55"/>
      <c r="F68" s="56"/>
      <c r="G68" s="56"/>
      <c r="H68" s="57"/>
      <c r="I68" s="58"/>
      <c r="J68" s="58"/>
      <c r="K68" s="55"/>
      <c r="L68" s="59"/>
      <c r="M68" s="59"/>
      <c r="N68" s="59"/>
      <c r="O68" s="54"/>
      <c r="P68" s="60"/>
      <c r="Q68" s="66"/>
      <c r="R68" s="67"/>
      <c r="S68" s="56"/>
      <c r="T68" s="56"/>
      <c r="U68" s="63"/>
      <c r="V68" s="64"/>
      <c r="W68" s="55"/>
      <c r="X68" s="63"/>
      <c r="Y68" s="54"/>
      <c r="Z68" s="65"/>
      <c r="AA68" s="70"/>
      <c r="AB68" s="71"/>
      <c r="AC68" s="56"/>
      <c r="AD68" s="56"/>
      <c r="AE68" s="64"/>
      <c r="AF68" s="64"/>
      <c r="AG68" s="55"/>
      <c r="AH68" s="68"/>
      <c r="AI68" s="54"/>
      <c r="AJ68" s="69"/>
      <c r="AK68" s="70"/>
      <c r="AL68" s="71"/>
      <c r="AM68" s="56"/>
      <c r="AN68" s="56"/>
      <c r="AO68" s="64"/>
      <c r="AP68" s="64"/>
      <c r="AQ68" s="55"/>
      <c r="AR68" s="68"/>
      <c r="AS68" s="54"/>
      <c r="AT68" s="69"/>
      <c r="AU68" s="61"/>
      <c r="AV68" s="62"/>
      <c r="AW68" s="56"/>
      <c r="AX68" s="56"/>
      <c r="AY68" s="64"/>
      <c r="AZ68" s="64"/>
      <c r="BA68" s="55"/>
      <c r="BB68" s="72"/>
      <c r="BC68" s="68"/>
      <c r="BD68" s="69"/>
      <c r="BE68" s="66"/>
      <c r="BF68" s="67"/>
      <c r="BG68" s="56"/>
      <c r="BH68" s="56"/>
      <c r="BI68" s="64"/>
      <c r="BJ68" s="64"/>
      <c r="BK68" s="57"/>
      <c r="BL68" s="73"/>
      <c r="BM68" s="76"/>
      <c r="BN68" s="74"/>
      <c r="BO68" s="75"/>
      <c r="BP68" s="66"/>
      <c r="BQ68" s="74"/>
    </row>
    <row r="69" spans="1:69" s="44" customFormat="1" ht="22.35" customHeight="1" x14ac:dyDescent="0.2">
      <c r="A69" s="100"/>
      <c r="B69" s="100"/>
      <c r="C69" s="100"/>
      <c r="D69" s="54"/>
      <c r="E69" s="55"/>
      <c r="F69" s="56"/>
      <c r="G69" s="56"/>
      <c r="H69" s="57"/>
      <c r="I69" s="58"/>
      <c r="J69" s="58"/>
      <c r="K69" s="55"/>
      <c r="L69" s="59"/>
      <c r="M69" s="59"/>
      <c r="N69" s="59"/>
      <c r="O69" s="54"/>
      <c r="P69" s="60"/>
      <c r="Q69" s="61"/>
      <c r="R69" s="62"/>
      <c r="S69" s="56"/>
      <c r="T69" s="56"/>
      <c r="U69" s="63"/>
      <c r="V69" s="64"/>
      <c r="W69" s="55"/>
      <c r="X69" s="63"/>
      <c r="Y69" s="54"/>
      <c r="Z69" s="65"/>
      <c r="AA69" s="61"/>
      <c r="AB69" s="62"/>
      <c r="AC69" s="56"/>
      <c r="AD69" s="56"/>
      <c r="AE69" s="64"/>
      <c r="AF69" s="64"/>
      <c r="AG69" s="55"/>
      <c r="AH69" s="68"/>
      <c r="AI69" s="54"/>
      <c r="AJ69" s="69"/>
      <c r="AK69" s="70"/>
      <c r="AL69" s="71"/>
      <c r="AM69" s="56"/>
      <c r="AN69" s="56"/>
      <c r="AO69" s="64"/>
      <c r="AP69" s="64"/>
      <c r="AQ69" s="55"/>
      <c r="AR69" s="68"/>
      <c r="AS69" s="54"/>
      <c r="AT69" s="69"/>
      <c r="AU69" s="70"/>
      <c r="AV69" s="71"/>
      <c r="AW69" s="56"/>
      <c r="AX69" s="56"/>
      <c r="AY69" s="64"/>
      <c r="AZ69" s="64"/>
      <c r="BA69" s="55"/>
      <c r="BB69" s="72"/>
      <c r="BC69" s="68"/>
      <c r="BD69" s="69"/>
      <c r="BE69" s="66"/>
      <c r="BF69" s="67"/>
      <c r="BG69" s="56"/>
      <c r="BH69" s="56"/>
      <c r="BI69" s="64"/>
      <c r="BJ69" s="64"/>
      <c r="BK69" s="57"/>
      <c r="BL69" s="73"/>
      <c r="BM69" s="61"/>
      <c r="BN69" s="74"/>
      <c r="BO69" s="75"/>
      <c r="BP69" s="66"/>
      <c r="BQ69" s="74"/>
    </row>
    <row r="70" spans="1:69" s="44" customFormat="1" ht="22.35" customHeight="1" x14ac:dyDescent="0.2">
      <c r="A70" s="100"/>
      <c r="B70" s="100"/>
      <c r="C70" s="100"/>
      <c r="D70" s="54"/>
      <c r="E70" s="55"/>
      <c r="F70" s="56"/>
      <c r="G70" s="56"/>
      <c r="H70" s="57"/>
      <c r="I70" s="58"/>
      <c r="J70" s="58"/>
      <c r="K70" s="55"/>
      <c r="L70" s="59"/>
      <c r="M70" s="59"/>
      <c r="N70" s="59"/>
      <c r="O70" s="54"/>
      <c r="P70" s="60"/>
      <c r="Q70" s="66"/>
      <c r="R70" s="67"/>
      <c r="S70" s="56"/>
      <c r="T70" s="56"/>
      <c r="U70" s="63"/>
      <c r="V70" s="64"/>
      <c r="W70" s="55"/>
      <c r="X70" s="63"/>
      <c r="Y70" s="54"/>
      <c r="Z70" s="65"/>
      <c r="AA70" s="76"/>
      <c r="AB70" s="59"/>
      <c r="AC70" s="56"/>
      <c r="AD70" s="56"/>
      <c r="AE70" s="64"/>
      <c r="AF70" s="64"/>
      <c r="AG70" s="55"/>
      <c r="AH70" s="68"/>
      <c r="AI70" s="54"/>
      <c r="AJ70" s="69"/>
      <c r="AK70" s="61"/>
      <c r="AL70" s="62"/>
      <c r="AM70" s="56"/>
      <c r="AN70" s="56"/>
      <c r="AO70" s="64"/>
      <c r="AP70" s="64"/>
      <c r="AQ70" s="55"/>
      <c r="AR70" s="68"/>
      <c r="AS70" s="54"/>
      <c r="AT70" s="69"/>
      <c r="AU70" s="70"/>
      <c r="AV70" s="71"/>
      <c r="AW70" s="56"/>
      <c r="AX70" s="56"/>
      <c r="AY70" s="64"/>
      <c r="AZ70" s="64"/>
      <c r="BA70" s="55"/>
      <c r="BB70" s="72"/>
      <c r="BC70" s="68"/>
      <c r="BD70" s="69"/>
      <c r="BE70" s="66"/>
      <c r="BF70" s="67"/>
      <c r="BG70" s="56"/>
      <c r="BH70" s="56"/>
      <c r="BI70" s="64"/>
      <c r="BJ70" s="64"/>
      <c r="BK70" s="57"/>
      <c r="BL70" s="73"/>
      <c r="BM70" s="61"/>
      <c r="BN70" s="74"/>
      <c r="BO70" s="75"/>
      <c r="BP70" s="66"/>
      <c r="BQ70" s="74"/>
    </row>
    <row r="71" spans="1:69" s="44" customFormat="1" ht="22.35" customHeight="1" x14ac:dyDescent="0.2">
      <c r="A71" s="100"/>
      <c r="B71" s="100"/>
      <c r="C71" s="100"/>
      <c r="D71" s="54"/>
      <c r="E71" s="55"/>
      <c r="F71" s="56"/>
      <c r="G71" s="56"/>
      <c r="H71" s="57"/>
      <c r="I71" s="58"/>
      <c r="J71" s="58"/>
      <c r="K71" s="55"/>
      <c r="L71" s="59"/>
      <c r="M71" s="59"/>
      <c r="N71" s="59"/>
      <c r="O71" s="54"/>
      <c r="P71" s="60"/>
      <c r="Q71" s="66"/>
      <c r="R71" s="67"/>
      <c r="S71" s="56"/>
      <c r="T71" s="56"/>
      <c r="U71" s="63"/>
      <c r="V71" s="64"/>
      <c r="W71" s="55"/>
      <c r="X71" s="63"/>
      <c r="Y71" s="54"/>
      <c r="Z71" s="65"/>
      <c r="AA71" s="70"/>
      <c r="AB71" s="71"/>
      <c r="AC71" s="56"/>
      <c r="AD71" s="56"/>
      <c r="AE71" s="64"/>
      <c r="AF71" s="64"/>
      <c r="AG71" s="55"/>
      <c r="AH71" s="68"/>
      <c r="AI71" s="54"/>
      <c r="AJ71" s="69"/>
      <c r="AK71" s="76"/>
      <c r="AL71" s="59"/>
      <c r="AM71" s="56"/>
      <c r="AN71" s="56"/>
      <c r="AO71" s="64"/>
      <c r="AP71" s="64"/>
      <c r="AQ71" s="55"/>
      <c r="AR71" s="68"/>
      <c r="AS71" s="54"/>
      <c r="AT71" s="69"/>
      <c r="AU71" s="61"/>
      <c r="AV71" s="62"/>
      <c r="AW71" s="56"/>
      <c r="AX71" s="56"/>
      <c r="AY71" s="64"/>
      <c r="AZ71" s="64"/>
      <c r="BA71" s="55"/>
      <c r="BB71" s="72"/>
      <c r="BC71" s="68"/>
      <c r="BD71" s="69"/>
      <c r="BE71" s="66"/>
      <c r="BF71" s="67"/>
      <c r="BG71" s="56"/>
      <c r="BH71" s="56"/>
      <c r="BI71" s="64"/>
      <c r="BJ71" s="64"/>
      <c r="BK71" s="57"/>
      <c r="BL71" s="73"/>
      <c r="BM71" s="76"/>
      <c r="BN71" s="74"/>
      <c r="BO71" s="75"/>
      <c r="BP71" s="66"/>
      <c r="BQ71" s="74"/>
    </row>
    <row r="72" spans="1:69" s="44" customFormat="1" ht="22.35" customHeight="1" x14ac:dyDescent="0.2">
      <c r="A72" s="100"/>
      <c r="B72" s="100"/>
      <c r="C72" s="100"/>
      <c r="D72" s="54"/>
      <c r="E72" s="55"/>
      <c r="F72" s="56"/>
      <c r="G72" s="56"/>
      <c r="H72" s="57"/>
      <c r="I72" s="58"/>
      <c r="J72" s="58"/>
      <c r="K72" s="55"/>
      <c r="L72" s="59"/>
      <c r="M72" s="59"/>
      <c r="N72" s="59"/>
      <c r="O72" s="54"/>
      <c r="P72" s="60"/>
      <c r="Q72" s="66"/>
      <c r="R72" s="67"/>
      <c r="S72" s="56"/>
      <c r="T72" s="56"/>
      <c r="U72" s="63"/>
      <c r="V72" s="64"/>
      <c r="W72" s="55"/>
      <c r="X72" s="63"/>
      <c r="Y72" s="54"/>
      <c r="Z72" s="65"/>
      <c r="AA72" s="66"/>
      <c r="AB72" s="67"/>
      <c r="AC72" s="56"/>
      <c r="AD72" s="56"/>
      <c r="AE72" s="64"/>
      <c r="AF72" s="64"/>
      <c r="AG72" s="55"/>
      <c r="AH72" s="68"/>
      <c r="AI72" s="54"/>
      <c r="AJ72" s="69"/>
      <c r="AK72" s="66"/>
      <c r="AL72" s="67"/>
      <c r="AM72" s="56"/>
      <c r="AN72" s="56"/>
      <c r="AO72" s="64"/>
      <c r="AP72" s="64"/>
      <c r="AQ72" s="55"/>
      <c r="AR72" s="68"/>
      <c r="AS72" s="54"/>
      <c r="AT72" s="69"/>
      <c r="AU72" s="66"/>
      <c r="AV72" s="67"/>
      <c r="AW72" s="56"/>
      <c r="AX72" s="56"/>
      <c r="AY72" s="64"/>
      <c r="AZ72" s="64"/>
      <c r="BA72" s="55"/>
      <c r="BB72" s="72"/>
      <c r="BC72" s="68"/>
      <c r="BD72" s="69"/>
      <c r="BE72" s="66"/>
      <c r="BF72" s="67"/>
      <c r="BG72" s="56"/>
      <c r="BH72" s="56"/>
      <c r="BI72" s="64"/>
      <c r="BJ72" s="64"/>
      <c r="BK72" s="57"/>
      <c r="BL72" s="73"/>
      <c r="BM72" s="61"/>
      <c r="BN72" s="74"/>
      <c r="BO72" s="75"/>
      <c r="BP72" s="70"/>
      <c r="BQ72" s="74"/>
    </row>
    <row r="73" spans="1:69" s="44" customFormat="1" ht="22.35" customHeight="1" x14ac:dyDescent="0.2">
      <c r="A73" s="100"/>
      <c r="B73" s="100"/>
      <c r="C73" s="100"/>
      <c r="D73" s="54"/>
      <c r="E73" s="55"/>
      <c r="F73" s="56"/>
      <c r="G73" s="56"/>
      <c r="H73" s="57"/>
      <c r="I73" s="58"/>
      <c r="J73" s="58"/>
      <c r="K73" s="55"/>
      <c r="L73" s="59"/>
      <c r="M73" s="59"/>
      <c r="N73" s="59"/>
      <c r="O73" s="54"/>
      <c r="P73" s="60"/>
      <c r="Q73" s="66"/>
      <c r="R73" s="67"/>
      <c r="S73" s="56"/>
      <c r="T73" s="56"/>
      <c r="U73" s="63"/>
      <c r="V73" s="64"/>
      <c r="W73" s="55"/>
      <c r="X73" s="63"/>
      <c r="Y73" s="54"/>
      <c r="Z73" s="65"/>
      <c r="AA73" s="66"/>
      <c r="AB73" s="67"/>
      <c r="AC73" s="56"/>
      <c r="AD73" s="56"/>
      <c r="AE73" s="64"/>
      <c r="AF73" s="64"/>
      <c r="AG73" s="55"/>
      <c r="AH73" s="68"/>
      <c r="AI73" s="54"/>
      <c r="AJ73" s="69"/>
      <c r="AK73" s="70"/>
      <c r="AL73" s="71"/>
      <c r="AM73" s="56"/>
      <c r="AN73" s="56"/>
      <c r="AO73" s="64"/>
      <c r="AP73" s="64"/>
      <c r="AQ73" s="55"/>
      <c r="AR73" s="68"/>
      <c r="AS73" s="54"/>
      <c r="AT73" s="69"/>
      <c r="AU73" s="61"/>
      <c r="AV73" s="62"/>
      <c r="AW73" s="56"/>
      <c r="AX73" s="56"/>
      <c r="AY73" s="64"/>
      <c r="AZ73" s="64"/>
      <c r="BA73" s="55"/>
      <c r="BB73" s="72"/>
      <c r="BC73" s="68"/>
      <c r="BD73" s="69"/>
      <c r="BE73" s="66"/>
      <c r="BF73" s="67"/>
      <c r="BG73" s="56"/>
      <c r="BH73" s="56"/>
      <c r="BI73" s="64"/>
      <c r="BJ73" s="64"/>
      <c r="BK73" s="57"/>
      <c r="BL73" s="73"/>
      <c r="BM73" s="76"/>
      <c r="BN73" s="74"/>
      <c r="BO73" s="75"/>
      <c r="BP73" s="66"/>
      <c r="BQ73" s="74"/>
    </row>
    <row r="74" spans="1:69" s="44" customFormat="1" ht="22.35" customHeight="1" x14ac:dyDescent="0.2">
      <c r="A74" s="100"/>
      <c r="B74" s="100"/>
      <c r="C74" s="100"/>
      <c r="D74" s="54"/>
      <c r="E74" s="55"/>
      <c r="F74" s="56"/>
      <c r="G74" s="56"/>
      <c r="H74" s="57"/>
      <c r="I74" s="58"/>
      <c r="J74" s="58"/>
      <c r="K74" s="55"/>
      <c r="L74" s="59"/>
      <c r="M74" s="59"/>
      <c r="N74" s="59"/>
      <c r="O74" s="54"/>
      <c r="P74" s="60"/>
      <c r="Q74" s="66"/>
      <c r="R74" s="67"/>
      <c r="S74" s="56"/>
      <c r="T74" s="56"/>
      <c r="U74" s="63"/>
      <c r="V74" s="64"/>
      <c r="W74" s="55"/>
      <c r="X74" s="63"/>
      <c r="Y74" s="54"/>
      <c r="Z74" s="65"/>
      <c r="AA74" s="61"/>
      <c r="AB74" s="62"/>
      <c r="AC74" s="56"/>
      <c r="AD74" s="56"/>
      <c r="AE74" s="64"/>
      <c r="AF74" s="64"/>
      <c r="AG74" s="55"/>
      <c r="AH74" s="68"/>
      <c r="AI74" s="54"/>
      <c r="AJ74" s="69"/>
      <c r="AK74" s="76"/>
      <c r="AL74" s="59"/>
      <c r="AM74" s="56"/>
      <c r="AN74" s="56"/>
      <c r="AO74" s="64"/>
      <c r="AP74" s="64"/>
      <c r="AQ74" s="55"/>
      <c r="AR74" s="68"/>
      <c r="AS74" s="54"/>
      <c r="AT74" s="69"/>
      <c r="AU74" s="66"/>
      <c r="AV74" s="67"/>
      <c r="AW74" s="56"/>
      <c r="AX74" s="56"/>
      <c r="AY74" s="64"/>
      <c r="AZ74" s="64"/>
      <c r="BA74" s="55"/>
      <c r="BB74" s="72"/>
      <c r="BC74" s="68"/>
      <c r="BD74" s="69"/>
      <c r="BE74" s="66"/>
      <c r="BF74" s="67"/>
      <c r="BG74" s="56"/>
      <c r="BH74" s="56"/>
      <c r="BI74" s="64"/>
      <c r="BJ74" s="64"/>
      <c r="BK74" s="57"/>
      <c r="BL74" s="73"/>
      <c r="BM74" s="61"/>
      <c r="BN74" s="74"/>
      <c r="BO74" s="75"/>
      <c r="BP74" s="66"/>
      <c r="BQ74" s="74"/>
    </row>
    <row r="75" spans="1:69" s="44" customFormat="1" ht="22.35" customHeight="1" x14ac:dyDescent="0.2">
      <c r="A75" s="100"/>
      <c r="B75" s="100"/>
      <c r="C75" s="100"/>
      <c r="D75" s="54"/>
      <c r="E75" s="55"/>
      <c r="F75" s="56"/>
      <c r="G75" s="56"/>
      <c r="H75" s="57"/>
      <c r="I75" s="58"/>
      <c r="J75" s="58"/>
      <c r="K75" s="55"/>
      <c r="L75" s="59"/>
      <c r="M75" s="59"/>
      <c r="N75" s="59"/>
      <c r="O75" s="54"/>
      <c r="P75" s="60"/>
      <c r="Q75" s="61"/>
      <c r="R75" s="62"/>
      <c r="S75" s="56"/>
      <c r="T75" s="56"/>
      <c r="U75" s="63"/>
      <c r="V75" s="64"/>
      <c r="W75" s="55"/>
      <c r="X75" s="63"/>
      <c r="Y75" s="54"/>
      <c r="Z75" s="65"/>
      <c r="AA75" s="70"/>
      <c r="AB75" s="71"/>
      <c r="AC75" s="56"/>
      <c r="AD75" s="56"/>
      <c r="AE75" s="64"/>
      <c r="AF75" s="64"/>
      <c r="AG75" s="55"/>
      <c r="AH75" s="68"/>
      <c r="AI75" s="54"/>
      <c r="AJ75" s="69"/>
      <c r="AK75" s="61"/>
      <c r="AL75" s="62"/>
      <c r="AM75" s="56"/>
      <c r="AN75" s="56"/>
      <c r="AO75" s="64"/>
      <c r="AP75" s="64"/>
      <c r="AQ75" s="55"/>
      <c r="AR75" s="68"/>
      <c r="AS75" s="54"/>
      <c r="AT75" s="69"/>
      <c r="AU75" s="61"/>
      <c r="AV75" s="62"/>
      <c r="AW75" s="56"/>
      <c r="AX75" s="56"/>
      <c r="AY75" s="64"/>
      <c r="AZ75" s="64"/>
      <c r="BA75" s="55"/>
      <c r="BB75" s="72"/>
      <c r="BC75" s="68"/>
      <c r="BD75" s="69"/>
      <c r="BE75" s="76"/>
      <c r="BF75" s="59"/>
      <c r="BG75" s="56"/>
      <c r="BH75" s="56"/>
      <c r="BI75" s="64"/>
      <c r="BJ75" s="64"/>
      <c r="BK75" s="57"/>
      <c r="BL75" s="73"/>
      <c r="BM75" s="76"/>
      <c r="BN75" s="74"/>
      <c r="BO75" s="75"/>
      <c r="BP75" s="76"/>
      <c r="BQ75" s="74"/>
    </row>
    <row r="76" spans="1:69" s="44" customFormat="1" ht="22.35" customHeight="1" x14ac:dyDescent="0.2">
      <c r="A76" s="100"/>
      <c r="B76" s="100"/>
      <c r="C76" s="100"/>
      <c r="D76" s="54"/>
      <c r="E76" s="55"/>
      <c r="F76" s="56"/>
      <c r="G76" s="56"/>
      <c r="H76" s="57"/>
      <c r="I76" s="58"/>
      <c r="J76" s="58"/>
      <c r="K76" s="55"/>
      <c r="L76" s="59"/>
      <c r="M76" s="59"/>
      <c r="N76" s="59"/>
      <c r="O76" s="54"/>
      <c r="P76" s="60"/>
      <c r="Q76" s="66"/>
      <c r="R76" s="67"/>
      <c r="S76" s="56"/>
      <c r="T76" s="56"/>
      <c r="U76" s="63"/>
      <c r="V76" s="64"/>
      <c r="W76" s="55"/>
      <c r="X76" s="63"/>
      <c r="Y76" s="54"/>
      <c r="Z76" s="65"/>
      <c r="AA76" s="70"/>
      <c r="AB76" s="71"/>
      <c r="AC76" s="56"/>
      <c r="AD76" s="56"/>
      <c r="AE76" s="64"/>
      <c r="AF76" s="64"/>
      <c r="AG76" s="55"/>
      <c r="AH76" s="68"/>
      <c r="AI76" s="54"/>
      <c r="AJ76" s="69"/>
      <c r="AK76" s="61"/>
      <c r="AL76" s="62"/>
      <c r="AM76" s="56"/>
      <c r="AN76" s="56"/>
      <c r="AO76" s="64"/>
      <c r="AP76" s="64"/>
      <c r="AQ76" s="55"/>
      <c r="AR76" s="68"/>
      <c r="AS76" s="54"/>
      <c r="AT76" s="69"/>
      <c r="AU76" s="61"/>
      <c r="AV76" s="62"/>
      <c r="AW76" s="56"/>
      <c r="AX76" s="56"/>
      <c r="AY76" s="64"/>
      <c r="AZ76" s="64"/>
      <c r="BA76" s="55"/>
      <c r="BB76" s="72"/>
      <c r="BC76" s="68"/>
      <c r="BD76" s="69"/>
      <c r="BE76" s="70"/>
      <c r="BF76" s="71"/>
      <c r="BG76" s="56"/>
      <c r="BH76" s="56"/>
      <c r="BI76" s="64"/>
      <c r="BJ76" s="64"/>
      <c r="BK76" s="57"/>
      <c r="BL76" s="73"/>
      <c r="BM76" s="61"/>
      <c r="BN76" s="74"/>
      <c r="BO76" s="75"/>
      <c r="BP76" s="66"/>
      <c r="BQ76" s="74"/>
    </row>
    <row r="77" spans="1:69" s="44" customFormat="1" ht="22.35" customHeight="1" x14ac:dyDescent="0.2">
      <c r="A77" s="100"/>
      <c r="B77" s="100"/>
      <c r="C77" s="100"/>
      <c r="D77" s="54"/>
      <c r="E77" s="55"/>
      <c r="F77" s="56"/>
      <c r="G77" s="56"/>
      <c r="H77" s="57"/>
      <c r="I77" s="58"/>
      <c r="J77" s="58"/>
      <c r="K77" s="55"/>
      <c r="L77" s="59"/>
      <c r="M77" s="59"/>
      <c r="N77" s="59"/>
      <c r="O77" s="54"/>
      <c r="P77" s="60"/>
      <c r="Q77" s="66"/>
      <c r="R77" s="67"/>
      <c r="S77" s="56"/>
      <c r="T77" s="56"/>
      <c r="U77" s="63"/>
      <c r="V77" s="64"/>
      <c r="W77" s="55"/>
      <c r="X77" s="63"/>
      <c r="Y77" s="54"/>
      <c r="Z77" s="65"/>
      <c r="AA77" s="61"/>
      <c r="AB77" s="62"/>
      <c r="AC77" s="56"/>
      <c r="AD77" s="56"/>
      <c r="AE77" s="64"/>
      <c r="AF77" s="64"/>
      <c r="AG77" s="55"/>
      <c r="AH77" s="68"/>
      <c r="AI77" s="54"/>
      <c r="AJ77" s="69"/>
      <c r="AK77" s="70"/>
      <c r="AL77" s="71"/>
      <c r="AM77" s="56"/>
      <c r="AN77" s="56"/>
      <c r="AO77" s="64"/>
      <c r="AP77" s="64"/>
      <c r="AQ77" s="55"/>
      <c r="AR77" s="68"/>
      <c r="AS77" s="54"/>
      <c r="AT77" s="69"/>
      <c r="AU77" s="70"/>
      <c r="AV77" s="71"/>
      <c r="AW77" s="56"/>
      <c r="AX77" s="56"/>
      <c r="AY77" s="64"/>
      <c r="AZ77" s="64"/>
      <c r="BA77" s="55"/>
      <c r="BB77" s="72"/>
      <c r="BC77" s="68"/>
      <c r="BD77" s="69"/>
      <c r="BE77" s="66"/>
      <c r="BF77" s="67"/>
      <c r="BG77" s="56"/>
      <c r="BH77" s="56"/>
      <c r="BI77" s="64"/>
      <c r="BJ77" s="64"/>
      <c r="BK77" s="57"/>
      <c r="BL77" s="73"/>
      <c r="BM77" s="61"/>
      <c r="BN77" s="74"/>
      <c r="BO77" s="75"/>
      <c r="BP77" s="66"/>
      <c r="BQ77" s="74"/>
    </row>
    <row r="78" spans="1:69" s="44" customFormat="1" ht="22.35" customHeight="1" x14ac:dyDescent="0.2">
      <c r="A78" s="100"/>
      <c r="B78" s="100"/>
      <c r="C78" s="100"/>
      <c r="D78" s="54"/>
      <c r="E78" s="55"/>
      <c r="F78" s="56"/>
      <c r="G78" s="56"/>
      <c r="H78" s="57"/>
      <c r="I78" s="58"/>
      <c r="J78" s="58"/>
      <c r="K78" s="55"/>
      <c r="L78" s="59"/>
      <c r="M78" s="59"/>
      <c r="N78" s="59"/>
      <c r="O78" s="54"/>
      <c r="P78" s="60"/>
      <c r="Q78" s="61"/>
      <c r="R78" s="62"/>
      <c r="S78" s="56"/>
      <c r="T78" s="56"/>
      <c r="U78" s="63"/>
      <c r="V78" s="64"/>
      <c r="W78" s="55"/>
      <c r="X78" s="63"/>
      <c r="Y78" s="54"/>
      <c r="Z78" s="65"/>
      <c r="AA78" s="61"/>
      <c r="AB78" s="62"/>
      <c r="AC78" s="56"/>
      <c r="AD78" s="56"/>
      <c r="AE78" s="64"/>
      <c r="AF78" s="64"/>
      <c r="AG78" s="55"/>
      <c r="AH78" s="68"/>
      <c r="AI78" s="54"/>
      <c r="AJ78" s="69"/>
      <c r="AK78" s="76"/>
      <c r="AL78" s="59"/>
      <c r="AM78" s="56"/>
      <c r="AN78" s="56"/>
      <c r="AO78" s="64"/>
      <c r="AP78" s="64"/>
      <c r="AQ78" s="55"/>
      <c r="AR78" s="68"/>
      <c r="AS78" s="54"/>
      <c r="AT78" s="69"/>
      <c r="AU78" s="61"/>
      <c r="AV78" s="62"/>
      <c r="AW78" s="56"/>
      <c r="AX78" s="56"/>
      <c r="AY78" s="64"/>
      <c r="AZ78" s="64"/>
      <c r="BA78" s="55"/>
      <c r="BB78" s="72"/>
      <c r="BC78" s="68"/>
      <c r="BD78" s="69"/>
      <c r="BE78" s="70"/>
      <c r="BF78" s="71"/>
      <c r="BG78" s="56"/>
      <c r="BH78" s="56"/>
      <c r="BI78" s="64"/>
      <c r="BJ78" s="64"/>
      <c r="BK78" s="57"/>
      <c r="BL78" s="73"/>
      <c r="BM78" s="76"/>
      <c r="BN78" s="74"/>
      <c r="BO78" s="75"/>
      <c r="BP78" s="76"/>
      <c r="BQ78" s="74"/>
    </row>
    <row r="79" spans="1:69" s="44" customFormat="1" ht="22.35" customHeight="1" x14ac:dyDescent="0.2">
      <c r="A79" s="100"/>
      <c r="B79" s="100"/>
      <c r="C79" s="100"/>
      <c r="D79" s="54"/>
      <c r="E79" s="55"/>
      <c r="F79" s="56"/>
      <c r="G79" s="56"/>
      <c r="H79" s="57"/>
      <c r="I79" s="58"/>
      <c r="J79" s="58"/>
      <c r="K79" s="55"/>
      <c r="L79" s="59"/>
      <c r="M79" s="59"/>
      <c r="N79" s="59"/>
      <c r="O79" s="54"/>
      <c r="P79" s="60"/>
      <c r="Q79" s="76"/>
      <c r="R79" s="59"/>
      <c r="S79" s="56"/>
      <c r="T79" s="56"/>
      <c r="U79" s="63"/>
      <c r="V79" s="64"/>
      <c r="W79" s="55"/>
      <c r="X79" s="63"/>
      <c r="Y79" s="54"/>
      <c r="Z79" s="65"/>
      <c r="AA79" s="66"/>
      <c r="AB79" s="67"/>
      <c r="AC79" s="56"/>
      <c r="AD79" s="56"/>
      <c r="AE79" s="64"/>
      <c r="AF79" s="64"/>
      <c r="AG79" s="55"/>
      <c r="AH79" s="68"/>
      <c r="AI79" s="54"/>
      <c r="AJ79" s="69"/>
      <c r="AK79" s="66"/>
      <c r="AL79" s="67"/>
      <c r="AM79" s="56"/>
      <c r="AN79" s="56"/>
      <c r="AO79" s="64"/>
      <c r="AP79" s="64"/>
      <c r="AQ79" s="55"/>
      <c r="AR79" s="68"/>
      <c r="AS79" s="54"/>
      <c r="AT79" s="69"/>
      <c r="AU79" s="61"/>
      <c r="AV79" s="62"/>
      <c r="AW79" s="56"/>
      <c r="AX79" s="56"/>
      <c r="AY79" s="64"/>
      <c r="AZ79" s="64"/>
      <c r="BA79" s="55"/>
      <c r="BB79" s="72"/>
      <c r="BC79" s="68"/>
      <c r="BD79" s="69"/>
      <c r="BE79" s="66"/>
      <c r="BF79" s="67"/>
      <c r="BG79" s="56"/>
      <c r="BH79" s="56"/>
      <c r="BI79" s="64"/>
      <c r="BJ79" s="64"/>
      <c r="BK79" s="57"/>
      <c r="BL79" s="73"/>
      <c r="BM79" s="61"/>
      <c r="BN79" s="74"/>
      <c r="BO79" s="75"/>
      <c r="BP79" s="66"/>
      <c r="BQ79" s="74"/>
    </row>
    <row r="80" spans="1:69" s="44" customFormat="1" ht="22.35" customHeight="1" x14ac:dyDescent="0.2">
      <c r="A80" s="100"/>
      <c r="B80" s="100"/>
      <c r="C80" s="100"/>
      <c r="D80" s="54"/>
      <c r="E80" s="55"/>
      <c r="F80" s="56"/>
      <c r="G80" s="56"/>
      <c r="H80" s="57"/>
      <c r="I80" s="58"/>
      <c r="J80" s="58"/>
      <c r="K80" s="55"/>
      <c r="L80" s="59"/>
      <c r="M80" s="59"/>
      <c r="N80" s="59"/>
      <c r="O80" s="54"/>
      <c r="P80" s="60"/>
      <c r="Q80" s="66"/>
      <c r="R80" s="67"/>
      <c r="S80" s="56"/>
      <c r="T80" s="56"/>
      <c r="U80" s="63"/>
      <c r="V80" s="64"/>
      <c r="W80" s="55"/>
      <c r="X80" s="63"/>
      <c r="Y80" s="54"/>
      <c r="Z80" s="65"/>
      <c r="AA80" s="70"/>
      <c r="AB80" s="71"/>
      <c r="AC80" s="56"/>
      <c r="AD80" s="56"/>
      <c r="AE80" s="64"/>
      <c r="AF80" s="64"/>
      <c r="AG80" s="55"/>
      <c r="AH80" s="68"/>
      <c r="AI80" s="54"/>
      <c r="AJ80" s="69"/>
      <c r="AK80" s="66"/>
      <c r="AL80" s="67"/>
      <c r="AM80" s="56"/>
      <c r="AN80" s="56"/>
      <c r="AO80" s="64"/>
      <c r="AP80" s="64"/>
      <c r="AQ80" s="55"/>
      <c r="AR80" s="68"/>
      <c r="AS80" s="54"/>
      <c r="AT80" s="69"/>
      <c r="AU80" s="61"/>
      <c r="AV80" s="62"/>
      <c r="AW80" s="56"/>
      <c r="AX80" s="56"/>
      <c r="AY80" s="64"/>
      <c r="AZ80" s="64"/>
      <c r="BA80" s="55"/>
      <c r="BB80" s="72"/>
      <c r="BC80" s="68"/>
      <c r="BD80" s="69"/>
      <c r="BE80" s="66"/>
      <c r="BF80" s="67"/>
      <c r="BG80" s="56"/>
      <c r="BH80" s="56"/>
      <c r="BI80" s="64"/>
      <c r="BJ80" s="64"/>
      <c r="BK80" s="57"/>
      <c r="BL80" s="73"/>
      <c r="BM80" s="61"/>
      <c r="BN80" s="74"/>
      <c r="BO80" s="75"/>
      <c r="BP80" s="66"/>
      <c r="BQ80" s="74"/>
    </row>
    <row r="81" spans="1:69" s="44" customFormat="1" ht="22.35" customHeight="1" x14ac:dyDescent="0.2">
      <c r="A81" s="100"/>
      <c r="B81" s="100"/>
      <c r="C81" s="100"/>
      <c r="D81" s="54"/>
      <c r="E81" s="55"/>
      <c r="F81" s="56"/>
      <c r="G81" s="56"/>
      <c r="H81" s="57"/>
      <c r="I81" s="58"/>
      <c r="J81" s="58"/>
      <c r="K81" s="55"/>
      <c r="L81" s="59"/>
      <c r="M81" s="59"/>
      <c r="N81" s="59"/>
      <c r="O81" s="54"/>
      <c r="P81" s="60"/>
      <c r="Q81" s="66"/>
      <c r="R81" s="67"/>
      <c r="S81" s="56"/>
      <c r="T81" s="56"/>
      <c r="U81" s="63"/>
      <c r="V81" s="64"/>
      <c r="W81" s="55"/>
      <c r="X81" s="63"/>
      <c r="Y81" s="54"/>
      <c r="Z81" s="65"/>
      <c r="AA81" s="76"/>
      <c r="AB81" s="59"/>
      <c r="AC81" s="56"/>
      <c r="AD81" s="56"/>
      <c r="AE81" s="64"/>
      <c r="AF81" s="64"/>
      <c r="AG81" s="55"/>
      <c r="AH81" s="68"/>
      <c r="AI81" s="54"/>
      <c r="AJ81" s="69"/>
      <c r="AK81" s="76"/>
      <c r="AL81" s="59"/>
      <c r="AM81" s="56"/>
      <c r="AN81" s="56"/>
      <c r="AO81" s="64"/>
      <c r="AP81" s="64"/>
      <c r="AQ81" s="55"/>
      <c r="AR81" s="68"/>
      <c r="AS81" s="54"/>
      <c r="AT81" s="69"/>
      <c r="AU81" s="61"/>
      <c r="AV81" s="62"/>
      <c r="AW81" s="56"/>
      <c r="AX81" s="56"/>
      <c r="AY81" s="64"/>
      <c r="AZ81" s="64"/>
      <c r="BA81" s="55"/>
      <c r="BB81" s="72"/>
      <c r="BC81" s="68"/>
      <c r="BD81" s="69"/>
      <c r="BE81" s="66"/>
      <c r="BF81" s="67"/>
      <c r="BG81" s="56"/>
      <c r="BH81" s="56"/>
      <c r="BI81" s="64"/>
      <c r="BJ81" s="64"/>
      <c r="BK81" s="57"/>
      <c r="BL81" s="73"/>
      <c r="BM81" s="61"/>
      <c r="BN81" s="74"/>
      <c r="BO81" s="75"/>
      <c r="BP81" s="66"/>
      <c r="BQ81" s="74"/>
    </row>
    <row r="82" spans="1:69" s="44" customFormat="1" ht="22.35" customHeight="1" x14ac:dyDescent="0.2">
      <c r="A82" s="100"/>
      <c r="B82" s="100"/>
      <c r="C82" s="100"/>
      <c r="D82" s="54"/>
      <c r="E82" s="55"/>
      <c r="F82" s="56"/>
      <c r="G82" s="56"/>
      <c r="H82" s="57"/>
      <c r="I82" s="58"/>
      <c r="J82" s="58"/>
      <c r="K82" s="55"/>
      <c r="L82" s="59"/>
      <c r="M82" s="59"/>
      <c r="N82" s="59"/>
      <c r="O82" s="54"/>
      <c r="P82" s="60"/>
      <c r="Q82" s="66"/>
      <c r="R82" s="67"/>
      <c r="S82" s="56"/>
      <c r="T82" s="56"/>
      <c r="U82" s="63"/>
      <c r="V82" s="64"/>
      <c r="W82" s="55"/>
      <c r="X82" s="63"/>
      <c r="Y82" s="54"/>
      <c r="Z82" s="65"/>
      <c r="AA82" s="76"/>
      <c r="AB82" s="59"/>
      <c r="AC82" s="56"/>
      <c r="AD82" s="56"/>
      <c r="AE82" s="64"/>
      <c r="AF82" s="64"/>
      <c r="AG82" s="55"/>
      <c r="AH82" s="68"/>
      <c r="AI82" s="54"/>
      <c r="AJ82" s="69"/>
      <c r="AK82" s="61"/>
      <c r="AL82" s="62"/>
      <c r="AM82" s="56"/>
      <c r="AN82" s="56"/>
      <c r="AO82" s="64"/>
      <c r="AP82" s="64"/>
      <c r="AQ82" s="55"/>
      <c r="AR82" s="68"/>
      <c r="AS82" s="54"/>
      <c r="AT82" s="69"/>
      <c r="AU82" s="76"/>
      <c r="AV82" s="59"/>
      <c r="AW82" s="56"/>
      <c r="AX82" s="56"/>
      <c r="AY82" s="64"/>
      <c r="AZ82" s="64"/>
      <c r="BA82" s="55"/>
      <c r="BB82" s="72"/>
      <c r="BC82" s="68"/>
      <c r="BD82" s="69"/>
      <c r="BE82" s="66"/>
      <c r="BF82" s="67"/>
      <c r="BG82" s="56"/>
      <c r="BH82" s="56"/>
      <c r="BI82" s="64"/>
      <c r="BJ82" s="64"/>
      <c r="BK82" s="57"/>
      <c r="BL82" s="73"/>
      <c r="BM82" s="61"/>
      <c r="BN82" s="74"/>
      <c r="BO82" s="75"/>
      <c r="BP82" s="66"/>
      <c r="BQ82" s="74"/>
    </row>
    <row r="83" spans="1:69" s="44" customFormat="1" ht="22.35" customHeight="1" x14ac:dyDescent="0.2">
      <c r="A83" s="100"/>
      <c r="B83" s="100"/>
      <c r="C83" s="100"/>
      <c r="D83" s="54"/>
      <c r="E83" s="55"/>
      <c r="F83" s="56"/>
      <c r="G83" s="56"/>
      <c r="H83" s="57"/>
      <c r="I83" s="58"/>
      <c r="J83" s="58"/>
      <c r="K83" s="55"/>
      <c r="L83" s="59"/>
      <c r="M83" s="59"/>
      <c r="N83" s="59"/>
      <c r="O83" s="54"/>
      <c r="P83" s="60"/>
      <c r="Q83" s="66"/>
      <c r="R83" s="67"/>
      <c r="S83" s="56"/>
      <c r="T83" s="56"/>
      <c r="U83" s="63"/>
      <c r="V83" s="64"/>
      <c r="W83" s="55"/>
      <c r="X83" s="63"/>
      <c r="Y83" s="54"/>
      <c r="Z83" s="65"/>
      <c r="AA83" s="61"/>
      <c r="AB83" s="62"/>
      <c r="AC83" s="56"/>
      <c r="AD83" s="56"/>
      <c r="AE83" s="64"/>
      <c r="AF83" s="64"/>
      <c r="AG83" s="55"/>
      <c r="AH83" s="68"/>
      <c r="AI83" s="54"/>
      <c r="AJ83" s="69"/>
      <c r="AK83" s="76"/>
      <c r="AL83" s="59"/>
      <c r="AM83" s="56"/>
      <c r="AN83" s="56"/>
      <c r="AO83" s="64"/>
      <c r="AP83" s="64"/>
      <c r="AQ83" s="55"/>
      <c r="AR83" s="68"/>
      <c r="AS83" s="54"/>
      <c r="AT83" s="69"/>
      <c r="AU83" s="61"/>
      <c r="AV83" s="62"/>
      <c r="AW83" s="56"/>
      <c r="AX83" s="56"/>
      <c r="AY83" s="64"/>
      <c r="AZ83" s="64"/>
      <c r="BA83" s="55"/>
      <c r="BB83" s="72"/>
      <c r="BC83" s="68"/>
      <c r="BD83" s="69"/>
      <c r="BE83" s="66"/>
      <c r="BF83" s="67"/>
      <c r="BG83" s="56"/>
      <c r="BH83" s="56"/>
      <c r="BI83" s="64"/>
      <c r="BJ83" s="64"/>
      <c r="BK83" s="57"/>
      <c r="BL83" s="73"/>
      <c r="BM83" s="61"/>
      <c r="BN83" s="74"/>
      <c r="BO83" s="75"/>
      <c r="BP83" s="66"/>
      <c r="BQ83" s="74"/>
    </row>
    <row r="84" spans="1:69" s="44" customFormat="1" ht="22.35" customHeight="1" x14ac:dyDescent="0.2">
      <c r="A84" s="100"/>
      <c r="B84" s="100"/>
      <c r="C84" s="100"/>
      <c r="D84" s="54"/>
      <c r="E84" s="55"/>
      <c r="F84" s="56"/>
      <c r="G84" s="56"/>
      <c r="H84" s="57"/>
      <c r="I84" s="58"/>
      <c r="J84" s="58"/>
      <c r="K84" s="55"/>
      <c r="L84" s="59"/>
      <c r="M84" s="59"/>
      <c r="N84" s="59"/>
      <c r="O84" s="54"/>
      <c r="P84" s="60"/>
      <c r="Q84" s="66"/>
      <c r="R84" s="67"/>
      <c r="S84" s="56"/>
      <c r="T84" s="56"/>
      <c r="U84" s="63"/>
      <c r="V84" s="64"/>
      <c r="W84" s="55"/>
      <c r="X84" s="63"/>
      <c r="Y84" s="54"/>
      <c r="Z84" s="65"/>
      <c r="AA84" s="61"/>
      <c r="AB84" s="62"/>
      <c r="AC84" s="56"/>
      <c r="AD84" s="56"/>
      <c r="AE84" s="64"/>
      <c r="AF84" s="64"/>
      <c r="AG84" s="55"/>
      <c r="AH84" s="68"/>
      <c r="AI84" s="54"/>
      <c r="AJ84" s="69"/>
      <c r="AK84" s="61"/>
      <c r="AL84" s="62"/>
      <c r="AM84" s="56"/>
      <c r="AN84" s="56"/>
      <c r="AO84" s="64"/>
      <c r="AP84" s="64"/>
      <c r="AQ84" s="55"/>
      <c r="AR84" s="68"/>
      <c r="AS84" s="54"/>
      <c r="AT84" s="69"/>
      <c r="AU84" s="61"/>
      <c r="AV84" s="62"/>
      <c r="AW84" s="56"/>
      <c r="AX84" s="56"/>
      <c r="AY84" s="64"/>
      <c r="AZ84" s="64"/>
      <c r="BA84" s="55"/>
      <c r="BB84" s="72"/>
      <c r="BC84" s="68"/>
      <c r="BD84" s="69"/>
      <c r="BE84" s="76"/>
      <c r="BF84" s="59"/>
      <c r="BG84" s="56"/>
      <c r="BH84" s="56"/>
      <c r="BI84" s="64"/>
      <c r="BJ84" s="64"/>
      <c r="BK84" s="57"/>
      <c r="BL84" s="73"/>
      <c r="BM84" s="61"/>
      <c r="BN84" s="74"/>
      <c r="BO84" s="75"/>
      <c r="BP84" s="61"/>
      <c r="BQ84" s="74"/>
    </row>
    <row r="85" spans="1:69" s="44" customFormat="1" ht="22.35" customHeight="1" x14ac:dyDescent="0.2">
      <c r="A85" s="100"/>
      <c r="B85" s="100"/>
      <c r="C85" s="100"/>
      <c r="D85" s="54"/>
      <c r="E85" s="55"/>
      <c r="F85" s="56"/>
      <c r="G85" s="56"/>
      <c r="H85" s="57"/>
      <c r="I85" s="58"/>
      <c r="J85" s="58"/>
      <c r="K85" s="55"/>
      <c r="L85" s="59"/>
      <c r="M85" s="59"/>
      <c r="N85" s="59"/>
      <c r="O85" s="54"/>
      <c r="P85" s="60"/>
      <c r="Q85" s="66"/>
      <c r="R85" s="67"/>
      <c r="S85" s="56"/>
      <c r="T85" s="56"/>
      <c r="U85" s="63"/>
      <c r="V85" s="64"/>
      <c r="W85" s="55"/>
      <c r="X85" s="63"/>
      <c r="Y85" s="54"/>
      <c r="Z85" s="65"/>
      <c r="AA85" s="70"/>
      <c r="AB85" s="71"/>
      <c r="AC85" s="56"/>
      <c r="AD85" s="56"/>
      <c r="AE85" s="64"/>
      <c r="AF85" s="64"/>
      <c r="AG85" s="55"/>
      <c r="AH85" s="68"/>
      <c r="AI85" s="54"/>
      <c r="AJ85" s="69"/>
      <c r="AK85" s="61"/>
      <c r="AL85" s="62"/>
      <c r="AM85" s="56"/>
      <c r="AN85" s="56"/>
      <c r="AO85" s="64"/>
      <c r="AP85" s="64"/>
      <c r="AQ85" s="55"/>
      <c r="AR85" s="68"/>
      <c r="AS85" s="54"/>
      <c r="AT85" s="69"/>
      <c r="AU85" s="61"/>
      <c r="AV85" s="62"/>
      <c r="AW85" s="56"/>
      <c r="AX85" s="56"/>
      <c r="AY85" s="64"/>
      <c r="AZ85" s="64"/>
      <c r="BA85" s="55"/>
      <c r="BB85" s="72"/>
      <c r="BC85" s="68"/>
      <c r="BD85" s="69"/>
      <c r="BE85" s="76"/>
      <c r="BF85" s="59"/>
      <c r="BG85" s="56"/>
      <c r="BH85" s="56"/>
      <c r="BI85" s="64"/>
      <c r="BJ85" s="64"/>
      <c r="BK85" s="57"/>
      <c r="BL85" s="73"/>
      <c r="BM85" s="76"/>
      <c r="BN85" s="74"/>
      <c r="BO85" s="75"/>
      <c r="BP85" s="66"/>
      <c r="BQ85" s="74"/>
    </row>
    <row r="86" spans="1:69" s="44" customFormat="1" ht="22.35" customHeight="1" x14ac:dyDescent="0.2">
      <c r="A86" s="100"/>
      <c r="B86" s="100"/>
      <c r="C86" s="100"/>
      <c r="D86" s="54"/>
      <c r="E86" s="55"/>
      <c r="F86" s="56"/>
      <c r="G86" s="56"/>
      <c r="H86" s="57"/>
      <c r="I86" s="58"/>
      <c r="J86" s="58"/>
      <c r="K86" s="55"/>
      <c r="L86" s="59"/>
      <c r="M86" s="59"/>
      <c r="N86" s="59"/>
      <c r="O86" s="54"/>
      <c r="P86" s="60"/>
      <c r="Q86" s="66"/>
      <c r="R86" s="67"/>
      <c r="S86" s="56"/>
      <c r="T86" s="56"/>
      <c r="U86" s="63"/>
      <c r="V86" s="64"/>
      <c r="W86" s="55"/>
      <c r="X86" s="63"/>
      <c r="Y86" s="54"/>
      <c r="Z86" s="65"/>
      <c r="AA86" s="61"/>
      <c r="AB86" s="62"/>
      <c r="AC86" s="56"/>
      <c r="AD86" s="56"/>
      <c r="AE86" s="64"/>
      <c r="AF86" s="64"/>
      <c r="AG86" s="55"/>
      <c r="AH86" s="68"/>
      <c r="AI86" s="54"/>
      <c r="AJ86" s="69"/>
      <c r="AK86" s="61"/>
      <c r="AL86" s="62"/>
      <c r="AM86" s="56"/>
      <c r="AN86" s="56"/>
      <c r="AO86" s="64"/>
      <c r="AP86" s="64"/>
      <c r="AQ86" s="55"/>
      <c r="AR86" s="68"/>
      <c r="AS86" s="54"/>
      <c r="AT86" s="69"/>
      <c r="AU86" s="61"/>
      <c r="AV86" s="62"/>
      <c r="AW86" s="56"/>
      <c r="AX86" s="56"/>
      <c r="AY86" s="64"/>
      <c r="AZ86" s="64"/>
      <c r="BA86" s="55"/>
      <c r="BB86" s="72"/>
      <c r="BC86" s="68"/>
      <c r="BD86" s="69"/>
      <c r="BE86" s="70"/>
      <c r="BF86" s="71"/>
      <c r="BG86" s="56"/>
      <c r="BH86" s="56"/>
      <c r="BI86" s="64"/>
      <c r="BJ86" s="64"/>
      <c r="BK86" s="57"/>
      <c r="BL86" s="73"/>
      <c r="BM86" s="61"/>
      <c r="BN86" s="74"/>
      <c r="BO86" s="75"/>
      <c r="BP86" s="66"/>
      <c r="BQ86" s="74"/>
    </row>
    <row r="87" spans="1:69" s="44" customFormat="1" ht="22.35" customHeight="1" x14ac:dyDescent="0.2">
      <c r="A87" s="100"/>
      <c r="B87" s="100"/>
      <c r="C87" s="100"/>
      <c r="D87" s="54"/>
      <c r="E87" s="55"/>
      <c r="F87" s="56"/>
      <c r="G87" s="56"/>
      <c r="H87" s="57"/>
      <c r="I87" s="58"/>
      <c r="J87" s="58"/>
      <c r="K87" s="55"/>
      <c r="L87" s="59"/>
      <c r="M87" s="59"/>
      <c r="N87" s="59"/>
      <c r="O87" s="54"/>
      <c r="P87" s="60"/>
      <c r="Q87" s="66"/>
      <c r="R87" s="67"/>
      <c r="S87" s="56"/>
      <c r="T87" s="56"/>
      <c r="U87" s="63"/>
      <c r="V87" s="64"/>
      <c r="W87" s="55"/>
      <c r="X87" s="63"/>
      <c r="Y87" s="54"/>
      <c r="Z87" s="65"/>
      <c r="AA87" s="76"/>
      <c r="AB87" s="59"/>
      <c r="AC87" s="56"/>
      <c r="AD87" s="56"/>
      <c r="AE87" s="64"/>
      <c r="AF87" s="64"/>
      <c r="AG87" s="55"/>
      <c r="AH87" s="68"/>
      <c r="AI87" s="54"/>
      <c r="AJ87" s="69"/>
      <c r="AK87" s="76"/>
      <c r="AL87" s="59"/>
      <c r="AM87" s="56"/>
      <c r="AN87" s="56"/>
      <c r="AO87" s="64"/>
      <c r="AP87" s="64"/>
      <c r="AQ87" s="55"/>
      <c r="AR87" s="68"/>
      <c r="AS87" s="54"/>
      <c r="AT87" s="69"/>
      <c r="AU87" s="61"/>
      <c r="AV87" s="62"/>
      <c r="AW87" s="56"/>
      <c r="AX87" s="56"/>
      <c r="AY87" s="64"/>
      <c r="AZ87" s="64"/>
      <c r="BA87" s="55"/>
      <c r="BB87" s="72"/>
      <c r="BC87" s="68"/>
      <c r="BD87" s="69"/>
      <c r="BE87" s="66"/>
      <c r="BF87" s="67"/>
      <c r="BG87" s="56"/>
      <c r="BH87" s="56"/>
      <c r="BI87" s="64"/>
      <c r="BJ87" s="64"/>
      <c r="BK87" s="57"/>
      <c r="BL87" s="73"/>
      <c r="BM87" s="76"/>
      <c r="BN87" s="74"/>
      <c r="BO87" s="75"/>
      <c r="BP87" s="66"/>
      <c r="BQ87" s="74"/>
    </row>
    <row r="88" spans="1:69" s="44" customFormat="1" ht="22.35" customHeight="1" x14ac:dyDescent="0.2">
      <c r="A88" s="100"/>
      <c r="B88" s="100"/>
      <c r="C88" s="100"/>
      <c r="D88" s="54"/>
      <c r="E88" s="55"/>
      <c r="F88" s="56"/>
      <c r="G88" s="56"/>
      <c r="H88" s="57"/>
      <c r="I88" s="58"/>
      <c r="J88" s="58"/>
      <c r="K88" s="55"/>
      <c r="L88" s="59"/>
      <c r="M88" s="59"/>
      <c r="N88" s="59"/>
      <c r="O88" s="54"/>
      <c r="P88" s="60"/>
      <c r="Q88" s="61"/>
      <c r="R88" s="62"/>
      <c r="S88" s="56"/>
      <c r="T88" s="56"/>
      <c r="U88" s="63"/>
      <c r="V88" s="64"/>
      <c r="W88" s="55"/>
      <c r="X88" s="63"/>
      <c r="Y88" s="54"/>
      <c r="Z88" s="65"/>
      <c r="AA88" s="61"/>
      <c r="AB88" s="62"/>
      <c r="AC88" s="56"/>
      <c r="AD88" s="56"/>
      <c r="AE88" s="64"/>
      <c r="AF88" s="64"/>
      <c r="AG88" s="55"/>
      <c r="AH88" s="68"/>
      <c r="AI88" s="54"/>
      <c r="AJ88" s="69"/>
      <c r="AK88" s="61"/>
      <c r="AL88" s="62"/>
      <c r="AM88" s="56"/>
      <c r="AN88" s="56"/>
      <c r="AO88" s="64"/>
      <c r="AP88" s="64"/>
      <c r="AQ88" s="55"/>
      <c r="AR88" s="68"/>
      <c r="AS88" s="54"/>
      <c r="AT88" s="69"/>
      <c r="AU88" s="61"/>
      <c r="AV88" s="62"/>
      <c r="AW88" s="56"/>
      <c r="AX88" s="56"/>
      <c r="AY88" s="64"/>
      <c r="AZ88" s="64"/>
      <c r="BA88" s="55"/>
      <c r="BB88" s="72"/>
      <c r="BC88" s="68"/>
      <c r="BD88" s="69"/>
      <c r="BE88" s="66"/>
      <c r="BF88" s="67"/>
      <c r="BG88" s="56"/>
      <c r="BH88" s="56"/>
      <c r="BI88" s="64"/>
      <c r="BJ88" s="64"/>
      <c r="BK88" s="57"/>
      <c r="BL88" s="73"/>
      <c r="BM88" s="61"/>
      <c r="BN88" s="74"/>
      <c r="BO88" s="75"/>
      <c r="BP88" s="66"/>
      <c r="BQ88" s="74"/>
    </row>
    <row r="89" spans="1:69" s="44" customFormat="1" ht="22.35" customHeight="1" x14ac:dyDescent="0.2">
      <c r="A89" s="100"/>
      <c r="B89" s="100"/>
      <c r="C89" s="100"/>
      <c r="D89" s="54"/>
      <c r="E89" s="55"/>
      <c r="F89" s="56"/>
      <c r="G89" s="56"/>
      <c r="H89" s="57"/>
      <c r="I89" s="58"/>
      <c r="J89" s="58"/>
      <c r="K89" s="55"/>
      <c r="L89" s="59"/>
      <c r="M89" s="59"/>
      <c r="N89" s="59"/>
      <c r="O89" s="54"/>
      <c r="P89" s="60"/>
      <c r="Q89" s="61"/>
      <c r="R89" s="62"/>
      <c r="S89" s="56"/>
      <c r="T89" s="56"/>
      <c r="U89" s="63"/>
      <c r="V89" s="64"/>
      <c r="W89" s="55"/>
      <c r="X89" s="63"/>
      <c r="Y89" s="54"/>
      <c r="Z89" s="65"/>
      <c r="AA89" s="61"/>
      <c r="AB89" s="62"/>
      <c r="AC89" s="56"/>
      <c r="AD89" s="56"/>
      <c r="AE89" s="64"/>
      <c r="AF89" s="64"/>
      <c r="AG89" s="55"/>
      <c r="AH89" s="68"/>
      <c r="AI89" s="54"/>
      <c r="AJ89" s="69"/>
      <c r="AK89" s="61"/>
      <c r="AL89" s="62"/>
      <c r="AM89" s="56"/>
      <c r="AN89" s="56"/>
      <c r="AO89" s="64"/>
      <c r="AP89" s="64"/>
      <c r="AQ89" s="55"/>
      <c r="AR89" s="68"/>
      <c r="AS89" s="54"/>
      <c r="AT89" s="69"/>
      <c r="AU89" s="61"/>
      <c r="AV89" s="62"/>
      <c r="AW89" s="56"/>
      <c r="AX89" s="56"/>
      <c r="AY89" s="64"/>
      <c r="AZ89" s="64"/>
      <c r="BA89" s="55"/>
      <c r="BB89" s="72"/>
      <c r="BC89" s="68"/>
      <c r="BD89" s="69"/>
      <c r="BE89" s="61"/>
      <c r="BF89" s="62"/>
      <c r="BG89" s="56"/>
      <c r="BH89" s="56"/>
      <c r="BI89" s="64"/>
      <c r="BJ89" s="64"/>
      <c r="BK89" s="57"/>
      <c r="BL89" s="73"/>
      <c r="BM89" s="66"/>
      <c r="BN89" s="74"/>
      <c r="BO89" s="75"/>
      <c r="BP89" s="66"/>
      <c r="BQ89" s="74"/>
    </row>
    <row r="90" spans="1:69" s="44" customFormat="1" ht="22.35" customHeight="1" x14ac:dyDescent="0.2">
      <c r="A90" s="100"/>
      <c r="B90" s="100"/>
      <c r="C90" s="100"/>
      <c r="D90" s="54"/>
      <c r="E90" s="55"/>
      <c r="F90" s="56"/>
      <c r="G90" s="56"/>
      <c r="H90" s="57"/>
      <c r="I90" s="58"/>
      <c r="J90" s="58"/>
      <c r="K90" s="55"/>
      <c r="L90" s="59"/>
      <c r="M90" s="59"/>
      <c r="N90" s="59"/>
      <c r="O90" s="54"/>
      <c r="P90" s="60"/>
      <c r="Q90" s="66"/>
      <c r="R90" s="67"/>
      <c r="S90" s="56"/>
      <c r="T90" s="56"/>
      <c r="U90" s="63"/>
      <c r="V90" s="64"/>
      <c r="W90" s="55"/>
      <c r="X90" s="63"/>
      <c r="Y90" s="54"/>
      <c r="Z90" s="65"/>
      <c r="AA90" s="76"/>
      <c r="AB90" s="59"/>
      <c r="AC90" s="56"/>
      <c r="AD90" s="56"/>
      <c r="AE90" s="64"/>
      <c r="AF90" s="64"/>
      <c r="AG90" s="55"/>
      <c r="AH90" s="68"/>
      <c r="AI90" s="54"/>
      <c r="AJ90" s="69"/>
      <c r="AK90" s="70"/>
      <c r="AL90" s="71"/>
      <c r="AM90" s="56"/>
      <c r="AN90" s="56"/>
      <c r="AO90" s="64"/>
      <c r="AP90" s="64"/>
      <c r="AQ90" s="55"/>
      <c r="AR90" s="68"/>
      <c r="AS90" s="54"/>
      <c r="AT90" s="69"/>
      <c r="AU90" s="76"/>
      <c r="AV90" s="59"/>
      <c r="AW90" s="56"/>
      <c r="AX90" s="56"/>
      <c r="AY90" s="64"/>
      <c r="AZ90" s="64"/>
      <c r="BA90" s="55"/>
      <c r="BB90" s="72"/>
      <c r="BC90" s="68"/>
      <c r="BD90" s="69"/>
      <c r="BE90" s="66"/>
      <c r="BF90" s="67"/>
      <c r="BG90" s="56"/>
      <c r="BH90" s="56"/>
      <c r="BI90" s="64"/>
      <c r="BJ90" s="64"/>
      <c r="BK90" s="57"/>
      <c r="BL90" s="73"/>
      <c r="BM90" s="76"/>
      <c r="BN90" s="74"/>
      <c r="BO90" s="75"/>
      <c r="BP90" s="66"/>
      <c r="BQ90" s="74"/>
    </row>
    <row r="91" spans="1:69" s="44" customFormat="1" ht="22.35" customHeight="1" x14ac:dyDescent="0.2">
      <c r="A91" s="100"/>
      <c r="B91" s="100"/>
      <c r="C91" s="100"/>
      <c r="D91" s="54"/>
      <c r="E91" s="55"/>
      <c r="F91" s="56"/>
      <c r="G91" s="56"/>
      <c r="H91" s="57"/>
      <c r="I91" s="58"/>
      <c r="J91" s="58"/>
      <c r="K91" s="55"/>
      <c r="L91" s="59"/>
      <c r="M91" s="59"/>
      <c r="N91" s="59"/>
      <c r="O91" s="54"/>
      <c r="P91" s="60"/>
      <c r="Q91" s="61"/>
      <c r="R91" s="62"/>
      <c r="S91" s="56"/>
      <c r="T91" s="56"/>
      <c r="U91" s="63"/>
      <c r="V91" s="64"/>
      <c r="W91" s="55"/>
      <c r="X91" s="63"/>
      <c r="Y91" s="54"/>
      <c r="Z91" s="65"/>
      <c r="AA91" s="76"/>
      <c r="AB91" s="59"/>
      <c r="AC91" s="56"/>
      <c r="AD91" s="56"/>
      <c r="AE91" s="64"/>
      <c r="AF91" s="64"/>
      <c r="AG91" s="55"/>
      <c r="AH91" s="68"/>
      <c r="AI91" s="54"/>
      <c r="AJ91" s="69"/>
      <c r="AK91" s="76"/>
      <c r="AL91" s="59"/>
      <c r="AM91" s="56"/>
      <c r="AN91" s="56"/>
      <c r="AO91" s="64"/>
      <c r="AP91" s="64"/>
      <c r="AQ91" s="55"/>
      <c r="AR91" s="68"/>
      <c r="AS91" s="54"/>
      <c r="AT91" s="69"/>
      <c r="AU91" s="61"/>
      <c r="AV91" s="62"/>
      <c r="AW91" s="56"/>
      <c r="AX91" s="56"/>
      <c r="AY91" s="64"/>
      <c r="AZ91" s="64"/>
      <c r="BA91" s="55"/>
      <c r="BB91" s="72"/>
      <c r="BC91" s="68"/>
      <c r="BD91" s="69"/>
      <c r="BE91" s="66"/>
      <c r="BF91" s="67"/>
      <c r="BG91" s="56"/>
      <c r="BH91" s="56"/>
      <c r="BI91" s="64"/>
      <c r="BJ91" s="64"/>
      <c r="BK91" s="57"/>
      <c r="BL91" s="73"/>
      <c r="BM91" s="76"/>
      <c r="BN91" s="74"/>
      <c r="BO91" s="75"/>
      <c r="BP91" s="66"/>
      <c r="BQ91" s="74"/>
    </row>
    <row r="92" spans="1:69" s="44" customFormat="1" ht="22.35" customHeight="1" x14ac:dyDescent="0.2">
      <c r="A92" s="100"/>
      <c r="B92" s="100"/>
      <c r="C92" s="100"/>
      <c r="D92" s="54"/>
      <c r="E92" s="55"/>
      <c r="F92" s="56"/>
      <c r="G92" s="56"/>
      <c r="H92" s="57"/>
      <c r="I92" s="58"/>
      <c r="J92" s="58"/>
      <c r="K92" s="55"/>
      <c r="L92" s="59"/>
      <c r="M92" s="59"/>
      <c r="N92" s="59"/>
      <c r="O92" s="54"/>
      <c r="P92" s="60"/>
      <c r="Q92" s="66"/>
      <c r="R92" s="67"/>
      <c r="S92" s="56"/>
      <c r="T92" s="56"/>
      <c r="U92" s="63"/>
      <c r="V92" s="64"/>
      <c r="W92" s="55"/>
      <c r="X92" s="63"/>
      <c r="Y92" s="54"/>
      <c r="Z92" s="65"/>
      <c r="AA92" s="70"/>
      <c r="AB92" s="71"/>
      <c r="AC92" s="56"/>
      <c r="AD92" s="56"/>
      <c r="AE92" s="64"/>
      <c r="AF92" s="64"/>
      <c r="AG92" s="55"/>
      <c r="AH92" s="68"/>
      <c r="AI92" s="54"/>
      <c r="AJ92" s="69"/>
      <c r="AK92" s="70"/>
      <c r="AL92" s="71"/>
      <c r="AM92" s="56"/>
      <c r="AN92" s="56"/>
      <c r="AO92" s="64"/>
      <c r="AP92" s="64"/>
      <c r="AQ92" s="55"/>
      <c r="AR92" s="68"/>
      <c r="AS92" s="54"/>
      <c r="AT92" s="69"/>
      <c r="AU92" s="61"/>
      <c r="AV92" s="62"/>
      <c r="AW92" s="56"/>
      <c r="AX92" s="56"/>
      <c r="AY92" s="64"/>
      <c r="AZ92" s="64"/>
      <c r="BA92" s="55"/>
      <c r="BB92" s="72"/>
      <c r="BC92" s="68"/>
      <c r="BD92" s="69"/>
      <c r="BE92" s="66"/>
      <c r="BF92" s="67"/>
      <c r="BG92" s="56"/>
      <c r="BH92" s="56"/>
      <c r="BI92" s="64"/>
      <c r="BJ92" s="64"/>
      <c r="BK92" s="57"/>
      <c r="BL92" s="73"/>
      <c r="BM92" s="76"/>
      <c r="BN92" s="74"/>
      <c r="BO92" s="75"/>
      <c r="BP92" s="66"/>
      <c r="BQ92" s="74"/>
    </row>
    <row r="93" spans="1:69" s="44" customFormat="1" ht="22.35" customHeight="1" x14ac:dyDescent="0.2">
      <c r="A93" s="100"/>
      <c r="B93" s="100"/>
      <c r="C93" s="100"/>
      <c r="D93" s="54"/>
      <c r="E93" s="55"/>
      <c r="F93" s="56"/>
      <c r="G93" s="56"/>
      <c r="H93" s="57"/>
      <c r="I93" s="58"/>
      <c r="J93" s="58"/>
      <c r="K93" s="55"/>
      <c r="L93" s="59"/>
      <c r="M93" s="59"/>
      <c r="N93" s="59"/>
      <c r="O93" s="54"/>
      <c r="P93" s="60"/>
      <c r="Q93" s="66"/>
      <c r="R93" s="67"/>
      <c r="S93" s="56"/>
      <c r="T93" s="56"/>
      <c r="U93" s="63"/>
      <c r="V93" s="64"/>
      <c r="W93" s="55"/>
      <c r="X93" s="63"/>
      <c r="Y93" s="54"/>
      <c r="Z93" s="65"/>
      <c r="AA93" s="61"/>
      <c r="AB93" s="62"/>
      <c r="AC93" s="56"/>
      <c r="AD93" s="56"/>
      <c r="AE93" s="64"/>
      <c r="AF93" s="64"/>
      <c r="AG93" s="55"/>
      <c r="AH93" s="68"/>
      <c r="AI93" s="54"/>
      <c r="AJ93" s="69"/>
      <c r="AK93" s="76"/>
      <c r="AL93" s="59"/>
      <c r="AM93" s="56"/>
      <c r="AN93" s="56"/>
      <c r="AO93" s="64"/>
      <c r="AP93" s="64"/>
      <c r="AQ93" s="55"/>
      <c r="AR93" s="68"/>
      <c r="AS93" s="54"/>
      <c r="AT93" s="69"/>
      <c r="AU93" s="61"/>
      <c r="AV93" s="62"/>
      <c r="AW93" s="56"/>
      <c r="AX93" s="56"/>
      <c r="AY93" s="64"/>
      <c r="AZ93" s="64"/>
      <c r="BA93" s="55"/>
      <c r="BB93" s="72"/>
      <c r="BC93" s="68"/>
      <c r="BD93" s="69"/>
      <c r="BE93" s="76"/>
      <c r="BF93" s="59"/>
      <c r="BG93" s="56"/>
      <c r="BH93" s="56"/>
      <c r="BI93" s="64"/>
      <c r="BJ93" s="64"/>
      <c r="BK93" s="57"/>
      <c r="BL93" s="73"/>
      <c r="BM93" s="76"/>
      <c r="BN93" s="74"/>
      <c r="BO93" s="75"/>
      <c r="BP93" s="66"/>
      <c r="BQ93" s="74"/>
    </row>
    <row r="94" spans="1:69" s="44" customFormat="1" ht="22.35" customHeight="1" x14ac:dyDescent="0.2">
      <c r="A94" s="100"/>
      <c r="B94" s="100"/>
      <c r="C94" s="100"/>
      <c r="D94" s="54"/>
      <c r="E94" s="55"/>
      <c r="F94" s="56"/>
      <c r="G94" s="56"/>
      <c r="H94" s="57"/>
      <c r="I94" s="58"/>
      <c r="J94" s="58"/>
      <c r="K94" s="55"/>
      <c r="L94" s="59"/>
      <c r="M94" s="59"/>
      <c r="N94" s="59"/>
      <c r="O94" s="54"/>
      <c r="P94" s="60"/>
      <c r="Q94" s="66"/>
      <c r="R94" s="67"/>
      <c r="S94" s="56"/>
      <c r="T94" s="56"/>
      <c r="U94" s="63"/>
      <c r="V94" s="64"/>
      <c r="W94" s="55"/>
      <c r="X94" s="63"/>
      <c r="Y94" s="54"/>
      <c r="Z94" s="65"/>
      <c r="AA94" s="76"/>
      <c r="AB94" s="59"/>
      <c r="AC94" s="56"/>
      <c r="AD94" s="56"/>
      <c r="AE94" s="64"/>
      <c r="AF94" s="64"/>
      <c r="AG94" s="55"/>
      <c r="AH94" s="68"/>
      <c r="AI94" s="54"/>
      <c r="AJ94" s="69"/>
      <c r="AK94" s="76"/>
      <c r="AL94" s="59"/>
      <c r="AM94" s="56"/>
      <c r="AN94" s="56"/>
      <c r="AO94" s="64"/>
      <c r="AP94" s="64"/>
      <c r="AQ94" s="55"/>
      <c r="AR94" s="68"/>
      <c r="AS94" s="54"/>
      <c r="AT94" s="69"/>
      <c r="AU94" s="61"/>
      <c r="AV94" s="62"/>
      <c r="AW94" s="56"/>
      <c r="AX94" s="56"/>
      <c r="AY94" s="64"/>
      <c r="AZ94" s="64"/>
      <c r="BA94" s="55"/>
      <c r="BB94" s="72"/>
      <c r="BC94" s="68"/>
      <c r="BD94" s="69"/>
      <c r="BE94" s="76"/>
      <c r="BF94" s="59"/>
      <c r="BG94" s="56"/>
      <c r="BH94" s="56"/>
      <c r="BI94" s="64"/>
      <c r="BJ94" s="64"/>
      <c r="BK94" s="57"/>
      <c r="BL94" s="73"/>
      <c r="BM94" s="76"/>
      <c r="BN94" s="74"/>
      <c r="BO94" s="75"/>
      <c r="BP94" s="66"/>
      <c r="BQ94" s="74"/>
    </row>
    <row r="95" spans="1:69" s="44" customFormat="1" ht="22.35" customHeight="1" x14ac:dyDescent="0.2">
      <c r="A95" s="100"/>
      <c r="B95" s="100"/>
      <c r="C95" s="100"/>
      <c r="D95" s="54"/>
      <c r="E95" s="55"/>
      <c r="F95" s="56"/>
      <c r="G95" s="56"/>
      <c r="H95" s="57"/>
      <c r="I95" s="58"/>
      <c r="J95" s="58"/>
      <c r="K95" s="55"/>
      <c r="L95" s="59"/>
      <c r="M95" s="59"/>
      <c r="N95" s="59"/>
      <c r="O95" s="54"/>
      <c r="P95" s="60"/>
      <c r="Q95" s="66"/>
      <c r="R95" s="67"/>
      <c r="S95" s="56"/>
      <c r="T95" s="56"/>
      <c r="U95" s="63"/>
      <c r="V95" s="64"/>
      <c r="W95" s="55"/>
      <c r="X95" s="63"/>
      <c r="Y95" s="54"/>
      <c r="Z95" s="65"/>
      <c r="AA95" s="70"/>
      <c r="AB95" s="71"/>
      <c r="AC95" s="56"/>
      <c r="AD95" s="56"/>
      <c r="AE95" s="64"/>
      <c r="AF95" s="64"/>
      <c r="AG95" s="55"/>
      <c r="AH95" s="68"/>
      <c r="AI95" s="54"/>
      <c r="AJ95" s="69"/>
      <c r="AK95" s="76"/>
      <c r="AL95" s="59"/>
      <c r="AM95" s="56"/>
      <c r="AN95" s="56"/>
      <c r="AO95" s="64"/>
      <c r="AP95" s="64"/>
      <c r="AQ95" s="55"/>
      <c r="AR95" s="68"/>
      <c r="AS95" s="54"/>
      <c r="AT95" s="69"/>
      <c r="AU95" s="76"/>
      <c r="AV95" s="59"/>
      <c r="AW95" s="56"/>
      <c r="AX95" s="56"/>
      <c r="AY95" s="64"/>
      <c r="AZ95" s="64"/>
      <c r="BA95" s="55"/>
      <c r="BB95" s="72"/>
      <c r="BC95" s="68"/>
      <c r="BD95" s="69"/>
      <c r="BE95" s="66"/>
      <c r="BF95" s="67"/>
      <c r="BG95" s="56"/>
      <c r="BH95" s="56"/>
      <c r="BI95" s="64"/>
      <c r="BJ95" s="64"/>
      <c r="BK95" s="57"/>
      <c r="BL95" s="73"/>
      <c r="BM95" s="76"/>
      <c r="BN95" s="74"/>
      <c r="BO95" s="75"/>
      <c r="BP95" s="66"/>
      <c r="BQ95" s="74"/>
    </row>
    <row r="96" spans="1:69" s="44" customFormat="1" ht="22.35" customHeight="1" x14ac:dyDescent="0.2">
      <c r="A96" s="100"/>
      <c r="B96" s="100"/>
      <c r="C96" s="100"/>
      <c r="D96" s="54"/>
      <c r="E96" s="55"/>
      <c r="F96" s="56"/>
      <c r="G96" s="56"/>
      <c r="H96" s="57"/>
      <c r="I96" s="58"/>
      <c r="J96" s="58"/>
      <c r="K96" s="55"/>
      <c r="L96" s="59"/>
      <c r="M96" s="59"/>
      <c r="N96" s="59"/>
      <c r="O96" s="54"/>
      <c r="P96" s="60"/>
      <c r="Q96" s="66"/>
      <c r="R96" s="67"/>
      <c r="S96" s="56"/>
      <c r="T96" s="56"/>
      <c r="U96" s="63"/>
      <c r="V96" s="64"/>
      <c r="W96" s="55"/>
      <c r="X96" s="63"/>
      <c r="Y96" s="54"/>
      <c r="Z96" s="65"/>
      <c r="AA96" s="70"/>
      <c r="AB96" s="71"/>
      <c r="AC96" s="56"/>
      <c r="AD96" s="56"/>
      <c r="AE96" s="64"/>
      <c r="AF96" s="64"/>
      <c r="AG96" s="55"/>
      <c r="AH96" s="68"/>
      <c r="AI96" s="54"/>
      <c r="AJ96" s="69"/>
      <c r="AK96" s="70"/>
      <c r="AL96" s="71"/>
      <c r="AM96" s="56"/>
      <c r="AN96" s="56"/>
      <c r="AO96" s="64"/>
      <c r="AP96" s="64"/>
      <c r="AQ96" s="55"/>
      <c r="AR96" s="68"/>
      <c r="AS96" s="54"/>
      <c r="AT96" s="69"/>
      <c r="AU96" s="61"/>
      <c r="AV96" s="62"/>
      <c r="AW96" s="56"/>
      <c r="AX96" s="56"/>
      <c r="AY96" s="64"/>
      <c r="AZ96" s="64"/>
      <c r="BA96" s="55"/>
      <c r="BB96" s="72"/>
      <c r="BC96" s="68"/>
      <c r="BD96" s="69"/>
      <c r="BE96" s="66"/>
      <c r="BF96" s="67"/>
      <c r="BG96" s="56"/>
      <c r="BH96" s="56"/>
      <c r="BI96" s="64"/>
      <c r="BJ96" s="64"/>
      <c r="BK96" s="57"/>
      <c r="BL96" s="73"/>
      <c r="BM96" s="76"/>
      <c r="BN96" s="74"/>
      <c r="BO96" s="75"/>
      <c r="BP96" s="66"/>
      <c r="BQ96" s="74"/>
    </row>
    <row r="97" spans="1:69" s="44" customFormat="1" ht="22.35" customHeight="1" x14ac:dyDescent="0.2">
      <c r="A97" s="100"/>
      <c r="B97" s="100"/>
      <c r="C97" s="100"/>
      <c r="D97" s="54"/>
      <c r="E97" s="55"/>
      <c r="F97" s="56"/>
      <c r="G97" s="56"/>
      <c r="H97" s="57"/>
      <c r="I97" s="58"/>
      <c r="J97" s="58"/>
      <c r="K97" s="55"/>
      <c r="L97" s="59"/>
      <c r="M97" s="59"/>
      <c r="N97" s="59"/>
      <c r="O97" s="54"/>
      <c r="P97" s="60"/>
      <c r="Q97" s="66"/>
      <c r="R97" s="67"/>
      <c r="S97" s="56"/>
      <c r="T97" s="56"/>
      <c r="U97" s="63"/>
      <c r="V97" s="64"/>
      <c r="W97" s="55"/>
      <c r="X97" s="63"/>
      <c r="Y97" s="54"/>
      <c r="Z97" s="65"/>
      <c r="AA97" s="61"/>
      <c r="AB97" s="62"/>
      <c r="AC97" s="56"/>
      <c r="AD97" s="56"/>
      <c r="AE97" s="64"/>
      <c r="AF97" s="64"/>
      <c r="AG97" s="55"/>
      <c r="AH97" s="68"/>
      <c r="AI97" s="54"/>
      <c r="AJ97" s="69"/>
      <c r="AK97" s="76"/>
      <c r="AL97" s="59"/>
      <c r="AM97" s="56"/>
      <c r="AN97" s="56"/>
      <c r="AO97" s="64"/>
      <c r="AP97" s="64"/>
      <c r="AQ97" s="55"/>
      <c r="AR97" s="68"/>
      <c r="AS97" s="54"/>
      <c r="AT97" s="69"/>
      <c r="AU97" s="61"/>
      <c r="AV97" s="62"/>
      <c r="AW97" s="56"/>
      <c r="AX97" s="56"/>
      <c r="AY97" s="64"/>
      <c r="AZ97" s="64"/>
      <c r="BA97" s="55"/>
      <c r="BB97" s="72"/>
      <c r="BC97" s="68"/>
      <c r="BD97" s="69"/>
      <c r="BE97" s="70"/>
      <c r="BF97" s="71"/>
      <c r="BG97" s="56"/>
      <c r="BH97" s="56"/>
      <c r="BI97" s="64"/>
      <c r="BJ97" s="64"/>
      <c r="BK97" s="57"/>
      <c r="BL97" s="73"/>
      <c r="BM97" s="76"/>
      <c r="BN97" s="74"/>
      <c r="BO97" s="75"/>
      <c r="BP97" s="66"/>
      <c r="BQ97" s="74"/>
    </row>
    <row r="98" spans="1:69" s="44" customFormat="1" ht="22.35" customHeight="1" x14ac:dyDescent="0.2">
      <c r="A98" s="100"/>
      <c r="B98" s="100"/>
      <c r="C98" s="100"/>
      <c r="D98" s="54"/>
      <c r="E98" s="55"/>
      <c r="F98" s="56"/>
      <c r="G98" s="56"/>
      <c r="H98" s="57"/>
      <c r="I98" s="58"/>
      <c r="J98" s="58"/>
      <c r="K98" s="55"/>
      <c r="L98" s="59"/>
      <c r="M98" s="59"/>
      <c r="N98" s="59"/>
      <c r="O98" s="54"/>
      <c r="P98" s="60"/>
      <c r="Q98" s="66"/>
      <c r="R98" s="67"/>
      <c r="S98" s="56"/>
      <c r="T98" s="56"/>
      <c r="U98" s="63"/>
      <c r="V98" s="64"/>
      <c r="W98" s="55"/>
      <c r="X98" s="63"/>
      <c r="Y98" s="54"/>
      <c r="Z98" s="65"/>
      <c r="AA98" s="61"/>
      <c r="AB98" s="62"/>
      <c r="AC98" s="56"/>
      <c r="AD98" s="56"/>
      <c r="AE98" s="64"/>
      <c r="AF98" s="64"/>
      <c r="AG98" s="55"/>
      <c r="AH98" s="68"/>
      <c r="AI98" s="54"/>
      <c r="AJ98" s="69"/>
      <c r="AK98" s="70"/>
      <c r="AL98" s="71"/>
      <c r="AM98" s="56"/>
      <c r="AN98" s="56"/>
      <c r="AO98" s="64"/>
      <c r="AP98" s="64"/>
      <c r="AQ98" s="55"/>
      <c r="AR98" s="68"/>
      <c r="AS98" s="54"/>
      <c r="AT98" s="69"/>
      <c r="AU98" s="61"/>
      <c r="AV98" s="62"/>
      <c r="AW98" s="56"/>
      <c r="AX98" s="56"/>
      <c r="AY98" s="64"/>
      <c r="AZ98" s="64"/>
      <c r="BA98" s="55"/>
      <c r="BB98" s="72"/>
      <c r="BC98" s="68"/>
      <c r="BD98" s="69"/>
      <c r="BE98" s="66"/>
      <c r="BF98" s="67"/>
      <c r="BG98" s="56"/>
      <c r="BH98" s="56"/>
      <c r="BI98" s="64"/>
      <c r="BJ98" s="64"/>
      <c r="BK98" s="57"/>
      <c r="BL98" s="73"/>
      <c r="BM98" s="76"/>
      <c r="BN98" s="74"/>
      <c r="BO98" s="75"/>
      <c r="BP98" s="66"/>
      <c r="BQ98" s="74"/>
    </row>
    <row r="99" spans="1:69" s="44" customFormat="1" ht="22.35" customHeight="1" x14ac:dyDescent="0.2">
      <c r="A99" s="100"/>
      <c r="B99" s="100"/>
      <c r="C99" s="100"/>
      <c r="D99" s="54"/>
      <c r="E99" s="55"/>
      <c r="F99" s="56"/>
      <c r="G99" s="56"/>
      <c r="H99" s="57"/>
      <c r="I99" s="58"/>
      <c r="J99" s="58"/>
      <c r="K99" s="55"/>
      <c r="L99" s="59"/>
      <c r="M99" s="59"/>
      <c r="N99" s="59"/>
      <c r="O99" s="54"/>
      <c r="P99" s="60"/>
      <c r="Q99" s="66"/>
      <c r="R99" s="67"/>
      <c r="S99" s="56"/>
      <c r="T99" s="56"/>
      <c r="U99" s="63"/>
      <c r="V99" s="64"/>
      <c r="W99" s="55"/>
      <c r="X99" s="63"/>
      <c r="Y99" s="54"/>
      <c r="Z99" s="65"/>
      <c r="AA99" s="70"/>
      <c r="AB99" s="71"/>
      <c r="AC99" s="56"/>
      <c r="AD99" s="56"/>
      <c r="AE99" s="64"/>
      <c r="AF99" s="64"/>
      <c r="AG99" s="55"/>
      <c r="AH99" s="68"/>
      <c r="AI99" s="54"/>
      <c r="AJ99" s="69"/>
      <c r="AK99" s="70"/>
      <c r="AL99" s="71"/>
      <c r="AM99" s="56"/>
      <c r="AN99" s="56"/>
      <c r="AO99" s="64"/>
      <c r="AP99" s="64"/>
      <c r="AQ99" s="55"/>
      <c r="AR99" s="68"/>
      <c r="AS99" s="54"/>
      <c r="AT99" s="69"/>
      <c r="AU99" s="61"/>
      <c r="AV99" s="62"/>
      <c r="AW99" s="56"/>
      <c r="AX99" s="56"/>
      <c r="AY99" s="64"/>
      <c r="AZ99" s="64"/>
      <c r="BA99" s="55"/>
      <c r="BB99" s="72"/>
      <c r="BC99" s="68"/>
      <c r="BD99" s="69"/>
      <c r="BE99" s="66"/>
      <c r="BF99" s="67"/>
      <c r="BG99" s="56"/>
      <c r="BH99" s="56"/>
      <c r="BI99" s="64"/>
      <c r="BJ99" s="64"/>
      <c r="BK99" s="57"/>
      <c r="BL99" s="73"/>
      <c r="BM99" s="76"/>
      <c r="BN99" s="74"/>
      <c r="BO99" s="75"/>
      <c r="BP99" s="66"/>
      <c r="BQ99" s="74"/>
    </row>
    <row r="100" spans="1:69" s="44" customFormat="1" ht="22.35" customHeight="1" x14ac:dyDescent="0.2">
      <c r="A100" s="100"/>
      <c r="B100" s="100"/>
      <c r="C100" s="100"/>
      <c r="D100" s="54"/>
      <c r="E100" s="55"/>
      <c r="F100" s="56"/>
      <c r="G100" s="56"/>
      <c r="H100" s="57"/>
      <c r="I100" s="58"/>
      <c r="J100" s="58"/>
      <c r="K100" s="55"/>
      <c r="L100" s="59"/>
      <c r="M100" s="59"/>
      <c r="N100" s="59"/>
      <c r="O100" s="54"/>
      <c r="P100" s="60"/>
      <c r="Q100" s="66"/>
      <c r="R100" s="67"/>
      <c r="S100" s="56"/>
      <c r="T100" s="56"/>
      <c r="U100" s="63"/>
      <c r="V100" s="64"/>
      <c r="W100" s="55"/>
      <c r="X100" s="63"/>
      <c r="Y100" s="54"/>
      <c r="Z100" s="65"/>
      <c r="AA100" s="61"/>
      <c r="AB100" s="62"/>
      <c r="AC100" s="56"/>
      <c r="AD100" s="56"/>
      <c r="AE100" s="64"/>
      <c r="AF100" s="64"/>
      <c r="AG100" s="55"/>
      <c r="AH100" s="68"/>
      <c r="AI100" s="54"/>
      <c r="AJ100" s="69"/>
      <c r="AK100" s="61"/>
      <c r="AL100" s="62"/>
      <c r="AM100" s="56"/>
      <c r="AN100" s="56"/>
      <c r="AO100" s="64"/>
      <c r="AP100" s="64"/>
      <c r="AQ100" s="55"/>
      <c r="AR100" s="68"/>
      <c r="AS100" s="54"/>
      <c r="AT100" s="69"/>
      <c r="AU100" s="61"/>
      <c r="AV100" s="62"/>
      <c r="AW100" s="56"/>
      <c r="AX100" s="56"/>
      <c r="AY100" s="64"/>
      <c r="AZ100" s="64"/>
      <c r="BA100" s="55"/>
      <c r="BB100" s="72"/>
      <c r="BC100" s="68"/>
      <c r="BD100" s="69"/>
      <c r="BE100" s="61"/>
      <c r="BF100" s="62"/>
      <c r="BG100" s="56"/>
      <c r="BH100" s="56"/>
      <c r="BI100" s="64"/>
      <c r="BJ100" s="64"/>
      <c r="BK100" s="57"/>
      <c r="BL100" s="73"/>
      <c r="BM100" s="76"/>
      <c r="BN100" s="74"/>
      <c r="BO100" s="75"/>
      <c r="BP100" s="66"/>
      <c r="BQ100" s="74"/>
    </row>
    <row r="101" spans="1:69" s="44" customFormat="1" ht="22.35" customHeight="1" x14ac:dyDescent="0.2">
      <c r="A101" s="100"/>
      <c r="B101" s="100"/>
      <c r="C101" s="100"/>
      <c r="D101" s="54"/>
      <c r="E101" s="55"/>
      <c r="F101" s="56"/>
      <c r="G101" s="56"/>
      <c r="H101" s="57"/>
      <c r="I101" s="58"/>
      <c r="J101" s="58"/>
      <c r="K101" s="55"/>
      <c r="L101" s="59"/>
      <c r="M101" s="59"/>
      <c r="N101" s="59"/>
      <c r="O101" s="54"/>
      <c r="P101" s="60"/>
      <c r="Q101" s="66"/>
      <c r="R101" s="67"/>
      <c r="S101" s="56"/>
      <c r="T101" s="56"/>
      <c r="U101" s="63"/>
      <c r="V101" s="64"/>
      <c r="W101" s="55"/>
      <c r="X101" s="63"/>
      <c r="Y101" s="54"/>
      <c r="Z101" s="65"/>
      <c r="AA101" s="61"/>
      <c r="AB101" s="62"/>
      <c r="AC101" s="56"/>
      <c r="AD101" s="56"/>
      <c r="AE101" s="64"/>
      <c r="AF101" s="64"/>
      <c r="AG101" s="55"/>
      <c r="AH101" s="68"/>
      <c r="AI101" s="54"/>
      <c r="AJ101" s="69"/>
      <c r="AK101" s="61"/>
      <c r="AL101" s="62"/>
      <c r="AM101" s="56"/>
      <c r="AN101" s="56"/>
      <c r="AO101" s="64"/>
      <c r="AP101" s="64"/>
      <c r="AQ101" s="55"/>
      <c r="AR101" s="68"/>
      <c r="AS101" s="54"/>
      <c r="AT101" s="69"/>
      <c r="AU101" s="61"/>
      <c r="AV101" s="62"/>
      <c r="AW101" s="56"/>
      <c r="AX101" s="56"/>
      <c r="AY101" s="64"/>
      <c r="AZ101" s="64"/>
      <c r="BA101" s="55"/>
      <c r="BB101" s="72"/>
      <c r="BC101" s="68"/>
      <c r="BD101" s="69"/>
      <c r="BE101" s="76"/>
      <c r="BF101" s="59"/>
      <c r="BG101" s="56"/>
      <c r="BH101" s="56"/>
      <c r="BI101" s="64"/>
      <c r="BJ101" s="64"/>
      <c r="BK101" s="57"/>
      <c r="BL101" s="73"/>
      <c r="BM101" s="76"/>
      <c r="BN101" s="74"/>
      <c r="BO101" s="75"/>
      <c r="BP101" s="66"/>
      <c r="BQ101" s="74"/>
    </row>
    <row r="102" spans="1:69" s="44" customFormat="1" ht="22.35" customHeight="1" x14ac:dyDescent="0.2">
      <c r="A102" s="100"/>
      <c r="B102" s="100"/>
      <c r="C102" s="100"/>
      <c r="D102" s="54"/>
      <c r="E102" s="55"/>
      <c r="F102" s="56"/>
      <c r="G102" s="56"/>
      <c r="H102" s="57"/>
      <c r="I102" s="58"/>
      <c r="J102" s="58"/>
      <c r="K102" s="55"/>
      <c r="L102" s="59"/>
      <c r="M102" s="59"/>
      <c r="N102" s="59"/>
      <c r="O102" s="54"/>
      <c r="P102" s="60"/>
      <c r="Q102" s="66"/>
      <c r="R102" s="67"/>
      <c r="S102" s="56"/>
      <c r="T102" s="56"/>
      <c r="U102" s="63"/>
      <c r="V102" s="64"/>
      <c r="W102" s="55"/>
      <c r="X102" s="63"/>
      <c r="Y102" s="54"/>
      <c r="Z102" s="65"/>
      <c r="AA102" s="76"/>
      <c r="AB102" s="59"/>
      <c r="AC102" s="56"/>
      <c r="AD102" s="56"/>
      <c r="AE102" s="64"/>
      <c r="AF102" s="64"/>
      <c r="AG102" s="55"/>
      <c r="AH102" s="68"/>
      <c r="AI102" s="54"/>
      <c r="AJ102" s="69"/>
      <c r="AK102" s="61"/>
      <c r="AL102" s="62"/>
      <c r="AM102" s="56"/>
      <c r="AN102" s="56"/>
      <c r="AO102" s="64"/>
      <c r="AP102" s="64"/>
      <c r="AQ102" s="55"/>
      <c r="AR102" s="68"/>
      <c r="AS102" s="54"/>
      <c r="AT102" s="69"/>
      <c r="AU102" s="61"/>
      <c r="AV102" s="62"/>
      <c r="AW102" s="56"/>
      <c r="AX102" s="56"/>
      <c r="AY102" s="64"/>
      <c r="AZ102" s="64"/>
      <c r="BA102" s="55"/>
      <c r="BB102" s="72"/>
      <c r="BC102" s="68"/>
      <c r="BD102" s="69"/>
      <c r="BE102" s="76"/>
      <c r="BF102" s="59"/>
      <c r="BG102" s="56"/>
      <c r="BH102" s="56"/>
      <c r="BI102" s="64"/>
      <c r="BJ102" s="64"/>
      <c r="BK102" s="57"/>
      <c r="BL102" s="73"/>
      <c r="BM102" s="76"/>
      <c r="BN102" s="74"/>
      <c r="BO102" s="75"/>
      <c r="BP102" s="66"/>
      <c r="BQ102" s="74"/>
    </row>
    <row r="103" spans="1:69" s="44" customFormat="1" ht="22.35" customHeight="1" x14ac:dyDescent="0.2">
      <c r="A103" s="100"/>
      <c r="B103" s="100"/>
      <c r="C103" s="100"/>
      <c r="D103" s="54"/>
      <c r="E103" s="55"/>
      <c r="F103" s="56"/>
      <c r="G103" s="56"/>
      <c r="H103" s="57"/>
      <c r="I103" s="58"/>
      <c r="J103" s="58"/>
      <c r="K103" s="55"/>
      <c r="L103" s="59"/>
      <c r="M103" s="59"/>
      <c r="N103" s="59"/>
      <c r="O103" s="54"/>
      <c r="P103" s="60"/>
      <c r="Q103" s="66"/>
      <c r="R103" s="67"/>
      <c r="S103" s="56"/>
      <c r="T103" s="56"/>
      <c r="U103" s="63"/>
      <c r="V103" s="64"/>
      <c r="W103" s="55"/>
      <c r="X103" s="63"/>
      <c r="Y103" s="54"/>
      <c r="Z103" s="65"/>
      <c r="AA103" s="76"/>
      <c r="AB103" s="59"/>
      <c r="AC103" s="56"/>
      <c r="AD103" s="56"/>
      <c r="AE103" s="64"/>
      <c r="AF103" s="64"/>
      <c r="AG103" s="55"/>
      <c r="AH103" s="68"/>
      <c r="AI103" s="54"/>
      <c r="AJ103" s="69"/>
      <c r="AK103" s="61"/>
      <c r="AL103" s="62"/>
      <c r="AM103" s="56"/>
      <c r="AN103" s="56"/>
      <c r="AO103" s="64"/>
      <c r="AP103" s="64"/>
      <c r="AQ103" s="55"/>
      <c r="AR103" s="68"/>
      <c r="AS103" s="54"/>
      <c r="AT103" s="69"/>
      <c r="AU103" s="61"/>
      <c r="AV103" s="62"/>
      <c r="AW103" s="56"/>
      <c r="AX103" s="56"/>
      <c r="AY103" s="64"/>
      <c r="AZ103" s="64"/>
      <c r="BA103" s="55"/>
      <c r="BB103" s="72"/>
      <c r="BC103" s="68"/>
      <c r="BD103" s="69"/>
      <c r="BE103" s="70"/>
      <c r="BF103" s="71"/>
      <c r="BG103" s="56"/>
      <c r="BH103" s="56"/>
      <c r="BI103" s="64"/>
      <c r="BJ103" s="64"/>
      <c r="BK103" s="57"/>
      <c r="BL103" s="73"/>
      <c r="BM103" s="76"/>
      <c r="BN103" s="74"/>
      <c r="BO103" s="75"/>
      <c r="BP103" s="66"/>
      <c r="BQ103" s="74"/>
    </row>
    <row r="104" spans="1:69" s="44" customFormat="1" ht="22.35" customHeight="1" x14ac:dyDescent="0.2">
      <c r="A104" s="100"/>
      <c r="B104" s="100"/>
      <c r="C104" s="100"/>
      <c r="D104" s="54"/>
      <c r="E104" s="55"/>
      <c r="F104" s="56"/>
      <c r="G104" s="56"/>
      <c r="H104" s="57"/>
      <c r="I104" s="58"/>
      <c r="J104" s="58"/>
      <c r="K104" s="55"/>
      <c r="L104" s="59"/>
      <c r="M104" s="59"/>
      <c r="N104" s="59"/>
      <c r="O104" s="54"/>
      <c r="P104" s="60"/>
      <c r="Q104" s="66"/>
      <c r="R104" s="67"/>
      <c r="S104" s="56"/>
      <c r="T104" s="56"/>
      <c r="U104" s="63"/>
      <c r="V104" s="64"/>
      <c r="W104" s="55"/>
      <c r="X104" s="63"/>
      <c r="Y104" s="54"/>
      <c r="Z104" s="65"/>
      <c r="AA104" s="66"/>
      <c r="AB104" s="67"/>
      <c r="AC104" s="56"/>
      <c r="AD104" s="56"/>
      <c r="AE104" s="64"/>
      <c r="AF104" s="64"/>
      <c r="AG104" s="55"/>
      <c r="AH104" s="68"/>
      <c r="AI104" s="54"/>
      <c r="AJ104" s="69"/>
      <c r="AK104" s="70"/>
      <c r="AL104" s="71"/>
      <c r="AM104" s="56"/>
      <c r="AN104" s="56"/>
      <c r="AO104" s="64"/>
      <c r="AP104" s="64"/>
      <c r="AQ104" s="55"/>
      <c r="AR104" s="68"/>
      <c r="AS104" s="54"/>
      <c r="AT104" s="69"/>
      <c r="AU104" s="61"/>
      <c r="AV104" s="62"/>
      <c r="AW104" s="56"/>
      <c r="AX104" s="56"/>
      <c r="AY104" s="64"/>
      <c r="AZ104" s="64"/>
      <c r="BA104" s="55"/>
      <c r="BB104" s="72"/>
      <c r="BC104" s="68"/>
      <c r="BD104" s="69"/>
      <c r="BE104" s="70"/>
      <c r="BF104" s="71"/>
      <c r="BG104" s="56"/>
      <c r="BH104" s="56"/>
      <c r="BI104" s="64"/>
      <c r="BJ104" s="64"/>
      <c r="BK104" s="57"/>
      <c r="BL104" s="73"/>
      <c r="BM104" s="61"/>
      <c r="BN104" s="74"/>
      <c r="BO104" s="75"/>
      <c r="BP104" s="66"/>
      <c r="BQ104" s="74"/>
    </row>
    <row r="105" spans="1:69" s="44" customFormat="1" ht="22.35" customHeight="1" x14ac:dyDescent="0.2">
      <c r="A105" s="100"/>
      <c r="B105" s="100"/>
      <c r="C105" s="100"/>
      <c r="D105" s="54"/>
      <c r="E105" s="55"/>
      <c r="F105" s="56"/>
      <c r="G105" s="56"/>
      <c r="H105" s="57"/>
      <c r="I105" s="58"/>
      <c r="J105" s="58"/>
      <c r="K105" s="55"/>
      <c r="L105" s="59"/>
      <c r="M105" s="59"/>
      <c r="N105" s="59"/>
      <c r="O105" s="54"/>
      <c r="P105" s="60"/>
      <c r="Q105" s="66"/>
      <c r="R105" s="67"/>
      <c r="S105" s="56"/>
      <c r="T105" s="56"/>
      <c r="U105" s="63"/>
      <c r="V105" s="64"/>
      <c r="W105" s="55"/>
      <c r="X105" s="63"/>
      <c r="Y105" s="54"/>
      <c r="Z105" s="65"/>
      <c r="AA105" s="70"/>
      <c r="AB105" s="71"/>
      <c r="AC105" s="56"/>
      <c r="AD105" s="56"/>
      <c r="AE105" s="64"/>
      <c r="AF105" s="64"/>
      <c r="AG105" s="55"/>
      <c r="AH105" s="68"/>
      <c r="AI105" s="54"/>
      <c r="AJ105" s="69"/>
      <c r="AK105" s="61"/>
      <c r="AL105" s="62"/>
      <c r="AM105" s="56"/>
      <c r="AN105" s="56"/>
      <c r="AO105" s="64"/>
      <c r="AP105" s="64"/>
      <c r="AQ105" s="55"/>
      <c r="AR105" s="68"/>
      <c r="AS105" s="54"/>
      <c r="AT105" s="69"/>
      <c r="AU105" s="61"/>
      <c r="AV105" s="62"/>
      <c r="AW105" s="56"/>
      <c r="AX105" s="56"/>
      <c r="AY105" s="64"/>
      <c r="AZ105" s="64"/>
      <c r="BA105" s="55"/>
      <c r="BB105" s="72"/>
      <c r="BC105" s="68"/>
      <c r="BD105" s="69"/>
      <c r="BE105" s="70"/>
      <c r="BF105" s="71"/>
      <c r="BG105" s="56"/>
      <c r="BH105" s="56"/>
      <c r="BI105" s="64"/>
      <c r="BJ105" s="64"/>
      <c r="BK105" s="57"/>
      <c r="BL105" s="73"/>
      <c r="BM105" s="76"/>
      <c r="BN105" s="74"/>
      <c r="BO105" s="75"/>
      <c r="BP105" s="66"/>
      <c r="BQ105" s="74"/>
    </row>
    <row r="106" spans="1:69" s="44" customFormat="1" ht="22.35" customHeight="1" x14ac:dyDescent="0.2">
      <c r="A106" s="100"/>
      <c r="B106" s="100"/>
      <c r="C106" s="100"/>
      <c r="D106" s="54"/>
      <c r="E106" s="55"/>
      <c r="F106" s="56"/>
      <c r="G106" s="56"/>
      <c r="H106" s="57"/>
      <c r="I106" s="58"/>
      <c r="J106" s="58"/>
      <c r="K106" s="55"/>
      <c r="L106" s="59"/>
      <c r="M106" s="59"/>
      <c r="N106" s="59"/>
      <c r="O106" s="54"/>
      <c r="P106" s="60"/>
      <c r="Q106" s="66"/>
      <c r="R106" s="67"/>
      <c r="S106" s="56"/>
      <c r="T106" s="56"/>
      <c r="U106" s="63"/>
      <c r="V106" s="64"/>
      <c r="W106" s="55"/>
      <c r="X106" s="63"/>
      <c r="Y106" s="54"/>
      <c r="Z106" s="65"/>
      <c r="AA106" s="76"/>
      <c r="AB106" s="59"/>
      <c r="AC106" s="56"/>
      <c r="AD106" s="56"/>
      <c r="AE106" s="64"/>
      <c r="AF106" s="64"/>
      <c r="AG106" s="55"/>
      <c r="AH106" s="68"/>
      <c r="AI106" s="54"/>
      <c r="AJ106" s="69"/>
      <c r="AK106" s="61"/>
      <c r="AL106" s="62"/>
      <c r="AM106" s="56"/>
      <c r="AN106" s="56"/>
      <c r="AO106" s="64"/>
      <c r="AP106" s="64"/>
      <c r="AQ106" s="55"/>
      <c r="AR106" s="68"/>
      <c r="AS106" s="54"/>
      <c r="AT106" s="69"/>
      <c r="AU106" s="61"/>
      <c r="AV106" s="62"/>
      <c r="AW106" s="56"/>
      <c r="AX106" s="56"/>
      <c r="AY106" s="64"/>
      <c r="AZ106" s="64"/>
      <c r="BA106" s="55"/>
      <c r="BB106" s="72"/>
      <c r="BC106" s="68"/>
      <c r="BD106" s="69"/>
      <c r="BE106" s="61"/>
      <c r="BF106" s="62"/>
      <c r="BG106" s="56"/>
      <c r="BH106" s="56"/>
      <c r="BI106" s="64"/>
      <c r="BJ106" s="64"/>
      <c r="BK106" s="57"/>
      <c r="BL106" s="73"/>
      <c r="BM106" s="76"/>
      <c r="BN106" s="74"/>
      <c r="BO106" s="75"/>
      <c r="BP106" s="66"/>
      <c r="BQ106" s="74"/>
    </row>
    <row r="107" spans="1:69" s="44" customFormat="1" ht="22.35" customHeight="1" x14ac:dyDescent="0.2">
      <c r="A107" s="100"/>
      <c r="B107" s="100"/>
      <c r="C107" s="100"/>
      <c r="D107" s="54"/>
      <c r="E107" s="55"/>
      <c r="F107" s="56"/>
      <c r="G107" s="56"/>
      <c r="H107" s="57"/>
      <c r="I107" s="58"/>
      <c r="J107" s="58"/>
      <c r="K107" s="55"/>
      <c r="L107" s="59"/>
      <c r="M107" s="59"/>
      <c r="N107" s="59"/>
      <c r="O107" s="54"/>
      <c r="P107" s="60"/>
      <c r="Q107" s="66"/>
      <c r="R107" s="67"/>
      <c r="S107" s="56"/>
      <c r="T107" s="56"/>
      <c r="U107" s="63"/>
      <c r="V107" s="64"/>
      <c r="W107" s="55"/>
      <c r="X107" s="63"/>
      <c r="Y107" s="54"/>
      <c r="Z107" s="65"/>
      <c r="AA107" s="61"/>
      <c r="AB107" s="62"/>
      <c r="AC107" s="56"/>
      <c r="AD107" s="56"/>
      <c r="AE107" s="64"/>
      <c r="AF107" s="64"/>
      <c r="AG107" s="55"/>
      <c r="AH107" s="68"/>
      <c r="AI107" s="54"/>
      <c r="AJ107" s="69"/>
      <c r="AK107" s="61"/>
      <c r="AL107" s="62"/>
      <c r="AM107" s="56"/>
      <c r="AN107" s="56"/>
      <c r="AO107" s="64"/>
      <c r="AP107" s="64"/>
      <c r="AQ107" s="55"/>
      <c r="AR107" s="68"/>
      <c r="AS107" s="54"/>
      <c r="AT107" s="69"/>
      <c r="AU107" s="61"/>
      <c r="AV107" s="62"/>
      <c r="AW107" s="56"/>
      <c r="AX107" s="56"/>
      <c r="AY107" s="64"/>
      <c r="AZ107" s="64"/>
      <c r="BA107" s="55"/>
      <c r="BB107" s="72"/>
      <c r="BC107" s="68"/>
      <c r="BD107" s="69"/>
      <c r="BE107" s="70"/>
      <c r="BF107" s="71"/>
      <c r="BG107" s="56"/>
      <c r="BH107" s="56"/>
      <c r="BI107" s="64"/>
      <c r="BJ107" s="64"/>
      <c r="BK107" s="57"/>
      <c r="BL107" s="73"/>
      <c r="BM107" s="76"/>
      <c r="BN107" s="74"/>
      <c r="BO107" s="75"/>
      <c r="BP107" s="66"/>
      <c r="BQ107" s="74"/>
    </row>
    <row r="108" spans="1:69" s="44" customFormat="1" ht="22.35" customHeight="1" x14ac:dyDescent="0.2">
      <c r="A108" s="100"/>
      <c r="B108" s="100"/>
      <c r="C108" s="100"/>
      <c r="D108" s="54"/>
      <c r="E108" s="55"/>
      <c r="F108" s="56"/>
      <c r="G108" s="56"/>
      <c r="H108" s="57"/>
      <c r="I108" s="58"/>
      <c r="J108" s="58"/>
      <c r="K108" s="55"/>
      <c r="L108" s="59"/>
      <c r="M108" s="59"/>
      <c r="N108" s="59"/>
      <c r="O108" s="54"/>
      <c r="P108" s="60"/>
      <c r="Q108" s="61"/>
      <c r="R108" s="62"/>
      <c r="S108" s="56"/>
      <c r="T108" s="56"/>
      <c r="U108" s="63"/>
      <c r="V108" s="64"/>
      <c r="W108" s="55"/>
      <c r="X108" s="63"/>
      <c r="Y108" s="54"/>
      <c r="Z108" s="65"/>
      <c r="AA108" s="76"/>
      <c r="AB108" s="59"/>
      <c r="AC108" s="56"/>
      <c r="AD108" s="56"/>
      <c r="AE108" s="64"/>
      <c r="AF108" s="64"/>
      <c r="AG108" s="55"/>
      <c r="AH108" s="68"/>
      <c r="AI108" s="54"/>
      <c r="AJ108" s="69"/>
      <c r="AK108" s="61"/>
      <c r="AL108" s="62"/>
      <c r="AM108" s="56"/>
      <c r="AN108" s="56"/>
      <c r="AO108" s="64"/>
      <c r="AP108" s="64"/>
      <c r="AQ108" s="55"/>
      <c r="AR108" s="68"/>
      <c r="AS108" s="54"/>
      <c r="AT108" s="69"/>
      <c r="AU108" s="61"/>
      <c r="AV108" s="62"/>
      <c r="AW108" s="56"/>
      <c r="AX108" s="56"/>
      <c r="AY108" s="64"/>
      <c r="AZ108" s="64"/>
      <c r="BA108" s="55"/>
      <c r="BB108" s="72"/>
      <c r="BC108" s="68"/>
      <c r="BD108" s="69"/>
      <c r="BE108" s="66"/>
      <c r="BF108" s="67"/>
      <c r="BG108" s="56"/>
      <c r="BH108" s="56"/>
      <c r="BI108" s="64"/>
      <c r="BJ108" s="64"/>
      <c r="BK108" s="57"/>
      <c r="BL108" s="73"/>
      <c r="BM108" s="61"/>
      <c r="BN108" s="74"/>
      <c r="BO108" s="75"/>
      <c r="BP108" s="66"/>
      <c r="BQ108" s="74"/>
    </row>
    <row r="109" spans="1:69" s="44" customFormat="1" ht="22.35" customHeight="1" x14ac:dyDescent="0.2">
      <c r="A109" s="100"/>
      <c r="B109" s="100"/>
      <c r="C109" s="100"/>
      <c r="D109" s="54"/>
      <c r="E109" s="55"/>
      <c r="F109" s="56"/>
      <c r="G109" s="56"/>
      <c r="H109" s="57"/>
      <c r="I109" s="58"/>
      <c r="J109" s="58"/>
      <c r="K109" s="55"/>
      <c r="L109" s="59"/>
      <c r="M109" s="59"/>
      <c r="N109" s="59"/>
      <c r="O109" s="54"/>
      <c r="P109" s="60"/>
      <c r="Q109" s="61"/>
      <c r="R109" s="62"/>
      <c r="S109" s="56"/>
      <c r="T109" s="56"/>
      <c r="U109" s="63"/>
      <c r="V109" s="64"/>
      <c r="W109" s="55"/>
      <c r="X109" s="63"/>
      <c r="Y109" s="54"/>
      <c r="Z109" s="65"/>
      <c r="AA109" s="76"/>
      <c r="AB109" s="59"/>
      <c r="AC109" s="56"/>
      <c r="AD109" s="56"/>
      <c r="AE109" s="64"/>
      <c r="AF109" s="64"/>
      <c r="AG109" s="55"/>
      <c r="AH109" s="68"/>
      <c r="AI109" s="54"/>
      <c r="AJ109" s="69"/>
      <c r="AK109" s="76"/>
      <c r="AL109" s="59"/>
      <c r="AM109" s="56"/>
      <c r="AN109" s="56"/>
      <c r="AO109" s="64"/>
      <c r="AP109" s="64"/>
      <c r="AQ109" s="55"/>
      <c r="AR109" s="68"/>
      <c r="AS109" s="54"/>
      <c r="AT109" s="69"/>
      <c r="AU109" s="61"/>
      <c r="AV109" s="62"/>
      <c r="AW109" s="56"/>
      <c r="AX109" s="56"/>
      <c r="AY109" s="64"/>
      <c r="AZ109" s="64"/>
      <c r="BA109" s="55"/>
      <c r="BB109" s="72"/>
      <c r="BC109" s="68"/>
      <c r="BD109" s="69"/>
      <c r="BE109" s="76"/>
      <c r="BF109" s="59"/>
      <c r="BG109" s="56"/>
      <c r="BH109" s="56"/>
      <c r="BI109" s="64"/>
      <c r="BJ109" s="64"/>
      <c r="BK109" s="57"/>
      <c r="BL109" s="73"/>
      <c r="BM109" s="61"/>
      <c r="BN109" s="74"/>
      <c r="BO109" s="75"/>
      <c r="BP109" s="66"/>
      <c r="BQ109" s="74"/>
    </row>
    <row r="110" spans="1:69" s="44" customFormat="1" ht="22.35" customHeight="1" x14ac:dyDescent="0.2">
      <c r="A110" s="100"/>
      <c r="B110" s="100"/>
      <c r="C110" s="100"/>
      <c r="D110" s="54"/>
      <c r="E110" s="55"/>
      <c r="F110" s="56"/>
      <c r="G110" s="56"/>
      <c r="H110" s="57"/>
      <c r="I110" s="58"/>
      <c r="J110" s="58"/>
      <c r="K110" s="55"/>
      <c r="L110" s="59"/>
      <c r="M110" s="59"/>
      <c r="N110" s="59"/>
      <c r="O110" s="54"/>
      <c r="P110" s="60"/>
      <c r="Q110" s="66"/>
      <c r="R110" s="67"/>
      <c r="S110" s="56"/>
      <c r="T110" s="56"/>
      <c r="U110" s="63"/>
      <c r="V110" s="64"/>
      <c r="W110" s="55"/>
      <c r="X110" s="63"/>
      <c r="Y110" s="54"/>
      <c r="Z110" s="65"/>
      <c r="AA110" s="70"/>
      <c r="AB110" s="71"/>
      <c r="AC110" s="56"/>
      <c r="AD110" s="56"/>
      <c r="AE110" s="64"/>
      <c r="AF110" s="64"/>
      <c r="AG110" s="55"/>
      <c r="AH110" s="68"/>
      <c r="AI110" s="54"/>
      <c r="AJ110" s="69"/>
      <c r="AK110" s="61"/>
      <c r="AL110" s="62"/>
      <c r="AM110" s="56"/>
      <c r="AN110" s="56"/>
      <c r="AO110" s="64"/>
      <c r="AP110" s="64"/>
      <c r="AQ110" s="55"/>
      <c r="AR110" s="68"/>
      <c r="AS110" s="54"/>
      <c r="AT110" s="69"/>
      <c r="AU110" s="61"/>
      <c r="AV110" s="62"/>
      <c r="AW110" s="56"/>
      <c r="AX110" s="56"/>
      <c r="AY110" s="64"/>
      <c r="AZ110" s="64"/>
      <c r="BA110" s="55"/>
      <c r="BB110" s="72"/>
      <c r="BC110" s="68"/>
      <c r="BD110" s="69"/>
      <c r="BE110" s="70"/>
      <c r="BF110" s="71"/>
      <c r="BG110" s="56"/>
      <c r="BH110" s="56"/>
      <c r="BI110" s="64"/>
      <c r="BJ110" s="64"/>
      <c r="BK110" s="57"/>
      <c r="BL110" s="73"/>
      <c r="BM110" s="76"/>
      <c r="BN110" s="74"/>
      <c r="BO110" s="75"/>
      <c r="BP110" s="66"/>
      <c r="BQ110" s="74"/>
    </row>
    <row r="111" spans="1:69" s="44" customFormat="1" ht="22.35" customHeight="1" x14ac:dyDescent="0.2">
      <c r="A111" s="100"/>
      <c r="B111" s="100"/>
      <c r="C111" s="100"/>
      <c r="D111" s="54"/>
      <c r="E111" s="55"/>
      <c r="F111" s="56"/>
      <c r="G111" s="56"/>
      <c r="H111" s="57"/>
      <c r="I111" s="58"/>
      <c r="J111" s="58"/>
      <c r="K111" s="55"/>
      <c r="L111" s="59"/>
      <c r="M111" s="59"/>
      <c r="N111" s="59"/>
      <c r="O111" s="54"/>
      <c r="P111" s="60"/>
      <c r="Q111" s="66"/>
      <c r="R111" s="67"/>
      <c r="S111" s="56"/>
      <c r="T111" s="56"/>
      <c r="U111" s="63"/>
      <c r="V111" s="64"/>
      <c r="W111" s="55"/>
      <c r="X111" s="63"/>
      <c r="Y111" s="54"/>
      <c r="Z111" s="65"/>
      <c r="AA111" s="76"/>
      <c r="AB111" s="59"/>
      <c r="AC111" s="56"/>
      <c r="AD111" s="56"/>
      <c r="AE111" s="64"/>
      <c r="AF111" s="64"/>
      <c r="AG111" s="55"/>
      <c r="AH111" s="68"/>
      <c r="AI111" s="54"/>
      <c r="AJ111" s="69"/>
      <c r="AK111" s="76"/>
      <c r="AL111" s="59"/>
      <c r="AM111" s="56"/>
      <c r="AN111" s="56"/>
      <c r="AO111" s="64"/>
      <c r="AP111" s="64"/>
      <c r="AQ111" s="55"/>
      <c r="AR111" s="68"/>
      <c r="AS111" s="54"/>
      <c r="AT111" s="69"/>
      <c r="AU111" s="61"/>
      <c r="AV111" s="62"/>
      <c r="AW111" s="56"/>
      <c r="AX111" s="56"/>
      <c r="AY111" s="64"/>
      <c r="AZ111" s="64"/>
      <c r="BA111" s="55"/>
      <c r="BB111" s="72"/>
      <c r="BC111" s="68"/>
      <c r="BD111" s="69"/>
      <c r="BE111" s="70"/>
      <c r="BF111" s="71"/>
      <c r="BG111" s="56"/>
      <c r="BH111" s="56"/>
      <c r="BI111" s="64"/>
      <c r="BJ111" s="64"/>
      <c r="BK111" s="57"/>
      <c r="BL111" s="73"/>
      <c r="BM111" s="76"/>
      <c r="BN111" s="74"/>
      <c r="BO111" s="75"/>
      <c r="BP111" s="66"/>
      <c r="BQ111" s="74"/>
    </row>
    <row r="112" spans="1:69" s="44" customFormat="1" ht="22.35" customHeight="1" x14ac:dyDescent="0.2">
      <c r="A112" s="100"/>
      <c r="B112" s="100"/>
      <c r="C112" s="100"/>
      <c r="D112" s="54"/>
      <c r="E112" s="55"/>
      <c r="F112" s="56"/>
      <c r="G112" s="56"/>
      <c r="H112" s="57"/>
      <c r="I112" s="58"/>
      <c r="J112" s="58"/>
      <c r="K112" s="55"/>
      <c r="L112" s="59"/>
      <c r="M112" s="59"/>
      <c r="N112" s="59"/>
      <c r="O112" s="54"/>
      <c r="P112" s="60"/>
      <c r="Q112" s="66"/>
      <c r="R112" s="67"/>
      <c r="S112" s="56"/>
      <c r="T112" s="56"/>
      <c r="U112" s="63"/>
      <c r="V112" s="64"/>
      <c r="W112" s="55"/>
      <c r="X112" s="63"/>
      <c r="Y112" s="54"/>
      <c r="Z112" s="65"/>
      <c r="AA112" s="76"/>
      <c r="AB112" s="59"/>
      <c r="AC112" s="56"/>
      <c r="AD112" s="56"/>
      <c r="AE112" s="64"/>
      <c r="AF112" s="64"/>
      <c r="AG112" s="55"/>
      <c r="AH112" s="68"/>
      <c r="AI112" s="54"/>
      <c r="AJ112" s="69"/>
      <c r="AK112" s="61"/>
      <c r="AL112" s="62"/>
      <c r="AM112" s="56"/>
      <c r="AN112" s="56"/>
      <c r="AO112" s="64"/>
      <c r="AP112" s="64"/>
      <c r="AQ112" s="55"/>
      <c r="AR112" s="68"/>
      <c r="AS112" s="54"/>
      <c r="AT112" s="69"/>
      <c r="AU112" s="61"/>
      <c r="AV112" s="62"/>
      <c r="AW112" s="56"/>
      <c r="AX112" s="56"/>
      <c r="AY112" s="64"/>
      <c r="AZ112" s="64"/>
      <c r="BA112" s="55"/>
      <c r="BB112" s="72"/>
      <c r="BC112" s="68"/>
      <c r="BD112" s="69"/>
      <c r="BE112" s="70"/>
      <c r="BF112" s="71"/>
      <c r="BG112" s="56"/>
      <c r="BH112" s="56"/>
      <c r="BI112" s="64"/>
      <c r="BJ112" s="64"/>
      <c r="BK112" s="57"/>
      <c r="BL112" s="73"/>
      <c r="BM112" s="76"/>
      <c r="BN112" s="74"/>
      <c r="BO112" s="75"/>
      <c r="BP112" s="66"/>
      <c r="BQ112" s="74"/>
    </row>
    <row r="113" spans="1:69" s="44" customFormat="1" ht="22.35" customHeight="1" x14ac:dyDescent="0.2">
      <c r="A113" s="100"/>
      <c r="B113" s="100"/>
      <c r="C113" s="100"/>
      <c r="D113" s="54"/>
      <c r="E113" s="55"/>
      <c r="F113" s="56"/>
      <c r="G113" s="56"/>
      <c r="H113" s="57"/>
      <c r="I113" s="58"/>
      <c r="J113" s="58"/>
      <c r="K113" s="55"/>
      <c r="L113" s="59"/>
      <c r="M113" s="59"/>
      <c r="N113" s="59"/>
      <c r="O113" s="54"/>
      <c r="P113" s="60"/>
      <c r="Q113" s="66"/>
      <c r="R113" s="67"/>
      <c r="S113" s="56"/>
      <c r="T113" s="56"/>
      <c r="U113" s="63"/>
      <c r="V113" s="64"/>
      <c r="W113" s="55"/>
      <c r="X113" s="63"/>
      <c r="Y113" s="54"/>
      <c r="Z113" s="65"/>
      <c r="AA113" s="70"/>
      <c r="AB113" s="71"/>
      <c r="AC113" s="56"/>
      <c r="AD113" s="56"/>
      <c r="AE113" s="64"/>
      <c r="AF113" s="64"/>
      <c r="AG113" s="55"/>
      <c r="AH113" s="68"/>
      <c r="AI113" s="54"/>
      <c r="AJ113" s="69"/>
      <c r="AK113" s="61"/>
      <c r="AL113" s="62"/>
      <c r="AM113" s="56"/>
      <c r="AN113" s="56"/>
      <c r="AO113" s="64"/>
      <c r="AP113" s="64"/>
      <c r="AQ113" s="55"/>
      <c r="AR113" s="68"/>
      <c r="AS113" s="54"/>
      <c r="AT113" s="69"/>
      <c r="AU113" s="61"/>
      <c r="AV113" s="62"/>
      <c r="AW113" s="56"/>
      <c r="AX113" s="56"/>
      <c r="AY113" s="64"/>
      <c r="AZ113" s="64"/>
      <c r="BA113" s="55"/>
      <c r="BB113" s="72"/>
      <c r="BC113" s="68"/>
      <c r="BD113" s="69"/>
      <c r="BE113" s="76"/>
      <c r="BF113" s="59"/>
      <c r="BG113" s="56"/>
      <c r="BH113" s="56"/>
      <c r="BI113" s="64"/>
      <c r="BJ113" s="64"/>
      <c r="BK113" s="57"/>
      <c r="BL113" s="73"/>
      <c r="BM113" s="76"/>
      <c r="BN113" s="74"/>
      <c r="BO113" s="75"/>
      <c r="BP113" s="66"/>
      <c r="BQ113" s="74"/>
    </row>
    <row r="114" spans="1:69" s="44" customFormat="1" ht="22.35" customHeight="1" x14ac:dyDescent="0.2">
      <c r="A114" s="100"/>
      <c r="B114" s="100"/>
      <c r="C114" s="100"/>
      <c r="D114" s="54"/>
      <c r="E114" s="55"/>
      <c r="F114" s="56"/>
      <c r="G114" s="56"/>
      <c r="H114" s="57"/>
      <c r="I114" s="58"/>
      <c r="J114" s="58"/>
      <c r="K114" s="55"/>
      <c r="L114" s="59"/>
      <c r="M114" s="59"/>
      <c r="N114" s="59"/>
      <c r="O114" s="54"/>
      <c r="P114" s="60"/>
      <c r="Q114" s="66"/>
      <c r="R114" s="67"/>
      <c r="S114" s="56"/>
      <c r="T114" s="56"/>
      <c r="U114" s="63"/>
      <c r="V114" s="64"/>
      <c r="W114" s="55"/>
      <c r="X114" s="63"/>
      <c r="Y114" s="54"/>
      <c r="Z114" s="65"/>
      <c r="AA114" s="66"/>
      <c r="AB114" s="67"/>
      <c r="AC114" s="56"/>
      <c r="AD114" s="56"/>
      <c r="AE114" s="64"/>
      <c r="AF114" s="64"/>
      <c r="AG114" s="55"/>
      <c r="AH114" s="68"/>
      <c r="AI114" s="54"/>
      <c r="AJ114" s="69"/>
      <c r="AK114" s="61"/>
      <c r="AL114" s="62"/>
      <c r="AM114" s="56"/>
      <c r="AN114" s="56"/>
      <c r="AO114" s="64"/>
      <c r="AP114" s="64"/>
      <c r="AQ114" s="55"/>
      <c r="AR114" s="68"/>
      <c r="AS114" s="54"/>
      <c r="AT114" s="69"/>
      <c r="AU114" s="61"/>
      <c r="AV114" s="62"/>
      <c r="AW114" s="56"/>
      <c r="AX114" s="56"/>
      <c r="AY114" s="64"/>
      <c r="AZ114" s="64"/>
      <c r="BA114" s="55"/>
      <c r="BB114" s="72"/>
      <c r="BC114" s="68"/>
      <c r="BD114" s="69"/>
      <c r="BE114" s="70"/>
      <c r="BF114" s="71"/>
      <c r="BG114" s="56"/>
      <c r="BH114" s="56"/>
      <c r="BI114" s="64"/>
      <c r="BJ114" s="64"/>
      <c r="BK114" s="57"/>
      <c r="BL114" s="73"/>
      <c r="BM114" s="76"/>
      <c r="BN114" s="74"/>
      <c r="BO114" s="75"/>
      <c r="BP114" s="66"/>
      <c r="BQ114" s="74"/>
    </row>
    <row r="115" spans="1:69" s="44" customFormat="1" ht="22.35" customHeight="1" x14ac:dyDescent="0.2">
      <c r="A115" s="100"/>
      <c r="B115" s="100"/>
      <c r="C115" s="100"/>
      <c r="D115" s="54"/>
      <c r="E115" s="55"/>
      <c r="F115" s="56"/>
      <c r="G115" s="56"/>
      <c r="H115" s="57"/>
      <c r="I115" s="58"/>
      <c r="J115" s="58"/>
      <c r="K115" s="55"/>
      <c r="L115" s="59"/>
      <c r="M115" s="59"/>
      <c r="N115" s="59"/>
      <c r="O115" s="54"/>
      <c r="P115" s="60"/>
      <c r="Q115" s="66"/>
      <c r="R115" s="67"/>
      <c r="S115" s="56"/>
      <c r="T115" s="56"/>
      <c r="U115" s="63"/>
      <c r="V115" s="64"/>
      <c r="W115" s="55"/>
      <c r="X115" s="63"/>
      <c r="Y115" s="54"/>
      <c r="Z115" s="65"/>
      <c r="AA115" s="66"/>
      <c r="AB115" s="67"/>
      <c r="AC115" s="56"/>
      <c r="AD115" s="56"/>
      <c r="AE115" s="64"/>
      <c r="AF115" s="64"/>
      <c r="AG115" s="55"/>
      <c r="AH115" s="68"/>
      <c r="AI115" s="54"/>
      <c r="AJ115" s="69"/>
      <c r="AK115" s="70"/>
      <c r="AL115" s="71"/>
      <c r="AM115" s="56"/>
      <c r="AN115" s="56"/>
      <c r="AO115" s="64"/>
      <c r="AP115" s="64"/>
      <c r="AQ115" s="55"/>
      <c r="AR115" s="68"/>
      <c r="AS115" s="54"/>
      <c r="AT115" s="69"/>
      <c r="AU115" s="61"/>
      <c r="AV115" s="62"/>
      <c r="AW115" s="56"/>
      <c r="AX115" s="56"/>
      <c r="AY115" s="64"/>
      <c r="AZ115" s="64"/>
      <c r="BA115" s="55"/>
      <c r="BB115" s="72"/>
      <c r="BC115" s="68"/>
      <c r="BD115" s="69"/>
      <c r="BE115" s="70"/>
      <c r="BF115" s="71"/>
      <c r="BG115" s="56"/>
      <c r="BH115" s="56"/>
      <c r="BI115" s="64"/>
      <c r="BJ115" s="64"/>
      <c r="BK115" s="57"/>
      <c r="BL115" s="73"/>
      <c r="BM115" s="76"/>
      <c r="BN115" s="74"/>
      <c r="BO115" s="75"/>
      <c r="BP115" s="66"/>
      <c r="BQ115" s="74"/>
    </row>
    <row r="116" spans="1:69" s="44" customFormat="1" ht="22.35" customHeight="1" x14ac:dyDescent="0.2">
      <c r="A116" s="100"/>
      <c r="B116" s="100"/>
      <c r="C116" s="100"/>
      <c r="D116" s="54"/>
      <c r="E116" s="55"/>
      <c r="F116" s="56"/>
      <c r="G116" s="56"/>
      <c r="H116" s="57"/>
      <c r="I116" s="58"/>
      <c r="J116" s="58"/>
      <c r="K116" s="55"/>
      <c r="L116" s="59"/>
      <c r="M116" s="59"/>
      <c r="N116" s="59"/>
      <c r="O116" s="54"/>
      <c r="P116" s="60"/>
      <c r="Q116" s="66"/>
      <c r="R116" s="67"/>
      <c r="S116" s="56"/>
      <c r="T116" s="56"/>
      <c r="U116" s="63"/>
      <c r="V116" s="64"/>
      <c r="W116" s="55"/>
      <c r="X116" s="63"/>
      <c r="Y116" s="54"/>
      <c r="Z116" s="65"/>
      <c r="AA116" s="70"/>
      <c r="AB116" s="71"/>
      <c r="AC116" s="56"/>
      <c r="AD116" s="56"/>
      <c r="AE116" s="64"/>
      <c r="AF116" s="64"/>
      <c r="AG116" s="55"/>
      <c r="AH116" s="68"/>
      <c r="AI116" s="54"/>
      <c r="AJ116" s="69"/>
      <c r="AK116" s="76"/>
      <c r="AL116" s="59"/>
      <c r="AM116" s="56"/>
      <c r="AN116" s="56"/>
      <c r="AO116" s="64"/>
      <c r="AP116" s="64"/>
      <c r="AQ116" s="55"/>
      <c r="AR116" s="68"/>
      <c r="AS116" s="54"/>
      <c r="AT116" s="69"/>
      <c r="AU116" s="61"/>
      <c r="AV116" s="62"/>
      <c r="AW116" s="56"/>
      <c r="AX116" s="56"/>
      <c r="AY116" s="64"/>
      <c r="AZ116" s="64"/>
      <c r="BA116" s="55"/>
      <c r="BB116" s="72"/>
      <c r="BC116" s="68"/>
      <c r="BD116" s="69"/>
      <c r="BE116" s="76"/>
      <c r="BF116" s="59"/>
      <c r="BG116" s="56"/>
      <c r="BH116" s="56"/>
      <c r="BI116" s="64"/>
      <c r="BJ116" s="64"/>
      <c r="BK116" s="57"/>
      <c r="BL116" s="73"/>
      <c r="BM116" s="76"/>
      <c r="BN116" s="74"/>
      <c r="BO116" s="75"/>
      <c r="BP116" s="66"/>
      <c r="BQ116" s="74"/>
    </row>
    <row r="117" spans="1:69" s="44" customFormat="1" ht="22.35" customHeight="1" x14ac:dyDescent="0.2">
      <c r="A117" s="100"/>
      <c r="B117" s="100"/>
      <c r="C117" s="100"/>
      <c r="D117" s="54"/>
      <c r="E117" s="55"/>
      <c r="F117" s="56"/>
      <c r="G117" s="56"/>
      <c r="H117" s="57"/>
      <c r="I117" s="58"/>
      <c r="J117" s="58"/>
      <c r="K117" s="55"/>
      <c r="L117" s="59"/>
      <c r="M117" s="59"/>
      <c r="N117" s="59"/>
      <c r="O117" s="54"/>
      <c r="P117" s="60"/>
      <c r="Q117" s="66"/>
      <c r="R117" s="67"/>
      <c r="S117" s="56"/>
      <c r="T117" s="56"/>
      <c r="U117" s="63"/>
      <c r="V117" s="64"/>
      <c r="W117" s="55"/>
      <c r="X117" s="63"/>
      <c r="Y117" s="54"/>
      <c r="Z117" s="65"/>
      <c r="AA117" s="76"/>
      <c r="AB117" s="59"/>
      <c r="AC117" s="56"/>
      <c r="AD117" s="56"/>
      <c r="AE117" s="64"/>
      <c r="AF117" s="64"/>
      <c r="AG117" s="55"/>
      <c r="AH117" s="68"/>
      <c r="AI117" s="54"/>
      <c r="AJ117" s="69"/>
      <c r="AK117" s="70"/>
      <c r="AL117" s="71"/>
      <c r="AM117" s="56"/>
      <c r="AN117" s="56"/>
      <c r="AO117" s="64"/>
      <c r="AP117" s="64"/>
      <c r="AQ117" s="55"/>
      <c r="AR117" s="68"/>
      <c r="AS117" s="54"/>
      <c r="AT117" s="69"/>
      <c r="AU117" s="61"/>
      <c r="AV117" s="62"/>
      <c r="AW117" s="56"/>
      <c r="AX117" s="56"/>
      <c r="AY117" s="64"/>
      <c r="AZ117" s="64"/>
      <c r="BA117" s="55"/>
      <c r="BB117" s="72"/>
      <c r="BC117" s="68"/>
      <c r="BD117" s="69"/>
      <c r="BE117" s="66"/>
      <c r="BF117" s="67"/>
      <c r="BG117" s="56"/>
      <c r="BH117" s="56"/>
      <c r="BI117" s="64"/>
      <c r="BJ117" s="64"/>
      <c r="BK117" s="57"/>
      <c r="BL117" s="73"/>
      <c r="BM117" s="70"/>
      <c r="BN117" s="74"/>
      <c r="BO117" s="75"/>
      <c r="BP117" s="66"/>
      <c r="BQ117" s="74"/>
    </row>
    <row r="118" spans="1:69" s="44" customFormat="1" ht="22.35" customHeight="1" x14ac:dyDescent="0.2">
      <c r="A118" s="100"/>
      <c r="B118" s="100"/>
      <c r="C118" s="100"/>
      <c r="D118" s="54"/>
      <c r="E118" s="55"/>
      <c r="F118" s="56"/>
      <c r="G118" s="56"/>
      <c r="H118" s="57"/>
      <c r="I118" s="58"/>
      <c r="J118" s="58"/>
      <c r="K118" s="55"/>
      <c r="L118" s="59"/>
      <c r="M118" s="59"/>
      <c r="N118" s="59"/>
      <c r="O118" s="54"/>
      <c r="P118" s="60"/>
      <c r="Q118" s="66"/>
      <c r="R118" s="67"/>
      <c r="S118" s="56"/>
      <c r="T118" s="56"/>
      <c r="U118" s="63"/>
      <c r="V118" s="64"/>
      <c r="W118" s="55"/>
      <c r="X118" s="63"/>
      <c r="Y118" s="54"/>
      <c r="Z118" s="65"/>
      <c r="AA118" s="66"/>
      <c r="AB118" s="67"/>
      <c r="AC118" s="56"/>
      <c r="AD118" s="56"/>
      <c r="AE118" s="64"/>
      <c r="AF118" s="64"/>
      <c r="AG118" s="55"/>
      <c r="AH118" s="68"/>
      <c r="AI118" s="54"/>
      <c r="AJ118" s="69"/>
      <c r="AK118" s="66"/>
      <c r="AL118" s="67"/>
      <c r="AM118" s="56"/>
      <c r="AN118" s="56"/>
      <c r="AO118" s="64"/>
      <c r="AP118" s="64"/>
      <c r="AQ118" s="55"/>
      <c r="AR118" s="68"/>
      <c r="AS118" s="54"/>
      <c r="AT118" s="69"/>
      <c r="AU118" s="70"/>
      <c r="AV118" s="71"/>
      <c r="AW118" s="56"/>
      <c r="AX118" s="56"/>
      <c r="AY118" s="64"/>
      <c r="AZ118" s="64"/>
      <c r="BA118" s="55"/>
      <c r="BB118" s="72"/>
      <c r="BC118" s="68"/>
      <c r="BD118" s="69"/>
      <c r="BE118" s="66"/>
      <c r="BF118" s="67"/>
      <c r="BG118" s="56"/>
      <c r="BH118" s="56"/>
      <c r="BI118" s="64"/>
      <c r="BJ118" s="64"/>
      <c r="BK118" s="57"/>
      <c r="BL118" s="73"/>
      <c r="BM118" s="76"/>
      <c r="BN118" s="74"/>
      <c r="BO118" s="75"/>
      <c r="BP118" s="66"/>
      <c r="BQ118" s="74"/>
    </row>
    <row r="119" spans="1:69" s="44" customFormat="1" ht="22.35" customHeight="1" x14ac:dyDescent="0.2">
      <c r="A119" s="100"/>
      <c r="B119" s="100"/>
      <c r="C119" s="100"/>
      <c r="D119" s="54"/>
      <c r="E119" s="55"/>
      <c r="F119" s="56"/>
      <c r="G119" s="56"/>
      <c r="H119" s="57"/>
      <c r="I119" s="58"/>
      <c r="J119" s="58"/>
      <c r="K119" s="55"/>
      <c r="L119" s="59"/>
      <c r="M119" s="59"/>
      <c r="N119" s="59"/>
      <c r="O119" s="54"/>
      <c r="P119" s="60"/>
      <c r="Q119" s="66"/>
      <c r="R119" s="67"/>
      <c r="S119" s="56"/>
      <c r="T119" s="56"/>
      <c r="U119" s="63"/>
      <c r="V119" s="64"/>
      <c r="W119" s="55"/>
      <c r="X119" s="63"/>
      <c r="Y119" s="54"/>
      <c r="Z119" s="65"/>
      <c r="AA119" s="66"/>
      <c r="AB119" s="67"/>
      <c r="AC119" s="56"/>
      <c r="AD119" s="56"/>
      <c r="AE119" s="64"/>
      <c r="AF119" s="64"/>
      <c r="AG119" s="55"/>
      <c r="AH119" s="68"/>
      <c r="AI119" s="54"/>
      <c r="AJ119" s="69"/>
      <c r="AK119" s="66"/>
      <c r="AL119" s="67"/>
      <c r="AM119" s="56"/>
      <c r="AN119" s="56"/>
      <c r="AO119" s="64"/>
      <c r="AP119" s="64"/>
      <c r="AQ119" s="55"/>
      <c r="AR119" s="68"/>
      <c r="AS119" s="54"/>
      <c r="AT119" s="69"/>
      <c r="AU119" s="66"/>
      <c r="AV119" s="67"/>
      <c r="AW119" s="56"/>
      <c r="AX119" s="56"/>
      <c r="AY119" s="64"/>
      <c r="AZ119" s="64"/>
      <c r="BA119" s="55"/>
      <c r="BB119" s="72"/>
      <c r="BC119" s="68"/>
      <c r="BD119" s="69"/>
      <c r="BE119" s="66"/>
      <c r="BF119" s="67"/>
      <c r="BG119" s="56"/>
      <c r="BH119" s="56"/>
      <c r="BI119" s="64"/>
      <c r="BJ119" s="64"/>
      <c r="BK119" s="57"/>
      <c r="BL119" s="73"/>
      <c r="BM119" s="70"/>
      <c r="BN119" s="74"/>
      <c r="BO119" s="75"/>
      <c r="BP119" s="66"/>
      <c r="BQ119" s="74"/>
    </row>
    <row r="120" spans="1:69" s="44" customFormat="1" ht="22.35" customHeight="1" x14ac:dyDescent="0.2">
      <c r="A120" s="100"/>
      <c r="B120" s="100"/>
      <c r="C120" s="100"/>
      <c r="D120" s="54"/>
      <c r="E120" s="55"/>
      <c r="F120" s="56"/>
      <c r="G120" s="56"/>
      <c r="H120" s="57"/>
      <c r="I120" s="58"/>
      <c r="J120" s="58"/>
      <c r="K120" s="55"/>
      <c r="L120" s="59"/>
      <c r="M120" s="59"/>
      <c r="N120" s="59"/>
      <c r="O120" s="54"/>
      <c r="P120" s="60"/>
      <c r="Q120" s="66"/>
      <c r="R120" s="67"/>
      <c r="S120" s="56"/>
      <c r="T120" s="56"/>
      <c r="U120" s="63"/>
      <c r="V120" s="64"/>
      <c r="W120" s="55"/>
      <c r="X120" s="63"/>
      <c r="Y120" s="54"/>
      <c r="Z120" s="65"/>
      <c r="AA120" s="76"/>
      <c r="AB120" s="59"/>
      <c r="AC120" s="56"/>
      <c r="AD120" s="56"/>
      <c r="AE120" s="64"/>
      <c r="AF120" s="64"/>
      <c r="AG120" s="55"/>
      <c r="AH120" s="68"/>
      <c r="AI120" s="54"/>
      <c r="AJ120" s="69"/>
      <c r="AK120" s="76"/>
      <c r="AL120" s="59"/>
      <c r="AM120" s="56"/>
      <c r="AN120" s="56"/>
      <c r="AO120" s="64"/>
      <c r="AP120" s="64"/>
      <c r="AQ120" s="55"/>
      <c r="AR120" s="68"/>
      <c r="AS120" s="54"/>
      <c r="AT120" s="69"/>
      <c r="AU120" s="70"/>
      <c r="AV120" s="71"/>
      <c r="AW120" s="56"/>
      <c r="AX120" s="56"/>
      <c r="AY120" s="64"/>
      <c r="AZ120" s="64"/>
      <c r="BA120" s="55"/>
      <c r="BB120" s="72"/>
      <c r="BC120" s="68"/>
      <c r="BD120" s="69"/>
      <c r="BE120" s="70"/>
      <c r="BF120" s="71"/>
      <c r="BG120" s="56"/>
      <c r="BH120" s="56"/>
      <c r="BI120" s="64"/>
      <c r="BJ120" s="64"/>
      <c r="BK120" s="57"/>
      <c r="BL120" s="73"/>
      <c r="BM120" s="70"/>
      <c r="BN120" s="74"/>
      <c r="BO120" s="75"/>
      <c r="BP120" s="66"/>
      <c r="BQ120" s="74"/>
    </row>
    <row r="121" spans="1:69" s="44" customFormat="1" ht="22.35" customHeight="1" x14ac:dyDescent="0.2">
      <c r="A121" s="100"/>
      <c r="B121" s="100"/>
      <c r="C121" s="100"/>
      <c r="D121" s="54"/>
      <c r="E121" s="55"/>
      <c r="F121" s="56"/>
      <c r="G121" s="56"/>
      <c r="H121" s="57"/>
      <c r="I121" s="58"/>
      <c r="J121" s="58"/>
      <c r="K121" s="55"/>
      <c r="L121" s="59"/>
      <c r="M121" s="59"/>
      <c r="N121" s="59"/>
      <c r="O121" s="54"/>
      <c r="P121" s="60"/>
      <c r="Q121" s="66"/>
      <c r="R121" s="67"/>
      <c r="S121" s="56"/>
      <c r="T121" s="56"/>
      <c r="U121" s="63"/>
      <c r="V121" s="64"/>
      <c r="W121" s="55"/>
      <c r="X121" s="63"/>
      <c r="Y121" s="54"/>
      <c r="Z121" s="65"/>
      <c r="AA121" s="66"/>
      <c r="AB121" s="67"/>
      <c r="AC121" s="56"/>
      <c r="AD121" s="56"/>
      <c r="AE121" s="64"/>
      <c r="AF121" s="64"/>
      <c r="AG121" s="55"/>
      <c r="AH121" s="68"/>
      <c r="AI121" s="54"/>
      <c r="AJ121" s="69"/>
      <c r="AK121" s="66"/>
      <c r="AL121" s="67"/>
      <c r="AM121" s="56"/>
      <c r="AN121" s="56"/>
      <c r="AO121" s="64"/>
      <c r="AP121" s="64"/>
      <c r="AQ121" s="55"/>
      <c r="AR121" s="68"/>
      <c r="AS121" s="54"/>
      <c r="AT121" s="69"/>
      <c r="AU121" s="66"/>
      <c r="AV121" s="67"/>
      <c r="AW121" s="56"/>
      <c r="AX121" s="56"/>
      <c r="AY121" s="64"/>
      <c r="AZ121" s="64"/>
      <c r="BA121" s="55"/>
      <c r="BB121" s="72"/>
      <c r="BC121" s="68"/>
      <c r="BD121" s="69"/>
      <c r="BE121" s="66"/>
      <c r="BF121" s="67"/>
      <c r="BG121" s="56"/>
      <c r="BH121" s="56"/>
      <c r="BI121" s="64"/>
      <c r="BJ121" s="64"/>
      <c r="BK121" s="57"/>
      <c r="BL121" s="73"/>
      <c r="BM121" s="70"/>
      <c r="BN121" s="74"/>
      <c r="BO121" s="75"/>
      <c r="BP121" s="66"/>
      <c r="BQ121" s="74"/>
    </row>
    <row r="122" spans="1:69" s="44" customFormat="1" ht="22.35" customHeight="1" x14ac:dyDescent="0.2">
      <c r="A122" s="100"/>
      <c r="B122" s="100"/>
      <c r="C122" s="100"/>
      <c r="D122" s="54"/>
      <c r="E122" s="55"/>
      <c r="F122" s="56"/>
      <c r="G122" s="56"/>
      <c r="H122" s="57"/>
      <c r="I122" s="58"/>
      <c r="J122" s="58"/>
      <c r="K122" s="55"/>
      <c r="L122" s="59"/>
      <c r="M122" s="59"/>
      <c r="N122" s="59"/>
      <c r="O122" s="54"/>
      <c r="P122" s="60"/>
      <c r="Q122" s="66"/>
      <c r="R122" s="67"/>
      <c r="S122" s="56"/>
      <c r="T122" s="56"/>
      <c r="U122" s="63"/>
      <c r="V122" s="64"/>
      <c r="W122" s="55"/>
      <c r="X122" s="63"/>
      <c r="Y122" s="54"/>
      <c r="Z122" s="65"/>
      <c r="AA122" s="70"/>
      <c r="AB122" s="71"/>
      <c r="AC122" s="56"/>
      <c r="AD122" s="56"/>
      <c r="AE122" s="64"/>
      <c r="AF122" s="64"/>
      <c r="AG122" s="55"/>
      <c r="AH122" s="68"/>
      <c r="AI122" s="54"/>
      <c r="AJ122" s="69"/>
      <c r="AK122" s="76"/>
      <c r="AL122" s="59"/>
      <c r="AM122" s="56"/>
      <c r="AN122" s="56"/>
      <c r="AO122" s="64"/>
      <c r="AP122" s="64"/>
      <c r="AQ122" s="55"/>
      <c r="AR122" s="68"/>
      <c r="AS122" s="54"/>
      <c r="AT122" s="69"/>
      <c r="AU122" s="61"/>
      <c r="AV122" s="62"/>
      <c r="AW122" s="56"/>
      <c r="AX122" s="56"/>
      <c r="AY122" s="64"/>
      <c r="AZ122" s="64"/>
      <c r="BA122" s="55"/>
      <c r="BB122" s="72"/>
      <c r="BC122" s="68"/>
      <c r="BD122" s="69"/>
      <c r="BE122" s="66"/>
      <c r="BF122" s="67"/>
      <c r="BG122" s="56"/>
      <c r="BH122" s="56"/>
      <c r="BI122" s="64"/>
      <c r="BJ122" s="64"/>
      <c r="BK122" s="57"/>
      <c r="BL122" s="73"/>
      <c r="BM122" s="76"/>
      <c r="BN122" s="74"/>
      <c r="BO122" s="75"/>
      <c r="BP122" s="66"/>
      <c r="BQ122" s="74"/>
    </row>
    <row r="123" spans="1:69" s="44" customFormat="1" ht="22.35" customHeight="1" x14ac:dyDescent="0.2">
      <c r="A123" s="100"/>
      <c r="B123" s="100"/>
      <c r="C123" s="100"/>
      <c r="D123" s="54"/>
      <c r="E123" s="55"/>
      <c r="F123" s="56"/>
      <c r="G123" s="56"/>
      <c r="H123" s="57"/>
      <c r="I123" s="58"/>
      <c r="J123" s="58"/>
      <c r="K123" s="55"/>
      <c r="L123" s="59"/>
      <c r="M123" s="59"/>
      <c r="N123" s="59"/>
      <c r="O123" s="54"/>
      <c r="P123" s="60"/>
      <c r="Q123" s="66"/>
      <c r="R123" s="67"/>
      <c r="S123" s="56"/>
      <c r="T123" s="56"/>
      <c r="U123" s="63"/>
      <c r="V123" s="64"/>
      <c r="W123" s="55"/>
      <c r="X123" s="63"/>
      <c r="Y123" s="54"/>
      <c r="Z123" s="65"/>
      <c r="AA123" s="76"/>
      <c r="AB123" s="59"/>
      <c r="AC123" s="56"/>
      <c r="AD123" s="56"/>
      <c r="AE123" s="64"/>
      <c r="AF123" s="64"/>
      <c r="AG123" s="55"/>
      <c r="AH123" s="68"/>
      <c r="AI123" s="54"/>
      <c r="AJ123" s="69"/>
      <c r="AK123" s="70"/>
      <c r="AL123" s="71"/>
      <c r="AM123" s="56"/>
      <c r="AN123" s="56"/>
      <c r="AO123" s="64"/>
      <c r="AP123" s="64"/>
      <c r="AQ123" s="55"/>
      <c r="AR123" s="68"/>
      <c r="AS123" s="54"/>
      <c r="AT123" s="69"/>
      <c r="AU123" s="61"/>
      <c r="AV123" s="62"/>
      <c r="AW123" s="56"/>
      <c r="AX123" s="56"/>
      <c r="AY123" s="64"/>
      <c r="AZ123" s="64"/>
      <c r="BA123" s="55"/>
      <c r="BB123" s="72"/>
      <c r="BC123" s="68"/>
      <c r="BD123" s="69"/>
      <c r="BE123" s="70"/>
      <c r="BF123" s="71"/>
      <c r="BG123" s="56"/>
      <c r="BH123" s="56"/>
      <c r="BI123" s="64"/>
      <c r="BJ123" s="64"/>
      <c r="BK123" s="57"/>
      <c r="BL123" s="73"/>
      <c r="BM123" s="70"/>
      <c r="BN123" s="74"/>
      <c r="BO123" s="75"/>
      <c r="BP123" s="66"/>
      <c r="BQ123" s="74"/>
    </row>
    <row r="124" spans="1:69" s="44" customFormat="1" ht="22.35" customHeight="1" x14ac:dyDescent="0.2">
      <c r="A124" s="100"/>
      <c r="B124" s="100"/>
      <c r="C124" s="100"/>
      <c r="D124" s="54"/>
      <c r="E124" s="55"/>
      <c r="F124" s="56"/>
      <c r="G124" s="56"/>
      <c r="H124" s="57"/>
      <c r="I124" s="58"/>
      <c r="J124" s="58"/>
      <c r="K124" s="55"/>
      <c r="L124" s="59"/>
      <c r="M124" s="59"/>
      <c r="N124" s="59"/>
      <c r="O124" s="54"/>
      <c r="P124" s="60"/>
      <c r="Q124" s="61"/>
      <c r="R124" s="62"/>
      <c r="S124" s="56"/>
      <c r="T124" s="56"/>
      <c r="U124" s="63"/>
      <c r="V124" s="64"/>
      <c r="W124" s="55"/>
      <c r="X124" s="63"/>
      <c r="Y124" s="54"/>
      <c r="Z124" s="65"/>
      <c r="AA124" s="70"/>
      <c r="AB124" s="71"/>
      <c r="AC124" s="56"/>
      <c r="AD124" s="56"/>
      <c r="AE124" s="64"/>
      <c r="AF124" s="64"/>
      <c r="AG124" s="55"/>
      <c r="AH124" s="68"/>
      <c r="AI124" s="54"/>
      <c r="AJ124" s="69"/>
      <c r="AK124" s="61"/>
      <c r="AL124" s="62"/>
      <c r="AM124" s="56"/>
      <c r="AN124" s="56"/>
      <c r="AO124" s="64"/>
      <c r="AP124" s="64"/>
      <c r="AQ124" s="55"/>
      <c r="AR124" s="68"/>
      <c r="AS124" s="54"/>
      <c r="AT124" s="69"/>
      <c r="AU124" s="61"/>
      <c r="AV124" s="62"/>
      <c r="AW124" s="56"/>
      <c r="AX124" s="56"/>
      <c r="AY124" s="64"/>
      <c r="AZ124" s="64"/>
      <c r="BA124" s="55"/>
      <c r="BB124" s="72"/>
      <c r="BC124" s="68"/>
      <c r="BD124" s="69"/>
      <c r="BE124" s="70"/>
      <c r="BF124" s="71"/>
      <c r="BG124" s="56"/>
      <c r="BH124" s="56"/>
      <c r="BI124" s="64"/>
      <c r="BJ124" s="64"/>
      <c r="BK124" s="57"/>
      <c r="BL124" s="73"/>
      <c r="BM124" s="76"/>
      <c r="BN124" s="74"/>
      <c r="BO124" s="75"/>
      <c r="BP124" s="66"/>
      <c r="BQ124" s="74"/>
    </row>
    <row r="125" spans="1:69" s="44" customFormat="1" ht="22.35" customHeight="1" x14ac:dyDescent="0.2">
      <c r="A125" s="100"/>
      <c r="B125" s="100"/>
      <c r="C125" s="100"/>
      <c r="D125" s="54"/>
      <c r="E125" s="55"/>
      <c r="F125" s="56"/>
      <c r="G125" s="56"/>
      <c r="H125" s="57"/>
      <c r="I125" s="58"/>
      <c r="J125" s="58"/>
      <c r="K125" s="55"/>
      <c r="L125" s="59"/>
      <c r="M125" s="59"/>
      <c r="N125" s="59"/>
      <c r="O125" s="54"/>
      <c r="P125" s="60"/>
      <c r="Q125" s="66"/>
      <c r="R125" s="67"/>
      <c r="S125" s="56"/>
      <c r="T125" s="56"/>
      <c r="U125" s="63"/>
      <c r="V125" s="64"/>
      <c r="W125" s="55"/>
      <c r="X125" s="63"/>
      <c r="Y125" s="54"/>
      <c r="Z125" s="65"/>
      <c r="AA125" s="76"/>
      <c r="AB125" s="59"/>
      <c r="AC125" s="56"/>
      <c r="AD125" s="56"/>
      <c r="AE125" s="64"/>
      <c r="AF125" s="64"/>
      <c r="AG125" s="55"/>
      <c r="AH125" s="68"/>
      <c r="AI125" s="54"/>
      <c r="AJ125" s="69"/>
      <c r="AK125" s="76"/>
      <c r="AL125" s="59"/>
      <c r="AM125" s="56"/>
      <c r="AN125" s="56"/>
      <c r="AO125" s="64"/>
      <c r="AP125" s="64"/>
      <c r="AQ125" s="55"/>
      <c r="AR125" s="68"/>
      <c r="AS125" s="54"/>
      <c r="AT125" s="69"/>
      <c r="AU125" s="61"/>
      <c r="AV125" s="62"/>
      <c r="AW125" s="56"/>
      <c r="AX125" s="56"/>
      <c r="AY125" s="64"/>
      <c r="AZ125" s="64"/>
      <c r="BA125" s="55"/>
      <c r="BB125" s="72"/>
      <c r="BC125" s="68"/>
      <c r="BD125" s="69"/>
      <c r="BE125" s="66"/>
      <c r="BF125" s="67"/>
      <c r="BG125" s="56"/>
      <c r="BH125" s="56"/>
      <c r="BI125" s="64"/>
      <c r="BJ125" s="64"/>
      <c r="BK125" s="57"/>
      <c r="BL125" s="73"/>
      <c r="BM125" s="70"/>
      <c r="BN125" s="74"/>
      <c r="BO125" s="75"/>
      <c r="BP125" s="66"/>
      <c r="BQ125" s="74"/>
    </row>
    <row r="126" spans="1:69" s="44" customFormat="1" ht="22.35" customHeight="1" x14ac:dyDescent="0.2">
      <c r="A126" s="100"/>
      <c r="B126" s="100"/>
      <c r="C126" s="100"/>
      <c r="D126" s="54"/>
      <c r="E126" s="55"/>
      <c r="F126" s="56"/>
      <c r="G126" s="56"/>
      <c r="H126" s="57"/>
      <c r="I126" s="58"/>
      <c r="J126" s="58"/>
      <c r="K126" s="55"/>
      <c r="L126" s="59"/>
      <c r="M126" s="59"/>
      <c r="N126" s="59"/>
      <c r="O126" s="54"/>
      <c r="P126" s="60"/>
      <c r="Q126" s="66"/>
      <c r="R126" s="67"/>
      <c r="S126" s="56"/>
      <c r="T126" s="56"/>
      <c r="U126" s="63"/>
      <c r="V126" s="64"/>
      <c r="W126" s="55"/>
      <c r="X126" s="63"/>
      <c r="Y126" s="54"/>
      <c r="Z126" s="65"/>
      <c r="AA126" s="76"/>
      <c r="AB126" s="59"/>
      <c r="AC126" s="56"/>
      <c r="AD126" s="56"/>
      <c r="AE126" s="64"/>
      <c r="AF126" s="64"/>
      <c r="AG126" s="55"/>
      <c r="AH126" s="68"/>
      <c r="AI126" s="54"/>
      <c r="AJ126" s="69"/>
      <c r="AK126" s="61"/>
      <c r="AL126" s="62"/>
      <c r="AM126" s="56"/>
      <c r="AN126" s="56"/>
      <c r="AO126" s="64"/>
      <c r="AP126" s="64"/>
      <c r="AQ126" s="55"/>
      <c r="AR126" s="68"/>
      <c r="AS126" s="54"/>
      <c r="AT126" s="69"/>
      <c r="AU126" s="76"/>
      <c r="AV126" s="59"/>
      <c r="AW126" s="56"/>
      <c r="AX126" s="56"/>
      <c r="AY126" s="64"/>
      <c r="AZ126" s="64"/>
      <c r="BA126" s="55"/>
      <c r="BB126" s="72"/>
      <c r="BC126" s="68"/>
      <c r="BD126" s="69"/>
      <c r="BE126" s="70"/>
      <c r="BF126" s="71"/>
      <c r="BG126" s="56"/>
      <c r="BH126" s="56"/>
      <c r="BI126" s="64"/>
      <c r="BJ126" s="64"/>
      <c r="BK126" s="57"/>
      <c r="BL126" s="73"/>
      <c r="BM126" s="76"/>
      <c r="BN126" s="74"/>
      <c r="BO126" s="75"/>
      <c r="BP126" s="66"/>
      <c r="BQ126" s="74"/>
    </row>
    <row r="127" spans="1:69" s="44" customFormat="1" ht="22.35" customHeight="1" x14ac:dyDescent="0.2">
      <c r="A127" s="100"/>
      <c r="B127" s="100"/>
      <c r="C127" s="100"/>
      <c r="D127" s="54"/>
      <c r="E127" s="55"/>
      <c r="F127" s="56"/>
      <c r="G127" s="56"/>
      <c r="H127" s="57"/>
      <c r="I127" s="58"/>
      <c r="J127" s="58"/>
      <c r="K127" s="55"/>
      <c r="L127" s="59"/>
      <c r="M127" s="59"/>
      <c r="N127" s="59"/>
      <c r="O127" s="54"/>
      <c r="P127" s="60"/>
      <c r="Q127" s="66"/>
      <c r="R127" s="67"/>
      <c r="S127" s="56"/>
      <c r="T127" s="56"/>
      <c r="U127" s="63"/>
      <c r="V127" s="64"/>
      <c r="W127" s="55"/>
      <c r="X127" s="63"/>
      <c r="Y127" s="54"/>
      <c r="Z127" s="65"/>
      <c r="AA127" s="66"/>
      <c r="AB127" s="67"/>
      <c r="AC127" s="56"/>
      <c r="AD127" s="56"/>
      <c r="AE127" s="64"/>
      <c r="AF127" s="64"/>
      <c r="AG127" s="55"/>
      <c r="AH127" s="68"/>
      <c r="AI127" s="54"/>
      <c r="AJ127" s="69"/>
      <c r="AK127" s="70"/>
      <c r="AL127" s="71"/>
      <c r="AM127" s="56"/>
      <c r="AN127" s="56"/>
      <c r="AO127" s="64"/>
      <c r="AP127" s="64"/>
      <c r="AQ127" s="55"/>
      <c r="AR127" s="68"/>
      <c r="AS127" s="54"/>
      <c r="AT127" s="69"/>
      <c r="AU127" s="61"/>
      <c r="AV127" s="62"/>
      <c r="AW127" s="56"/>
      <c r="AX127" s="56"/>
      <c r="AY127" s="64"/>
      <c r="AZ127" s="64"/>
      <c r="BA127" s="55"/>
      <c r="BB127" s="72"/>
      <c r="BC127" s="68"/>
      <c r="BD127" s="69"/>
      <c r="BE127" s="66"/>
      <c r="BF127" s="67"/>
      <c r="BG127" s="56"/>
      <c r="BH127" s="56"/>
      <c r="BI127" s="64"/>
      <c r="BJ127" s="64"/>
      <c r="BK127" s="57"/>
      <c r="BL127" s="73"/>
      <c r="BM127" s="70"/>
      <c r="BN127" s="74"/>
      <c r="BO127" s="75"/>
      <c r="BP127" s="66"/>
      <c r="BQ127" s="74"/>
    </row>
    <row r="128" spans="1:69" s="44" customFormat="1" ht="22.35" customHeight="1" x14ac:dyDescent="0.2">
      <c r="A128" s="100"/>
      <c r="B128" s="100"/>
      <c r="C128" s="100"/>
      <c r="D128" s="54"/>
      <c r="E128" s="55"/>
      <c r="F128" s="56"/>
      <c r="G128" s="56"/>
      <c r="H128" s="57"/>
      <c r="I128" s="58"/>
      <c r="J128" s="58"/>
      <c r="K128" s="55"/>
      <c r="L128" s="59"/>
      <c r="M128" s="59"/>
      <c r="N128" s="59"/>
      <c r="O128" s="54"/>
      <c r="P128" s="60"/>
      <c r="Q128" s="66"/>
      <c r="R128" s="67"/>
      <c r="S128" s="56"/>
      <c r="T128" s="56"/>
      <c r="U128" s="63"/>
      <c r="V128" s="64"/>
      <c r="W128" s="55"/>
      <c r="X128" s="63"/>
      <c r="Y128" s="54"/>
      <c r="Z128" s="65"/>
      <c r="AA128" s="76"/>
      <c r="AB128" s="59"/>
      <c r="AC128" s="56"/>
      <c r="AD128" s="56"/>
      <c r="AE128" s="64"/>
      <c r="AF128" s="64"/>
      <c r="AG128" s="55"/>
      <c r="AH128" s="68"/>
      <c r="AI128" s="54"/>
      <c r="AJ128" s="69"/>
      <c r="AK128" s="61"/>
      <c r="AL128" s="62"/>
      <c r="AM128" s="56"/>
      <c r="AN128" s="56"/>
      <c r="AO128" s="64"/>
      <c r="AP128" s="64"/>
      <c r="AQ128" s="55"/>
      <c r="AR128" s="68"/>
      <c r="AS128" s="54"/>
      <c r="AT128" s="69"/>
      <c r="AU128" s="66"/>
      <c r="AV128" s="67"/>
      <c r="AW128" s="56"/>
      <c r="AX128" s="56"/>
      <c r="AY128" s="64"/>
      <c r="AZ128" s="64"/>
      <c r="BA128" s="55"/>
      <c r="BB128" s="72"/>
      <c r="BC128" s="68"/>
      <c r="BD128" s="69"/>
      <c r="BE128" s="66"/>
      <c r="BF128" s="67"/>
      <c r="BG128" s="56"/>
      <c r="BH128" s="56"/>
      <c r="BI128" s="64"/>
      <c r="BJ128" s="64"/>
      <c r="BK128" s="57"/>
      <c r="BL128" s="73"/>
      <c r="BM128" s="76"/>
      <c r="BN128" s="74"/>
      <c r="BO128" s="75"/>
      <c r="BP128" s="66"/>
      <c r="BQ128" s="74"/>
    </row>
    <row r="129" spans="1:69" s="44" customFormat="1" ht="22.35" customHeight="1" x14ac:dyDescent="0.2">
      <c r="A129" s="100"/>
      <c r="B129" s="100"/>
      <c r="C129" s="100"/>
      <c r="D129" s="54"/>
      <c r="E129" s="55"/>
      <c r="F129" s="56"/>
      <c r="G129" s="56"/>
      <c r="H129" s="57"/>
      <c r="I129" s="58"/>
      <c r="J129" s="58"/>
      <c r="K129" s="55"/>
      <c r="L129" s="59"/>
      <c r="M129" s="59"/>
      <c r="N129" s="59"/>
      <c r="O129" s="54"/>
      <c r="P129" s="60"/>
      <c r="Q129" s="66"/>
      <c r="R129" s="67"/>
      <c r="S129" s="56"/>
      <c r="T129" s="56"/>
      <c r="U129" s="63"/>
      <c r="V129" s="64"/>
      <c r="W129" s="55"/>
      <c r="X129" s="63"/>
      <c r="Y129" s="54"/>
      <c r="Z129" s="65"/>
      <c r="AA129" s="66"/>
      <c r="AB129" s="67"/>
      <c r="AC129" s="56"/>
      <c r="AD129" s="56"/>
      <c r="AE129" s="64"/>
      <c r="AF129" s="64"/>
      <c r="AG129" s="55"/>
      <c r="AH129" s="68"/>
      <c r="AI129" s="54"/>
      <c r="AJ129" s="69"/>
      <c r="AK129" s="66"/>
      <c r="AL129" s="67"/>
      <c r="AM129" s="56"/>
      <c r="AN129" s="56"/>
      <c r="AO129" s="64"/>
      <c r="AP129" s="64"/>
      <c r="AQ129" s="55"/>
      <c r="AR129" s="68"/>
      <c r="AS129" s="54"/>
      <c r="AT129" s="69"/>
      <c r="AU129" s="66"/>
      <c r="AV129" s="67"/>
      <c r="AW129" s="56"/>
      <c r="AX129" s="56"/>
      <c r="AY129" s="64"/>
      <c r="AZ129" s="64"/>
      <c r="BA129" s="55"/>
      <c r="BB129" s="72"/>
      <c r="BC129" s="68"/>
      <c r="BD129" s="69"/>
      <c r="BE129" s="66"/>
      <c r="BF129" s="67"/>
      <c r="BG129" s="56"/>
      <c r="BH129" s="56"/>
      <c r="BI129" s="64"/>
      <c r="BJ129" s="64"/>
      <c r="BK129" s="57"/>
      <c r="BL129" s="73"/>
      <c r="BM129" s="70"/>
      <c r="BN129" s="74"/>
      <c r="BO129" s="75"/>
      <c r="BP129" s="66"/>
      <c r="BQ129" s="74"/>
    </row>
    <row r="130" spans="1:69" s="44" customFormat="1" ht="22.35" customHeight="1" x14ac:dyDescent="0.2">
      <c r="A130" s="100"/>
      <c r="B130" s="100"/>
      <c r="C130" s="100"/>
      <c r="D130" s="54"/>
      <c r="E130" s="55"/>
      <c r="F130" s="56"/>
      <c r="G130" s="56"/>
      <c r="H130" s="57"/>
      <c r="I130" s="58"/>
      <c r="J130" s="58"/>
      <c r="K130" s="55"/>
      <c r="L130" s="59"/>
      <c r="M130" s="59"/>
      <c r="N130" s="59"/>
      <c r="O130" s="54"/>
      <c r="P130" s="60"/>
      <c r="Q130" s="66"/>
      <c r="R130" s="67"/>
      <c r="S130" s="56"/>
      <c r="T130" s="56"/>
      <c r="U130" s="63"/>
      <c r="V130" s="64"/>
      <c r="W130" s="55"/>
      <c r="X130" s="63"/>
      <c r="Y130" s="54"/>
      <c r="Z130" s="65"/>
      <c r="AA130" s="61"/>
      <c r="AB130" s="62"/>
      <c r="AC130" s="56"/>
      <c r="AD130" s="56"/>
      <c r="AE130" s="64"/>
      <c r="AF130" s="64"/>
      <c r="AG130" s="55"/>
      <c r="AH130" s="68"/>
      <c r="AI130" s="54"/>
      <c r="AJ130" s="69"/>
      <c r="AK130" s="61"/>
      <c r="AL130" s="62"/>
      <c r="AM130" s="56"/>
      <c r="AN130" s="56"/>
      <c r="AO130" s="64"/>
      <c r="AP130" s="64"/>
      <c r="AQ130" s="55"/>
      <c r="AR130" s="68"/>
      <c r="AS130" s="54"/>
      <c r="AT130" s="69"/>
      <c r="AU130" s="61"/>
      <c r="AV130" s="62"/>
      <c r="AW130" s="56"/>
      <c r="AX130" s="56"/>
      <c r="AY130" s="64"/>
      <c r="AZ130" s="64"/>
      <c r="BA130" s="55"/>
      <c r="BB130" s="72"/>
      <c r="BC130" s="68"/>
      <c r="BD130" s="69"/>
      <c r="BE130" s="66"/>
      <c r="BF130" s="67"/>
      <c r="BG130" s="56"/>
      <c r="BH130" s="56"/>
      <c r="BI130" s="64"/>
      <c r="BJ130" s="64"/>
      <c r="BK130" s="57"/>
      <c r="BL130" s="73"/>
      <c r="BM130" s="70"/>
      <c r="BN130" s="74"/>
      <c r="BO130" s="75"/>
      <c r="BP130" s="66"/>
      <c r="BQ130" s="74"/>
    </row>
    <row r="131" spans="1:69" s="44" customFormat="1" ht="22.35" customHeight="1" x14ac:dyDescent="0.2">
      <c r="A131" s="100"/>
      <c r="B131" s="100"/>
      <c r="C131" s="100"/>
      <c r="D131" s="54"/>
      <c r="E131" s="55"/>
      <c r="F131" s="56"/>
      <c r="G131" s="56"/>
      <c r="H131" s="57"/>
      <c r="I131" s="58"/>
      <c r="J131" s="58"/>
      <c r="K131" s="55"/>
      <c r="L131" s="59"/>
      <c r="M131" s="59"/>
      <c r="N131" s="59"/>
      <c r="O131" s="54"/>
      <c r="P131" s="60"/>
      <c r="Q131" s="66"/>
      <c r="R131" s="67"/>
      <c r="S131" s="56"/>
      <c r="T131" s="56"/>
      <c r="U131" s="63"/>
      <c r="V131" s="64"/>
      <c r="W131" s="55"/>
      <c r="X131" s="63"/>
      <c r="Y131" s="54"/>
      <c r="Z131" s="65"/>
      <c r="AA131" s="70"/>
      <c r="AB131" s="71"/>
      <c r="AC131" s="56"/>
      <c r="AD131" s="56"/>
      <c r="AE131" s="64"/>
      <c r="AF131" s="64"/>
      <c r="AG131" s="55"/>
      <c r="AH131" s="68"/>
      <c r="AI131" s="54"/>
      <c r="AJ131" s="69"/>
      <c r="AK131" s="70"/>
      <c r="AL131" s="71"/>
      <c r="AM131" s="56"/>
      <c r="AN131" s="56"/>
      <c r="AO131" s="64"/>
      <c r="AP131" s="64"/>
      <c r="AQ131" s="55"/>
      <c r="AR131" s="68"/>
      <c r="AS131" s="54"/>
      <c r="AT131" s="69"/>
      <c r="AU131" s="61"/>
      <c r="AV131" s="62"/>
      <c r="AW131" s="56"/>
      <c r="AX131" s="56"/>
      <c r="AY131" s="64"/>
      <c r="AZ131" s="64"/>
      <c r="BA131" s="55"/>
      <c r="BB131" s="72"/>
      <c r="BC131" s="68"/>
      <c r="BD131" s="69"/>
      <c r="BE131" s="66"/>
      <c r="BF131" s="67"/>
      <c r="BG131" s="56"/>
      <c r="BH131" s="56"/>
      <c r="BI131" s="64"/>
      <c r="BJ131" s="64"/>
      <c r="BK131" s="57"/>
      <c r="BL131" s="73"/>
      <c r="BM131" s="70"/>
      <c r="BN131" s="74"/>
      <c r="BO131" s="75"/>
      <c r="BP131" s="66"/>
      <c r="BQ131" s="74"/>
    </row>
    <row r="132" spans="1:69" s="44" customFormat="1" ht="22.35" customHeight="1" x14ac:dyDescent="0.2">
      <c r="A132" s="100"/>
      <c r="B132" s="100"/>
      <c r="C132" s="100"/>
      <c r="D132" s="54"/>
      <c r="E132" s="55"/>
      <c r="F132" s="56"/>
      <c r="G132" s="56"/>
      <c r="H132" s="57"/>
      <c r="I132" s="58"/>
      <c r="J132" s="58"/>
      <c r="K132" s="55"/>
      <c r="L132" s="59"/>
      <c r="M132" s="59"/>
      <c r="N132" s="59"/>
      <c r="O132" s="54"/>
      <c r="P132" s="60"/>
      <c r="Q132" s="61"/>
      <c r="R132" s="62"/>
      <c r="S132" s="56"/>
      <c r="T132" s="56"/>
      <c r="U132" s="63"/>
      <c r="V132" s="64"/>
      <c r="W132" s="55"/>
      <c r="X132" s="63"/>
      <c r="Y132" s="54"/>
      <c r="Z132" s="65"/>
      <c r="AA132" s="76"/>
      <c r="AB132" s="59"/>
      <c r="AC132" s="56"/>
      <c r="AD132" s="56"/>
      <c r="AE132" s="64"/>
      <c r="AF132" s="64"/>
      <c r="AG132" s="55"/>
      <c r="AH132" s="68"/>
      <c r="AI132" s="54"/>
      <c r="AJ132" s="69"/>
      <c r="AK132" s="66"/>
      <c r="AL132" s="67"/>
      <c r="AM132" s="56"/>
      <c r="AN132" s="56"/>
      <c r="AO132" s="64"/>
      <c r="AP132" s="64"/>
      <c r="AQ132" s="55"/>
      <c r="AR132" s="68"/>
      <c r="AS132" s="54"/>
      <c r="AT132" s="69"/>
      <c r="AU132" s="70"/>
      <c r="AV132" s="71"/>
      <c r="AW132" s="56"/>
      <c r="AX132" s="56"/>
      <c r="AY132" s="64"/>
      <c r="AZ132" s="64"/>
      <c r="BA132" s="55"/>
      <c r="BB132" s="72"/>
      <c r="BC132" s="68"/>
      <c r="BD132" s="69"/>
      <c r="BE132" s="66"/>
      <c r="BF132" s="67"/>
      <c r="BG132" s="56"/>
      <c r="BH132" s="56"/>
      <c r="BI132" s="64"/>
      <c r="BJ132" s="64"/>
      <c r="BK132" s="57"/>
      <c r="BL132" s="73"/>
      <c r="BM132" s="76"/>
      <c r="BN132" s="74"/>
      <c r="BO132" s="75"/>
      <c r="BP132" s="66"/>
      <c r="BQ132" s="74"/>
    </row>
    <row r="133" spans="1:69" s="44" customFormat="1" ht="22.35" customHeight="1" x14ac:dyDescent="0.2">
      <c r="A133" s="100"/>
      <c r="B133" s="100"/>
      <c r="C133" s="100"/>
      <c r="D133" s="54"/>
      <c r="E133" s="55"/>
      <c r="F133" s="56"/>
      <c r="G133" s="56"/>
      <c r="H133" s="57"/>
      <c r="I133" s="58"/>
      <c r="J133" s="58"/>
      <c r="K133" s="55"/>
      <c r="L133" s="59"/>
      <c r="M133" s="59"/>
      <c r="N133" s="59"/>
      <c r="O133" s="54"/>
      <c r="P133" s="60"/>
      <c r="Q133" s="66"/>
      <c r="R133" s="67"/>
      <c r="S133" s="56"/>
      <c r="T133" s="56"/>
      <c r="U133" s="63"/>
      <c r="V133" s="64"/>
      <c r="W133" s="55"/>
      <c r="X133" s="63"/>
      <c r="Y133" s="54"/>
      <c r="Z133" s="65"/>
      <c r="AA133" s="66"/>
      <c r="AB133" s="67"/>
      <c r="AC133" s="56"/>
      <c r="AD133" s="56"/>
      <c r="AE133" s="64"/>
      <c r="AF133" s="64"/>
      <c r="AG133" s="55"/>
      <c r="AH133" s="68"/>
      <c r="AI133" s="54"/>
      <c r="AJ133" s="69"/>
      <c r="AK133" s="70"/>
      <c r="AL133" s="71"/>
      <c r="AM133" s="56"/>
      <c r="AN133" s="56"/>
      <c r="AO133" s="64"/>
      <c r="AP133" s="64"/>
      <c r="AQ133" s="55"/>
      <c r="AR133" s="68"/>
      <c r="AS133" s="54"/>
      <c r="AT133" s="69"/>
      <c r="AU133" s="61"/>
      <c r="AV133" s="62"/>
      <c r="AW133" s="56"/>
      <c r="AX133" s="56"/>
      <c r="AY133" s="64"/>
      <c r="AZ133" s="64"/>
      <c r="BA133" s="55"/>
      <c r="BB133" s="72"/>
      <c r="BC133" s="68"/>
      <c r="BD133" s="69"/>
      <c r="BE133" s="66"/>
      <c r="BF133" s="67"/>
      <c r="BG133" s="56"/>
      <c r="BH133" s="56"/>
      <c r="BI133" s="64"/>
      <c r="BJ133" s="64"/>
      <c r="BK133" s="57"/>
      <c r="BL133" s="73"/>
      <c r="BM133" s="70"/>
      <c r="BN133" s="74"/>
      <c r="BO133" s="75"/>
      <c r="BP133" s="66"/>
      <c r="BQ133" s="74"/>
    </row>
    <row r="134" spans="1:69" s="44" customFormat="1" ht="22.35" customHeight="1" x14ac:dyDescent="0.2">
      <c r="A134" s="100"/>
      <c r="B134" s="100"/>
      <c r="C134" s="100"/>
      <c r="D134" s="54"/>
      <c r="E134" s="55"/>
      <c r="F134" s="56"/>
      <c r="G134" s="56"/>
      <c r="H134" s="57"/>
      <c r="I134" s="58"/>
      <c r="J134" s="58"/>
      <c r="K134" s="55"/>
      <c r="L134" s="59"/>
      <c r="M134" s="59"/>
      <c r="N134" s="59"/>
      <c r="O134" s="54"/>
      <c r="P134" s="60"/>
      <c r="Q134" s="66"/>
      <c r="R134" s="67"/>
      <c r="S134" s="56"/>
      <c r="T134" s="56"/>
      <c r="U134" s="63"/>
      <c r="V134" s="64"/>
      <c r="W134" s="55"/>
      <c r="X134" s="63"/>
      <c r="Y134" s="54"/>
      <c r="Z134" s="65"/>
      <c r="AA134" s="61"/>
      <c r="AB134" s="62"/>
      <c r="AC134" s="56"/>
      <c r="AD134" s="56"/>
      <c r="AE134" s="64"/>
      <c r="AF134" s="64"/>
      <c r="AG134" s="55"/>
      <c r="AH134" s="68"/>
      <c r="AI134" s="54"/>
      <c r="AJ134" s="69"/>
      <c r="AK134" s="70"/>
      <c r="AL134" s="71"/>
      <c r="AM134" s="56"/>
      <c r="AN134" s="56"/>
      <c r="AO134" s="64"/>
      <c r="AP134" s="64"/>
      <c r="AQ134" s="55"/>
      <c r="AR134" s="68"/>
      <c r="AS134" s="54"/>
      <c r="AT134" s="69"/>
      <c r="AU134" s="61"/>
      <c r="AV134" s="62"/>
      <c r="AW134" s="56"/>
      <c r="AX134" s="56"/>
      <c r="AY134" s="64"/>
      <c r="AZ134" s="64"/>
      <c r="BA134" s="55"/>
      <c r="BB134" s="72"/>
      <c r="BC134" s="68"/>
      <c r="BD134" s="69"/>
      <c r="BE134" s="66"/>
      <c r="BF134" s="67"/>
      <c r="BG134" s="56"/>
      <c r="BH134" s="56"/>
      <c r="BI134" s="64"/>
      <c r="BJ134" s="64"/>
      <c r="BK134" s="57"/>
      <c r="BL134" s="73"/>
      <c r="BM134" s="70"/>
      <c r="BN134" s="74"/>
      <c r="BO134" s="75"/>
      <c r="BP134" s="66"/>
      <c r="BQ134" s="74"/>
    </row>
    <row r="135" spans="1:69" s="44" customFormat="1" ht="22.35" customHeight="1" x14ac:dyDescent="0.2">
      <c r="A135" s="100"/>
      <c r="B135" s="100"/>
      <c r="C135" s="100"/>
      <c r="D135" s="54"/>
      <c r="E135" s="55"/>
      <c r="F135" s="56"/>
      <c r="G135" s="56"/>
      <c r="H135" s="57"/>
      <c r="I135" s="58"/>
      <c r="J135" s="58"/>
      <c r="K135" s="55"/>
      <c r="L135" s="59"/>
      <c r="M135" s="59"/>
      <c r="N135" s="59"/>
      <c r="O135" s="54"/>
      <c r="P135" s="60"/>
      <c r="Q135" s="66"/>
      <c r="R135" s="67"/>
      <c r="S135" s="56"/>
      <c r="T135" s="56"/>
      <c r="U135" s="63"/>
      <c r="V135" s="64"/>
      <c r="W135" s="55"/>
      <c r="X135" s="63"/>
      <c r="Y135" s="54"/>
      <c r="Z135" s="65"/>
      <c r="AA135" s="66"/>
      <c r="AB135" s="67"/>
      <c r="AC135" s="56"/>
      <c r="AD135" s="56"/>
      <c r="AE135" s="64"/>
      <c r="AF135" s="64"/>
      <c r="AG135" s="55"/>
      <c r="AH135" s="68"/>
      <c r="AI135" s="54"/>
      <c r="AJ135" s="69"/>
      <c r="AK135" s="66"/>
      <c r="AL135" s="67"/>
      <c r="AM135" s="56"/>
      <c r="AN135" s="56"/>
      <c r="AO135" s="64"/>
      <c r="AP135" s="64"/>
      <c r="AQ135" s="55"/>
      <c r="AR135" s="68"/>
      <c r="AS135" s="54"/>
      <c r="AT135" s="69"/>
      <c r="AU135" s="70"/>
      <c r="AV135" s="71"/>
      <c r="AW135" s="56"/>
      <c r="AX135" s="56"/>
      <c r="AY135" s="64"/>
      <c r="AZ135" s="64"/>
      <c r="BA135" s="55"/>
      <c r="BB135" s="72"/>
      <c r="BC135" s="68"/>
      <c r="BD135" s="69"/>
      <c r="BE135" s="66"/>
      <c r="BF135" s="67"/>
      <c r="BG135" s="56"/>
      <c r="BH135" s="56"/>
      <c r="BI135" s="64"/>
      <c r="BJ135" s="64"/>
      <c r="BK135" s="57"/>
      <c r="BL135" s="73"/>
      <c r="BM135" s="70"/>
      <c r="BN135" s="74"/>
      <c r="BO135" s="75"/>
      <c r="BP135" s="66"/>
      <c r="BQ135" s="74"/>
    </row>
    <row r="136" spans="1:69" s="44" customFormat="1" ht="22.35" customHeight="1" x14ac:dyDescent="0.2">
      <c r="A136" s="100"/>
      <c r="B136" s="100"/>
      <c r="C136" s="100"/>
      <c r="D136" s="54"/>
      <c r="E136" s="55"/>
      <c r="F136" s="56"/>
      <c r="G136" s="56"/>
      <c r="H136" s="57"/>
      <c r="I136" s="58"/>
      <c r="J136" s="58"/>
      <c r="K136" s="55"/>
      <c r="L136" s="59"/>
      <c r="M136" s="59"/>
      <c r="N136" s="59"/>
      <c r="O136" s="54"/>
      <c r="P136" s="60"/>
      <c r="Q136" s="70"/>
      <c r="R136" s="71"/>
      <c r="S136" s="56"/>
      <c r="T136" s="56"/>
      <c r="U136" s="63"/>
      <c r="V136" s="64"/>
      <c r="W136" s="55"/>
      <c r="X136" s="63"/>
      <c r="Y136" s="54"/>
      <c r="Z136" s="65"/>
      <c r="AA136" s="70"/>
      <c r="AB136" s="71"/>
      <c r="AC136" s="56"/>
      <c r="AD136" s="56"/>
      <c r="AE136" s="64"/>
      <c r="AF136" s="64"/>
      <c r="AG136" s="55"/>
      <c r="AH136" s="68"/>
      <c r="AI136" s="54"/>
      <c r="AJ136" s="69"/>
      <c r="AK136" s="76"/>
      <c r="AL136" s="59"/>
      <c r="AM136" s="56"/>
      <c r="AN136" s="56"/>
      <c r="AO136" s="64"/>
      <c r="AP136" s="64"/>
      <c r="AQ136" s="55"/>
      <c r="AR136" s="68"/>
      <c r="AS136" s="54"/>
      <c r="AT136" s="69"/>
      <c r="AU136" s="61"/>
      <c r="AV136" s="62"/>
      <c r="AW136" s="56"/>
      <c r="AX136" s="56"/>
      <c r="AY136" s="64"/>
      <c r="AZ136" s="64"/>
      <c r="BA136" s="55"/>
      <c r="BB136" s="72"/>
      <c r="BC136" s="68"/>
      <c r="BD136" s="69"/>
      <c r="BE136" s="66"/>
      <c r="BF136" s="67"/>
      <c r="BG136" s="56"/>
      <c r="BH136" s="56"/>
      <c r="BI136" s="64"/>
      <c r="BJ136" s="64"/>
      <c r="BK136" s="57"/>
      <c r="BL136" s="73"/>
      <c r="BM136" s="70"/>
      <c r="BN136" s="74"/>
      <c r="BO136" s="75"/>
      <c r="BP136" s="66"/>
      <c r="BQ136" s="74"/>
    </row>
    <row r="137" spans="1:69" s="44" customFormat="1" ht="22.35" customHeight="1" x14ac:dyDescent="0.2">
      <c r="A137" s="100"/>
      <c r="B137" s="100"/>
      <c r="C137" s="100"/>
      <c r="D137" s="54"/>
      <c r="E137" s="55"/>
      <c r="F137" s="56"/>
      <c r="G137" s="56"/>
      <c r="H137" s="57"/>
      <c r="I137" s="58"/>
      <c r="J137" s="58"/>
      <c r="K137" s="55"/>
      <c r="L137" s="59"/>
      <c r="M137" s="59"/>
      <c r="N137" s="59"/>
      <c r="O137" s="54"/>
      <c r="P137" s="60"/>
      <c r="Q137" s="66"/>
      <c r="R137" s="67"/>
      <c r="S137" s="56"/>
      <c r="T137" s="56"/>
      <c r="U137" s="63"/>
      <c r="V137" s="64"/>
      <c r="W137" s="55"/>
      <c r="X137" s="63"/>
      <c r="Y137" s="54"/>
      <c r="Z137" s="65"/>
      <c r="AA137" s="76"/>
      <c r="AB137" s="59"/>
      <c r="AC137" s="56"/>
      <c r="AD137" s="56"/>
      <c r="AE137" s="64"/>
      <c r="AF137" s="64"/>
      <c r="AG137" s="55"/>
      <c r="AH137" s="68"/>
      <c r="AI137" s="54"/>
      <c r="AJ137" s="69"/>
      <c r="AK137" s="61"/>
      <c r="AL137" s="62"/>
      <c r="AM137" s="56"/>
      <c r="AN137" s="56"/>
      <c r="AO137" s="64"/>
      <c r="AP137" s="64"/>
      <c r="AQ137" s="55"/>
      <c r="AR137" s="68"/>
      <c r="AS137" s="54"/>
      <c r="AT137" s="69"/>
      <c r="AU137" s="61"/>
      <c r="AV137" s="62"/>
      <c r="AW137" s="56"/>
      <c r="AX137" s="56"/>
      <c r="AY137" s="64"/>
      <c r="AZ137" s="64"/>
      <c r="BA137" s="55"/>
      <c r="BB137" s="72"/>
      <c r="BC137" s="68"/>
      <c r="BD137" s="69"/>
      <c r="BE137" s="70"/>
      <c r="BF137" s="71"/>
      <c r="BG137" s="56"/>
      <c r="BH137" s="56"/>
      <c r="BI137" s="64"/>
      <c r="BJ137" s="64"/>
      <c r="BK137" s="57"/>
      <c r="BL137" s="73"/>
      <c r="BM137" s="70"/>
      <c r="BN137" s="74"/>
      <c r="BO137" s="75"/>
      <c r="BP137" s="66"/>
      <c r="BQ137" s="74"/>
    </row>
    <row r="138" spans="1:69" s="44" customFormat="1" ht="22.35" customHeight="1" x14ac:dyDescent="0.2">
      <c r="A138" s="100"/>
      <c r="B138" s="100"/>
      <c r="C138" s="100"/>
      <c r="D138" s="54"/>
      <c r="E138" s="55"/>
      <c r="F138" s="56"/>
      <c r="G138" s="56"/>
      <c r="H138" s="57"/>
      <c r="I138" s="58"/>
      <c r="J138" s="58"/>
      <c r="K138" s="55"/>
      <c r="L138" s="59"/>
      <c r="M138" s="59"/>
      <c r="N138" s="59"/>
      <c r="O138" s="54"/>
      <c r="P138" s="60"/>
      <c r="Q138" s="66"/>
      <c r="R138" s="67"/>
      <c r="S138" s="56"/>
      <c r="T138" s="56"/>
      <c r="U138" s="63"/>
      <c r="V138" s="64"/>
      <c r="W138" s="55"/>
      <c r="X138" s="63"/>
      <c r="Y138" s="54"/>
      <c r="Z138" s="65"/>
      <c r="AA138" s="66"/>
      <c r="AB138" s="67"/>
      <c r="AC138" s="56"/>
      <c r="AD138" s="56"/>
      <c r="AE138" s="64"/>
      <c r="AF138" s="64"/>
      <c r="AG138" s="55"/>
      <c r="AH138" s="68"/>
      <c r="AI138" s="54"/>
      <c r="AJ138" s="69"/>
      <c r="AK138" s="66"/>
      <c r="AL138" s="67"/>
      <c r="AM138" s="56"/>
      <c r="AN138" s="56"/>
      <c r="AO138" s="64"/>
      <c r="AP138" s="64"/>
      <c r="AQ138" s="55"/>
      <c r="AR138" s="68"/>
      <c r="AS138" s="54"/>
      <c r="AT138" s="69"/>
      <c r="AU138" s="66"/>
      <c r="AV138" s="67"/>
      <c r="AW138" s="56"/>
      <c r="AX138" s="56"/>
      <c r="AY138" s="64"/>
      <c r="AZ138" s="64"/>
      <c r="BA138" s="55"/>
      <c r="BB138" s="72"/>
      <c r="BC138" s="68"/>
      <c r="BD138" s="69"/>
      <c r="BE138" s="66"/>
      <c r="BF138" s="67"/>
      <c r="BG138" s="56"/>
      <c r="BH138" s="56"/>
      <c r="BI138" s="64"/>
      <c r="BJ138" s="64"/>
      <c r="BK138" s="57"/>
      <c r="BL138" s="73"/>
      <c r="BM138" s="76"/>
      <c r="BN138" s="74"/>
      <c r="BO138" s="75"/>
      <c r="BP138" s="66"/>
      <c r="BQ138" s="74"/>
    </row>
    <row r="139" spans="1:69" s="44" customFormat="1" ht="22.35" customHeight="1" x14ac:dyDescent="0.2">
      <c r="A139" s="100"/>
      <c r="B139" s="100"/>
      <c r="C139" s="100"/>
      <c r="D139" s="54"/>
      <c r="E139" s="55"/>
      <c r="F139" s="56"/>
      <c r="G139" s="56"/>
      <c r="H139" s="57"/>
      <c r="I139" s="58"/>
      <c r="J139" s="58"/>
      <c r="K139" s="55"/>
      <c r="L139" s="59"/>
      <c r="M139" s="59"/>
      <c r="N139" s="59"/>
      <c r="O139" s="54"/>
      <c r="P139" s="60"/>
      <c r="Q139" s="66"/>
      <c r="R139" s="67"/>
      <c r="S139" s="56"/>
      <c r="T139" s="56"/>
      <c r="U139" s="63"/>
      <c r="V139" s="64"/>
      <c r="W139" s="55"/>
      <c r="X139" s="63"/>
      <c r="Y139" s="54"/>
      <c r="Z139" s="65"/>
      <c r="AA139" s="66"/>
      <c r="AB139" s="67"/>
      <c r="AC139" s="56"/>
      <c r="AD139" s="56"/>
      <c r="AE139" s="64"/>
      <c r="AF139" s="64"/>
      <c r="AG139" s="55"/>
      <c r="AH139" s="68"/>
      <c r="AI139" s="54"/>
      <c r="AJ139" s="69"/>
      <c r="AK139" s="66"/>
      <c r="AL139" s="67"/>
      <c r="AM139" s="56"/>
      <c r="AN139" s="56"/>
      <c r="AO139" s="64"/>
      <c r="AP139" s="64"/>
      <c r="AQ139" s="55"/>
      <c r="AR139" s="68"/>
      <c r="AS139" s="54"/>
      <c r="AT139" s="69"/>
      <c r="AU139" s="70"/>
      <c r="AV139" s="71"/>
      <c r="AW139" s="56"/>
      <c r="AX139" s="56"/>
      <c r="AY139" s="64"/>
      <c r="AZ139" s="64"/>
      <c r="BA139" s="55"/>
      <c r="BB139" s="72"/>
      <c r="BC139" s="68"/>
      <c r="BD139" s="69"/>
      <c r="BE139" s="66"/>
      <c r="BF139" s="67"/>
      <c r="BG139" s="56"/>
      <c r="BH139" s="56"/>
      <c r="BI139" s="64"/>
      <c r="BJ139" s="64"/>
      <c r="BK139" s="57"/>
      <c r="BL139" s="73"/>
      <c r="BM139" s="76"/>
      <c r="BN139" s="74"/>
      <c r="BO139" s="75"/>
      <c r="BP139" s="66"/>
      <c r="BQ139" s="74"/>
    </row>
    <row r="140" spans="1:69" s="44" customFormat="1" ht="22.35" customHeight="1" x14ac:dyDescent="0.2">
      <c r="A140" s="100"/>
      <c r="B140" s="100"/>
      <c r="C140" s="100"/>
      <c r="D140" s="54"/>
      <c r="E140" s="55"/>
      <c r="F140" s="56"/>
      <c r="G140" s="56"/>
      <c r="H140" s="57"/>
      <c r="I140" s="58"/>
      <c r="J140" s="58"/>
      <c r="K140" s="55"/>
      <c r="L140" s="59"/>
      <c r="M140" s="59"/>
      <c r="N140" s="59"/>
      <c r="O140" s="54"/>
      <c r="P140" s="60"/>
      <c r="Q140" s="66"/>
      <c r="R140" s="67"/>
      <c r="S140" s="56"/>
      <c r="T140" s="56"/>
      <c r="U140" s="63"/>
      <c r="V140" s="64"/>
      <c r="W140" s="55"/>
      <c r="X140" s="63"/>
      <c r="Y140" s="54"/>
      <c r="Z140" s="65"/>
      <c r="AA140" s="66"/>
      <c r="AB140" s="67"/>
      <c r="AC140" s="56"/>
      <c r="AD140" s="56"/>
      <c r="AE140" s="64"/>
      <c r="AF140" s="64"/>
      <c r="AG140" s="55"/>
      <c r="AH140" s="68"/>
      <c r="AI140" s="54"/>
      <c r="AJ140" s="69"/>
      <c r="AK140" s="66"/>
      <c r="AL140" s="67"/>
      <c r="AM140" s="56"/>
      <c r="AN140" s="56"/>
      <c r="AO140" s="64"/>
      <c r="AP140" s="64"/>
      <c r="AQ140" s="55"/>
      <c r="AR140" s="68"/>
      <c r="AS140" s="54"/>
      <c r="AT140" s="69"/>
      <c r="AU140" s="61"/>
      <c r="AV140" s="62"/>
      <c r="AW140" s="56"/>
      <c r="AX140" s="56"/>
      <c r="AY140" s="64"/>
      <c r="AZ140" s="64"/>
      <c r="BA140" s="55"/>
      <c r="BB140" s="72"/>
      <c r="BC140" s="68"/>
      <c r="BD140" s="69"/>
      <c r="BE140" s="66"/>
      <c r="BF140" s="67"/>
      <c r="BG140" s="56"/>
      <c r="BH140" s="56"/>
      <c r="BI140" s="64"/>
      <c r="BJ140" s="64"/>
      <c r="BK140" s="57"/>
      <c r="BL140" s="73"/>
      <c r="BM140" s="61"/>
      <c r="BN140" s="74"/>
      <c r="BO140" s="75"/>
      <c r="BP140" s="66"/>
      <c r="BQ140" s="74"/>
    </row>
    <row r="141" spans="1:69" s="44" customFormat="1" ht="22.35" customHeight="1" x14ac:dyDescent="0.2">
      <c r="A141" s="100"/>
      <c r="B141" s="100"/>
      <c r="C141" s="100"/>
      <c r="D141" s="54"/>
      <c r="E141" s="55"/>
      <c r="F141" s="56"/>
      <c r="G141" s="56"/>
      <c r="H141" s="57"/>
      <c r="I141" s="58"/>
      <c r="J141" s="58"/>
      <c r="K141" s="55"/>
      <c r="L141" s="59"/>
      <c r="M141" s="59"/>
      <c r="N141" s="59"/>
      <c r="O141" s="54"/>
      <c r="P141" s="60"/>
      <c r="Q141" s="66"/>
      <c r="R141" s="67"/>
      <c r="S141" s="56"/>
      <c r="T141" s="56"/>
      <c r="U141" s="63"/>
      <c r="V141" s="64"/>
      <c r="W141" s="55"/>
      <c r="X141" s="63"/>
      <c r="Y141" s="54"/>
      <c r="Z141" s="65"/>
      <c r="AA141" s="66"/>
      <c r="AB141" s="67"/>
      <c r="AC141" s="56"/>
      <c r="AD141" s="56"/>
      <c r="AE141" s="64"/>
      <c r="AF141" s="64"/>
      <c r="AG141" s="55"/>
      <c r="AH141" s="68"/>
      <c r="AI141" s="54"/>
      <c r="AJ141" s="69"/>
      <c r="AK141" s="70"/>
      <c r="AL141" s="71"/>
      <c r="AM141" s="56"/>
      <c r="AN141" s="56"/>
      <c r="AO141" s="64"/>
      <c r="AP141" s="64"/>
      <c r="AQ141" s="55"/>
      <c r="AR141" s="68"/>
      <c r="AS141" s="54"/>
      <c r="AT141" s="69"/>
      <c r="AU141" s="66"/>
      <c r="AV141" s="67"/>
      <c r="AW141" s="56"/>
      <c r="AX141" s="56"/>
      <c r="AY141" s="64"/>
      <c r="AZ141" s="64"/>
      <c r="BA141" s="55"/>
      <c r="BB141" s="72"/>
      <c r="BC141" s="68"/>
      <c r="BD141" s="69"/>
      <c r="BE141" s="66"/>
      <c r="BF141" s="67"/>
      <c r="BG141" s="56"/>
      <c r="BH141" s="56"/>
      <c r="BI141" s="64"/>
      <c r="BJ141" s="64"/>
      <c r="BK141" s="57"/>
      <c r="BL141" s="73"/>
      <c r="BM141" s="70"/>
      <c r="BN141" s="74"/>
      <c r="BO141" s="75"/>
      <c r="BP141" s="66"/>
      <c r="BQ141" s="74"/>
    </row>
    <row r="142" spans="1:69" s="44" customFormat="1" ht="22.35" customHeight="1" x14ac:dyDescent="0.2">
      <c r="A142" s="100"/>
      <c r="B142" s="100"/>
      <c r="C142" s="100"/>
      <c r="D142" s="54"/>
      <c r="E142" s="55"/>
      <c r="F142" s="56"/>
      <c r="G142" s="56"/>
      <c r="H142" s="57"/>
      <c r="I142" s="58"/>
      <c r="J142" s="58"/>
      <c r="K142" s="55"/>
      <c r="L142" s="59"/>
      <c r="M142" s="59"/>
      <c r="N142" s="59"/>
      <c r="O142" s="54"/>
      <c r="P142" s="60"/>
      <c r="Q142" s="66"/>
      <c r="R142" s="67"/>
      <c r="S142" s="56"/>
      <c r="T142" s="56"/>
      <c r="U142" s="63"/>
      <c r="V142" s="64"/>
      <c r="W142" s="55"/>
      <c r="X142" s="63"/>
      <c r="Y142" s="54"/>
      <c r="Z142" s="65"/>
      <c r="AA142" s="66"/>
      <c r="AB142" s="67"/>
      <c r="AC142" s="56"/>
      <c r="AD142" s="56"/>
      <c r="AE142" s="64"/>
      <c r="AF142" s="64"/>
      <c r="AG142" s="55"/>
      <c r="AH142" s="68"/>
      <c r="AI142" s="54"/>
      <c r="AJ142" s="69"/>
      <c r="AK142" s="66"/>
      <c r="AL142" s="67"/>
      <c r="AM142" s="56"/>
      <c r="AN142" s="56"/>
      <c r="AO142" s="64"/>
      <c r="AP142" s="64"/>
      <c r="AQ142" s="55"/>
      <c r="AR142" s="68"/>
      <c r="AS142" s="54"/>
      <c r="AT142" s="69"/>
      <c r="AU142" s="66"/>
      <c r="AV142" s="67"/>
      <c r="AW142" s="56"/>
      <c r="AX142" s="56"/>
      <c r="AY142" s="64"/>
      <c r="AZ142" s="64"/>
      <c r="BA142" s="55"/>
      <c r="BB142" s="72"/>
      <c r="BC142" s="68"/>
      <c r="BD142" s="69"/>
      <c r="BE142" s="66"/>
      <c r="BF142" s="67"/>
      <c r="BG142" s="56"/>
      <c r="BH142" s="56"/>
      <c r="BI142" s="64"/>
      <c r="BJ142" s="64"/>
      <c r="BK142" s="57"/>
      <c r="BL142" s="73"/>
      <c r="BM142" s="70"/>
      <c r="BN142" s="74"/>
      <c r="BO142" s="75"/>
      <c r="BP142" s="66"/>
      <c r="BQ142" s="74"/>
    </row>
    <row r="143" spans="1:69" s="44" customFormat="1" ht="22.35" customHeight="1" x14ac:dyDescent="0.2">
      <c r="A143" s="100"/>
      <c r="B143" s="100"/>
      <c r="C143" s="100"/>
      <c r="D143" s="54"/>
      <c r="E143" s="55"/>
      <c r="F143" s="56"/>
      <c r="G143" s="56"/>
      <c r="H143" s="57"/>
      <c r="I143" s="58"/>
      <c r="J143" s="58"/>
      <c r="K143" s="55"/>
      <c r="L143" s="59"/>
      <c r="M143" s="59"/>
      <c r="N143" s="59"/>
      <c r="O143" s="54"/>
      <c r="P143" s="60"/>
      <c r="Q143" s="66"/>
      <c r="R143" s="67"/>
      <c r="S143" s="56"/>
      <c r="T143" s="56"/>
      <c r="U143" s="63"/>
      <c r="V143" s="64"/>
      <c r="W143" s="55"/>
      <c r="X143" s="63"/>
      <c r="Y143" s="54"/>
      <c r="Z143" s="65"/>
      <c r="AA143" s="66"/>
      <c r="AB143" s="67"/>
      <c r="AC143" s="56"/>
      <c r="AD143" s="56"/>
      <c r="AE143" s="64"/>
      <c r="AF143" s="64"/>
      <c r="AG143" s="55"/>
      <c r="AH143" s="68"/>
      <c r="AI143" s="54"/>
      <c r="AJ143" s="69"/>
      <c r="AK143" s="76"/>
      <c r="AL143" s="59"/>
      <c r="AM143" s="56"/>
      <c r="AN143" s="56"/>
      <c r="AO143" s="64"/>
      <c r="AP143" s="64"/>
      <c r="AQ143" s="55"/>
      <c r="AR143" s="68"/>
      <c r="AS143" s="54"/>
      <c r="AT143" s="69"/>
      <c r="AU143" s="66"/>
      <c r="AV143" s="67"/>
      <c r="AW143" s="56"/>
      <c r="AX143" s="56"/>
      <c r="AY143" s="64"/>
      <c r="AZ143" s="64"/>
      <c r="BA143" s="55"/>
      <c r="BB143" s="72"/>
      <c r="BC143" s="68"/>
      <c r="BD143" s="69"/>
      <c r="BE143" s="66"/>
      <c r="BF143" s="67"/>
      <c r="BG143" s="56"/>
      <c r="BH143" s="56"/>
      <c r="BI143" s="64"/>
      <c r="BJ143" s="64"/>
      <c r="BK143" s="57"/>
      <c r="BL143" s="73"/>
      <c r="BM143" s="70"/>
      <c r="BN143" s="74"/>
      <c r="BO143" s="75"/>
      <c r="BP143" s="66"/>
      <c r="BQ143" s="74"/>
    </row>
    <row r="144" spans="1:69" s="44" customFormat="1" ht="22.35" customHeight="1" x14ac:dyDescent="0.2">
      <c r="A144" s="100"/>
      <c r="B144" s="100"/>
      <c r="C144" s="100"/>
      <c r="D144" s="54"/>
      <c r="E144" s="55"/>
      <c r="F144" s="56"/>
      <c r="G144" s="56"/>
      <c r="H144" s="57"/>
      <c r="I144" s="58"/>
      <c r="J144" s="58"/>
      <c r="K144" s="55"/>
      <c r="L144" s="59"/>
      <c r="M144" s="59"/>
      <c r="N144" s="59"/>
      <c r="O144" s="54"/>
      <c r="P144" s="60"/>
      <c r="Q144" s="66"/>
      <c r="R144" s="67"/>
      <c r="S144" s="56"/>
      <c r="T144" s="56"/>
      <c r="U144" s="63"/>
      <c r="V144" s="64"/>
      <c r="W144" s="55"/>
      <c r="X144" s="63"/>
      <c r="Y144" s="54"/>
      <c r="Z144" s="65"/>
      <c r="AA144" s="61"/>
      <c r="AB144" s="62"/>
      <c r="AC144" s="56"/>
      <c r="AD144" s="56"/>
      <c r="AE144" s="64"/>
      <c r="AF144" s="64"/>
      <c r="AG144" s="55"/>
      <c r="AH144" s="68"/>
      <c r="AI144" s="54"/>
      <c r="AJ144" s="69"/>
      <c r="AK144" s="61"/>
      <c r="AL144" s="62"/>
      <c r="AM144" s="56"/>
      <c r="AN144" s="56"/>
      <c r="AO144" s="64"/>
      <c r="AP144" s="64"/>
      <c r="AQ144" s="55"/>
      <c r="AR144" s="68"/>
      <c r="AS144" s="54"/>
      <c r="AT144" s="69"/>
      <c r="AU144" s="66"/>
      <c r="AV144" s="67"/>
      <c r="AW144" s="56"/>
      <c r="AX144" s="56"/>
      <c r="AY144" s="64"/>
      <c r="AZ144" s="64"/>
      <c r="BA144" s="55"/>
      <c r="BB144" s="72"/>
      <c r="BC144" s="68"/>
      <c r="BD144" s="69"/>
      <c r="BE144" s="66"/>
      <c r="BF144" s="67"/>
      <c r="BG144" s="56"/>
      <c r="BH144" s="56"/>
      <c r="BI144" s="64"/>
      <c r="BJ144" s="64"/>
      <c r="BK144" s="57"/>
      <c r="BL144" s="73"/>
      <c r="BM144" s="76"/>
      <c r="BN144" s="74"/>
      <c r="BO144" s="75"/>
      <c r="BP144" s="66"/>
      <c r="BQ144" s="74"/>
    </row>
    <row r="145" spans="1:69" s="44" customFormat="1" ht="22.35" customHeight="1" x14ac:dyDescent="0.2">
      <c r="A145" s="100"/>
      <c r="B145" s="100"/>
      <c r="C145" s="100"/>
      <c r="D145" s="54"/>
      <c r="E145" s="55"/>
      <c r="F145" s="56"/>
      <c r="G145" s="56"/>
      <c r="H145" s="57"/>
      <c r="I145" s="58"/>
      <c r="J145" s="58"/>
      <c r="K145" s="55"/>
      <c r="L145" s="59"/>
      <c r="M145" s="59"/>
      <c r="N145" s="59"/>
      <c r="O145" s="54"/>
      <c r="P145" s="60"/>
      <c r="Q145" s="66"/>
      <c r="R145" s="67"/>
      <c r="S145" s="56"/>
      <c r="T145" s="56"/>
      <c r="U145" s="63"/>
      <c r="V145" s="64"/>
      <c r="W145" s="55"/>
      <c r="X145" s="63"/>
      <c r="Y145" s="54"/>
      <c r="Z145" s="65"/>
      <c r="AA145" s="70"/>
      <c r="AB145" s="71"/>
      <c r="AC145" s="56"/>
      <c r="AD145" s="56"/>
      <c r="AE145" s="64"/>
      <c r="AF145" s="64"/>
      <c r="AG145" s="55"/>
      <c r="AH145" s="68"/>
      <c r="AI145" s="54"/>
      <c r="AJ145" s="69"/>
      <c r="AK145" s="70"/>
      <c r="AL145" s="71"/>
      <c r="AM145" s="56"/>
      <c r="AN145" s="56"/>
      <c r="AO145" s="64"/>
      <c r="AP145" s="64"/>
      <c r="AQ145" s="55"/>
      <c r="AR145" s="68"/>
      <c r="AS145" s="54"/>
      <c r="AT145" s="69"/>
      <c r="AU145" s="70"/>
      <c r="AV145" s="71"/>
      <c r="AW145" s="56"/>
      <c r="AX145" s="56"/>
      <c r="AY145" s="64"/>
      <c r="AZ145" s="64"/>
      <c r="BA145" s="55"/>
      <c r="BB145" s="72"/>
      <c r="BC145" s="68"/>
      <c r="BD145" s="69"/>
      <c r="BE145" s="66"/>
      <c r="BF145" s="67"/>
      <c r="BG145" s="56"/>
      <c r="BH145" s="56"/>
      <c r="BI145" s="64"/>
      <c r="BJ145" s="64"/>
      <c r="BK145" s="57"/>
      <c r="BL145" s="73"/>
      <c r="BM145" s="76"/>
      <c r="BN145" s="74"/>
      <c r="BO145" s="75"/>
      <c r="BP145" s="66"/>
      <c r="BQ145" s="74"/>
    </row>
    <row r="146" spans="1:69" s="44" customFormat="1" ht="22.35" customHeight="1" x14ac:dyDescent="0.2">
      <c r="A146" s="100"/>
      <c r="B146" s="100"/>
      <c r="C146" s="100"/>
      <c r="D146" s="54"/>
      <c r="E146" s="55"/>
      <c r="F146" s="56"/>
      <c r="G146" s="56"/>
      <c r="H146" s="57"/>
      <c r="I146" s="58"/>
      <c r="J146" s="58"/>
      <c r="K146" s="55"/>
      <c r="L146" s="59"/>
      <c r="M146" s="59"/>
      <c r="N146" s="59"/>
      <c r="O146" s="54"/>
      <c r="P146" s="60"/>
      <c r="Q146" s="66"/>
      <c r="R146" s="67"/>
      <c r="S146" s="56"/>
      <c r="T146" s="56"/>
      <c r="U146" s="63"/>
      <c r="V146" s="64"/>
      <c r="W146" s="55"/>
      <c r="X146" s="63"/>
      <c r="Y146" s="54"/>
      <c r="Z146" s="65"/>
      <c r="AA146" s="66"/>
      <c r="AB146" s="67"/>
      <c r="AC146" s="56"/>
      <c r="AD146" s="56"/>
      <c r="AE146" s="64"/>
      <c r="AF146" s="64"/>
      <c r="AG146" s="55"/>
      <c r="AH146" s="68"/>
      <c r="AI146" s="54"/>
      <c r="AJ146" s="69"/>
      <c r="AK146" s="70"/>
      <c r="AL146" s="71"/>
      <c r="AM146" s="56"/>
      <c r="AN146" s="56"/>
      <c r="AO146" s="64"/>
      <c r="AP146" s="64"/>
      <c r="AQ146" s="55"/>
      <c r="AR146" s="68"/>
      <c r="AS146" s="54"/>
      <c r="AT146" s="69"/>
      <c r="AU146" s="66"/>
      <c r="AV146" s="67"/>
      <c r="AW146" s="56"/>
      <c r="AX146" s="56"/>
      <c r="AY146" s="64"/>
      <c r="AZ146" s="64"/>
      <c r="BA146" s="55"/>
      <c r="BB146" s="72"/>
      <c r="BC146" s="68"/>
      <c r="BD146" s="69"/>
      <c r="BE146" s="66"/>
      <c r="BF146" s="67"/>
      <c r="BG146" s="56"/>
      <c r="BH146" s="56"/>
      <c r="BI146" s="64"/>
      <c r="BJ146" s="64"/>
      <c r="BK146" s="57"/>
      <c r="BL146" s="73"/>
      <c r="BM146" s="76"/>
      <c r="BN146" s="74"/>
      <c r="BO146" s="75"/>
      <c r="BP146" s="66"/>
      <c r="BQ146" s="74"/>
    </row>
    <row r="147" spans="1:69" s="44" customFormat="1" ht="22.35" customHeight="1" x14ac:dyDescent="0.2">
      <c r="A147" s="100"/>
      <c r="B147" s="100"/>
      <c r="C147" s="100"/>
      <c r="D147" s="54"/>
      <c r="E147" s="55"/>
      <c r="F147" s="56"/>
      <c r="G147" s="56"/>
      <c r="H147" s="57"/>
      <c r="I147" s="58"/>
      <c r="J147" s="58"/>
      <c r="K147" s="55"/>
      <c r="L147" s="59"/>
      <c r="M147" s="59"/>
      <c r="N147" s="59"/>
      <c r="O147" s="54"/>
      <c r="P147" s="60"/>
      <c r="Q147" s="66"/>
      <c r="R147" s="67"/>
      <c r="S147" s="56"/>
      <c r="T147" s="56"/>
      <c r="U147" s="63"/>
      <c r="V147" s="64"/>
      <c r="W147" s="55"/>
      <c r="X147" s="63"/>
      <c r="Y147" s="54"/>
      <c r="Z147" s="65"/>
      <c r="AA147" s="70"/>
      <c r="AB147" s="71"/>
      <c r="AC147" s="56"/>
      <c r="AD147" s="56"/>
      <c r="AE147" s="64"/>
      <c r="AF147" s="64"/>
      <c r="AG147" s="55"/>
      <c r="AH147" s="68"/>
      <c r="AI147" s="54"/>
      <c r="AJ147" s="69"/>
      <c r="AK147" s="70"/>
      <c r="AL147" s="71"/>
      <c r="AM147" s="56"/>
      <c r="AN147" s="56"/>
      <c r="AO147" s="64"/>
      <c r="AP147" s="64"/>
      <c r="AQ147" s="55"/>
      <c r="AR147" s="68"/>
      <c r="AS147" s="54"/>
      <c r="AT147" s="69"/>
      <c r="AU147" s="66"/>
      <c r="AV147" s="67"/>
      <c r="AW147" s="56"/>
      <c r="AX147" s="56"/>
      <c r="AY147" s="64"/>
      <c r="AZ147" s="64"/>
      <c r="BA147" s="55"/>
      <c r="BB147" s="72"/>
      <c r="BC147" s="68"/>
      <c r="BD147" s="69"/>
      <c r="BE147" s="66"/>
      <c r="BF147" s="67"/>
      <c r="BG147" s="56"/>
      <c r="BH147" s="56"/>
      <c r="BI147" s="64"/>
      <c r="BJ147" s="64"/>
      <c r="BK147" s="57"/>
      <c r="BL147" s="73"/>
      <c r="BM147" s="70"/>
      <c r="BN147" s="74"/>
      <c r="BO147" s="75"/>
      <c r="BP147" s="66"/>
      <c r="BQ147" s="74"/>
    </row>
    <row r="148" spans="1:69" s="44" customFormat="1" ht="22.35" customHeight="1" x14ac:dyDescent="0.2">
      <c r="A148" s="100"/>
      <c r="B148" s="100"/>
      <c r="C148" s="100"/>
      <c r="D148" s="54"/>
      <c r="E148" s="55"/>
      <c r="F148" s="56"/>
      <c r="G148" s="56"/>
      <c r="H148" s="57"/>
      <c r="I148" s="58"/>
      <c r="J148" s="58"/>
      <c r="K148" s="55"/>
      <c r="L148" s="59"/>
      <c r="M148" s="59"/>
      <c r="N148" s="59"/>
      <c r="O148" s="54"/>
      <c r="P148" s="60"/>
      <c r="Q148" s="66"/>
      <c r="R148" s="67"/>
      <c r="S148" s="56"/>
      <c r="T148" s="56"/>
      <c r="U148" s="63"/>
      <c r="V148" s="64"/>
      <c r="W148" s="55"/>
      <c r="X148" s="63"/>
      <c r="Y148" s="54"/>
      <c r="Z148" s="65"/>
      <c r="AA148" s="70"/>
      <c r="AB148" s="71"/>
      <c r="AC148" s="56"/>
      <c r="AD148" s="56"/>
      <c r="AE148" s="64"/>
      <c r="AF148" s="64"/>
      <c r="AG148" s="55"/>
      <c r="AH148" s="68"/>
      <c r="AI148" s="54"/>
      <c r="AJ148" s="69"/>
      <c r="AK148" s="76"/>
      <c r="AL148" s="59"/>
      <c r="AM148" s="56"/>
      <c r="AN148" s="56"/>
      <c r="AO148" s="64"/>
      <c r="AP148" s="64"/>
      <c r="AQ148" s="55"/>
      <c r="AR148" s="68"/>
      <c r="AS148" s="54"/>
      <c r="AT148" s="69"/>
      <c r="AU148" s="70"/>
      <c r="AV148" s="71"/>
      <c r="AW148" s="56"/>
      <c r="AX148" s="56"/>
      <c r="AY148" s="64"/>
      <c r="AZ148" s="64"/>
      <c r="BA148" s="55"/>
      <c r="BB148" s="72"/>
      <c r="BC148" s="68"/>
      <c r="BD148" s="69"/>
      <c r="BE148" s="66"/>
      <c r="BF148" s="67"/>
      <c r="BG148" s="56"/>
      <c r="BH148" s="56"/>
      <c r="BI148" s="64"/>
      <c r="BJ148" s="64"/>
      <c r="BK148" s="57"/>
      <c r="BL148" s="73"/>
      <c r="BM148" s="76"/>
      <c r="BN148" s="74"/>
      <c r="BO148" s="75"/>
      <c r="BP148" s="66"/>
      <c r="BQ148" s="74"/>
    </row>
    <row r="149" spans="1:69" s="44" customFormat="1" ht="22.35" customHeight="1" x14ac:dyDescent="0.2">
      <c r="A149" s="100"/>
      <c r="B149" s="100"/>
      <c r="C149" s="100"/>
      <c r="D149" s="54"/>
      <c r="E149" s="55"/>
      <c r="F149" s="56"/>
      <c r="G149" s="56"/>
      <c r="H149" s="57"/>
      <c r="I149" s="58"/>
      <c r="J149" s="58"/>
      <c r="K149" s="55"/>
      <c r="L149" s="59"/>
      <c r="M149" s="59"/>
      <c r="N149" s="59"/>
      <c r="O149" s="54"/>
      <c r="P149" s="60"/>
      <c r="Q149" s="66"/>
      <c r="R149" s="67"/>
      <c r="S149" s="56"/>
      <c r="T149" s="56"/>
      <c r="U149" s="63"/>
      <c r="V149" s="64"/>
      <c r="W149" s="55"/>
      <c r="X149" s="63"/>
      <c r="Y149" s="54"/>
      <c r="Z149" s="65"/>
      <c r="AA149" s="66"/>
      <c r="AB149" s="67"/>
      <c r="AC149" s="56"/>
      <c r="AD149" s="56"/>
      <c r="AE149" s="64"/>
      <c r="AF149" s="64"/>
      <c r="AG149" s="55"/>
      <c r="AH149" s="68"/>
      <c r="AI149" s="54"/>
      <c r="AJ149" s="69"/>
      <c r="AK149" s="70"/>
      <c r="AL149" s="71"/>
      <c r="AM149" s="56"/>
      <c r="AN149" s="56"/>
      <c r="AO149" s="64"/>
      <c r="AP149" s="64"/>
      <c r="AQ149" s="55"/>
      <c r="AR149" s="68"/>
      <c r="AS149" s="54"/>
      <c r="AT149" s="69"/>
      <c r="AU149" s="66"/>
      <c r="AV149" s="67"/>
      <c r="AW149" s="56"/>
      <c r="AX149" s="56"/>
      <c r="AY149" s="64"/>
      <c r="AZ149" s="64"/>
      <c r="BA149" s="55"/>
      <c r="BB149" s="72"/>
      <c r="BC149" s="68"/>
      <c r="BD149" s="69"/>
      <c r="BE149" s="66"/>
      <c r="BF149" s="67"/>
      <c r="BG149" s="56"/>
      <c r="BH149" s="56"/>
      <c r="BI149" s="64"/>
      <c r="BJ149" s="64"/>
      <c r="BK149" s="57"/>
      <c r="BL149" s="73"/>
      <c r="BM149" s="76"/>
      <c r="BN149" s="74"/>
      <c r="BO149" s="75"/>
      <c r="BP149" s="66"/>
      <c r="BQ149" s="74"/>
    </row>
    <row r="150" spans="1:69" s="44" customFormat="1" ht="22.35" customHeight="1" x14ac:dyDescent="0.2">
      <c r="A150" s="100"/>
      <c r="B150" s="100"/>
      <c r="C150" s="100"/>
      <c r="D150" s="54"/>
      <c r="E150" s="55"/>
      <c r="F150" s="56"/>
      <c r="G150" s="56"/>
      <c r="H150" s="57"/>
      <c r="I150" s="58"/>
      <c r="J150" s="58"/>
      <c r="K150" s="55"/>
      <c r="L150" s="59"/>
      <c r="M150" s="59"/>
      <c r="N150" s="59"/>
      <c r="O150" s="54"/>
      <c r="P150" s="60"/>
      <c r="Q150" s="66"/>
      <c r="R150" s="67"/>
      <c r="S150" s="56"/>
      <c r="T150" s="56"/>
      <c r="U150" s="63"/>
      <c r="V150" s="64"/>
      <c r="W150" s="55"/>
      <c r="X150" s="63"/>
      <c r="Y150" s="54"/>
      <c r="Z150" s="65"/>
      <c r="AA150" s="70"/>
      <c r="AB150" s="71"/>
      <c r="AC150" s="56"/>
      <c r="AD150" s="56"/>
      <c r="AE150" s="64"/>
      <c r="AF150" s="64"/>
      <c r="AG150" s="55"/>
      <c r="AH150" s="68"/>
      <c r="AI150" s="54"/>
      <c r="AJ150" s="69"/>
      <c r="AK150" s="70"/>
      <c r="AL150" s="71"/>
      <c r="AM150" s="56"/>
      <c r="AN150" s="56"/>
      <c r="AO150" s="64"/>
      <c r="AP150" s="64"/>
      <c r="AQ150" s="55"/>
      <c r="AR150" s="68"/>
      <c r="AS150" s="54"/>
      <c r="AT150" s="69"/>
      <c r="AU150" s="66"/>
      <c r="AV150" s="67"/>
      <c r="AW150" s="56"/>
      <c r="AX150" s="56"/>
      <c r="AY150" s="64"/>
      <c r="AZ150" s="64"/>
      <c r="BA150" s="55"/>
      <c r="BB150" s="72"/>
      <c r="BC150" s="68"/>
      <c r="BD150" s="69"/>
      <c r="BE150" s="66"/>
      <c r="BF150" s="67"/>
      <c r="BG150" s="56"/>
      <c r="BH150" s="56"/>
      <c r="BI150" s="64"/>
      <c r="BJ150" s="64"/>
      <c r="BK150" s="57"/>
      <c r="BL150" s="73"/>
      <c r="BM150" s="70"/>
      <c r="BN150" s="74"/>
      <c r="BO150" s="75"/>
      <c r="BP150" s="66"/>
      <c r="BQ150" s="74"/>
    </row>
    <row r="151" spans="1:69" s="44" customFormat="1" ht="22.35" customHeight="1" x14ac:dyDescent="0.2">
      <c r="A151" s="100"/>
      <c r="B151" s="100"/>
      <c r="C151" s="100"/>
      <c r="D151" s="54"/>
      <c r="E151" s="55"/>
      <c r="F151" s="56"/>
      <c r="G151" s="56"/>
      <c r="H151" s="57"/>
      <c r="I151" s="58"/>
      <c r="J151" s="58"/>
      <c r="K151" s="55"/>
      <c r="L151" s="59"/>
      <c r="M151" s="59"/>
      <c r="N151" s="59"/>
      <c r="O151" s="54"/>
      <c r="P151" s="60"/>
      <c r="Q151" s="66"/>
      <c r="R151" s="67"/>
      <c r="S151" s="56"/>
      <c r="T151" s="56"/>
      <c r="U151" s="63"/>
      <c r="V151" s="64"/>
      <c r="W151" s="55"/>
      <c r="X151" s="63"/>
      <c r="Y151" s="54"/>
      <c r="Z151" s="65"/>
      <c r="AA151" s="76"/>
      <c r="AB151" s="59"/>
      <c r="AC151" s="56"/>
      <c r="AD151" s="56"/>
      <c r="AE151" s="64"/>
      <c r="AF151" s="64"/>
      <c r="AG151" s="55"/>
      <c r="AH151" s="68"/>
      <c r="AI151" s="54"/>
      <c r="AJ151" s="69"/>
      <c r="AK151" s="70"/>
      <c r="AL151" s="71"/>
      <c r="AM151" s="56"/>
      <c r="AN151" s="56"/>
      <c r="AO151" s="64"/>
      <c r="AP151" s="64"/>
      <c r="AQ151" s="55"/>
      <c r="AR151" s="68"/>
      <c r="AS151" s="54"/>
      <c r="AT151" s="69"/>
      <c r="AU151" s="66"/>
      <c r="AV151" s="67"/>
      <c r="AW151" s="56"/>
      <c r="AX151" s="56"/>
      <c r="AY151" s="64"/>
      <c r="AZ151" s="64"/>
      <c r="BA151" s="55"/>
      <c r="BB151" s="72"/>
      <c r="BC151" s="68"/>
      <c r="BD151" s="69"/>
      <c r="BE151" s="66"/>
      <c r="BF151" s="67"/>
      <c r="BG151" s="56"/>
      <c r="BH151" s="56"/>
      <c r="BI151" s="64"/>
      <c r="BJ151" s="64"/>
      <c r="BK151" s="57"/>
      <c r="BL151" s="73"/>
      <c r="BM151" s="76"/>
      <c r="BN151" s="74"/>
      <c r="BO151" s="75"/>
      <c r="BP151" s="66"/>
      <c r="BQ151" s="74"/>
    </row>
    <row r="152" spans="1:69" s="44" customFormat="1" ht="22.35" customHeight="1" x14ac:dyDescent="0.2">
      <c r="A152" s="100"/>
      <c r="B152" s="100"/>
      <c r="C152" s="100"/>
      <c r="D152" s="54"/>
      <c r="E152" s="55"/>
      <c r="F152" s="56"/>
      <c r="G152" s="56"/>
      <c r="H152" s="57"/>
      <c r="I152" s="58"/>
      <c r="J152" s="58"/>
      <c r="K152" s="55"/>
      <c r="L152" s="59"/>
      <c r="M152" s="59"/>
      <c r="N152" s="59"/>
      <c r="O152" s="54"/>
      <c r="P152" s="60"/>
      <c r="Q152" s="66"/>
      <c r="R152" s="67"/>
      <c r="S152" s="56"/>
      <c r="T152" s="56"/>
      <c r="U152" s="63"/>
      <c r="V152" s="64"/>
      <c r="W152" s="55"/>
      <c r="X152" s="63"/>
      <c r="Y152" s="54"/>
      <c r="Z152" s="65"/>
      <c r="AA152" s="61"/>
      <c r="AB152" s="62"/>
      <c r="AC152" s="56"/>
      <c r="AD152" s="56"/>
      <c r="AE152" s="64"/>
      <c r="AF152" s="64"/>
      <c r="AG152" s="55"/>
      <c r="AH152" s="68"/>
      <c r="AI152" s="54"/>
      <c r="AJ152" s="69"/>
      <c r="AK152" s="61"/>
      <c r="AL152" s="62"/>
      <c r="AM152" s="56"/>
      <c r="AN152" s="56"/>
      <c r="AO152" s="64"/>
      <c r="AP152" s="64"/>
      <c r="AQ152" s="55"/>
      <c r="AR152" s="68"/>
      <c r="AS152" s="54"/>
      <c r="AT152" s="69"/>
      <c r="AU152" s="61"/>
      <c r="AV152" s="62"/>
      <c r="AW152" s="56"/>
      <c r="AX152" s="56"/>
      <c r="AY152" s="64"/>
      <c r="AZ152" s="64"/>
      <c r="BA152" s="55"/>
      <c r="BB152" s="72"/>
      <c r="BC152" s="68"/>
      <c r="BD152" s="69"/>
      <c r="BE152" s="70"/>
      <c r="BF152" s="71"/>
      <c r="BG152" s="56"/>
      <c r="BH152" s="56"/>
      <c r="BI152" s="64"/>
      <c r="BJ152" s="64"/>
      <c r="BK152" s="57"/>
      <c r="BL152" s="73"/>
      <c r="BM152" s="76"/>
      <c r="BN152" s="74"/>
      <c r="BO152" s="75"/>
      <c r="BP152" s="66"/>
      <c r="BQ152" s="74"/>
    </row>
    <row r="153" spans="1:69" s="44" customFormat="1" ht="22.35" customHeight="1" x14ac:dyDescent="0.2">
      <c r="A153" s="100"/>
      <c r="B153" s="100"/>
      <c r="C153" s="100"/>
      <c r="D153" s="54"/>
      <c r="E153" s="55"/>
      <c r="F153" s="56"/>
      <c r="G153" s="56"/>
      <c r="H153" s="57"/>
      <c r="I153" s="58"/>
      <c r="J153" s="58"/>
      <c r="K153" s="55"/>
      <c r="L153" s="59"/>
      <c r="M153" s="59"/>
      <c r="N153" s="59"/>
      <c r="O153" s="54"/>
      <c r="P153" s="60"/>
      <c r="Q153" s="66"/>
      <c r="R153" s="67"/>
      <c r="S153" s="56"/>
      <c r="T153" s="56"/>
      <c r="U153" s="63"/>
      <c r="V153" s="64"/>
      <c r="W153" s="55"/>
      <c r="X153" s="63"/>
      <c r="Y153" s="54"/>
      <c r="Z153" s="65"/>
      <c r="AA153" s="70"/>
      <c r="AB153" s="71"/>
      <c r="AC153" s="56"/>
      <c r="AD153" s="56"/>
      <c r="AE153" s="64"/>
      <c r="AF153" s="64"/>
      <c r="AG153" s="55"/>
      <c r="AH153" s="68"/>
      <c r="AI153" s="54"/>
      <c r="AJ153" s="69"/>
      <c r="AK153" s="70"/>
      <c r="AL153" s="71"/>
      <c r="AM153" s="56"/>
      <c r="AN153" s="56"/>
      <c r="AO153" s="64"/>
      <c r="AP153" s="64"/>
      <c r="AQ153" s="55"/>
      <c r="AR153" s="68"/>
      <c r="AS153" s="54"/>
      <c r="AT153" s="69"/>
      <c r="AU153" s="66"/>
      <c r="AV153" s="67"/>
      <c r="AW153" s="56"/>
      <c r="AX153" s="56"/>
      <c r="AY153" s="64"/>
      <c r="AZ153" s="64"/>
      <c r="BA153" s="55"/>
      <c r="BB153" s="72"/>
      <c r="BC153" s="68"/>
      <c r="BD153" s="69"/>
      <c r="BE153" s="66"/>
      <c r="BF153" s="67"/>
      <c r="BG153" s="56"/>
      <c r="BH153" s="56"/>
      <c r="BI153" s="64"/>
      <c r="BJ153" s="64"/>
      <c r="BK153" s="57"/>
      <c r="BL153" s="73"/>
      <c r="BM153" s="70"/>
      <c r="BN153" s="74"/>
      <c r="BO153" s="75"/>
      <c r="BP153" s="66"/>
      <c r="BQ153" s="74"/>
    </row>
    <row r="154" spans="1:69" s="44" customFormat="1" ht="22.35" customHeight="1" x14ac:dyDescent="0.2">
      <c r="A154" s="100"/>
      <c r="B154" s="100"/>
      <c r="C154" s="100"/>
      <c r="D154" s="54"/>
      <c r="E154" s="55"/>
      <c r="F154" s="56"/>
      <c r="G154" s="56"/>
      <c r="H154" s="57"/>
      <c r="I154" s="58"/>
      <c r="J154" s="58"/>
      <c r="K154" s="55"/>
      <c r="L154" s="59"/>
      <c r="M154" s="59"/>
      <c r="N154" s="59"/>
      <c r="O154" s="54"/>
      <c r="P154" s="60"/>
      <c r="Q154" s="70"/>
      <c r="R154" s="71"/>
      <c r="S154" s="56"/>
      <c r="T154" s="56"/>
      <c r="U154" s="63"/>
      <c r="V154" s="64"/>
      <c r="W154" s="55"/>
      <c r="X154" s="63"/>
      <c r="Y154" s="54"/>
      <c r="Z154" s="65"/>
      <c r="AA154" s="66"/>
      <c r="AB154" s="67"/>
      <c r="AC154" s="56"/>
      <c r="AD154" s="56"/>
      <c r="AE154" s="64"/>
      <c r="AF154" s="64"/>
      <c r="AG154" s="55"/>
      <c r="AH154" s="68"/>
      <c r="AI154" s="54"/>
      <c r="AJ154" s="69"/>
      <c r="AK154" s="66"/>
      <c r="AL154" s="67"/>
      <c r="AM154" s="56"/>
      <c r="AN154" s="56"/>
      <c r="AO154" s="64"/>
      <c r="AP154" s="64"/>
      <c r="AQ154" s="55"/>
      <c r="AR154" s="68"/>
      <c r="AS154" s="54"/>
      <c r="AT154" s="69"/>
      <c r="AU154" s="70"/>
      <c r="AV154" s="71"/>
      <c r="AW154" s="56"/>
      <c r="AX154" s="56"/>
      <c r="AY154" s="64"/>
      <c r="AZ154" s="64"/>
      <c r="BA154" s="55"/>
      <c r="BB154" s="72"/>
      <c r="BC154" s="68"/>
      <c r="BD154" s="69"/>
      <c r="BE154" s="66"/>
      <c r="BF154" s="67"/>
      <c r="BG154" s="56"/>
      <c r="BH154" s="56"/>
      <c r="BI154" s="64"/>
      <c r="BJ154" s="64"/>
      <c r="BK154" s="57"/>
      <c r="BL154" s="73"/>
      <c r="BM154" s="76"/>
      <c r="BN154" s="74"/>
      <c r="BO154" s="75"/>
      <c r="BP154" s="66"/>
      <c r="BQ154" s="74"/>
    </row>
    <row r="155" spans="1:69" s="44" customFormat="1" ht="22.35" customHeight="1" x14ac:dyDescent="0.2">
      <c r="A155" s="100"/>
      <c r="B155" s="100"/>
      <c r="C155" s="100"/>
      <c r="D155" s="54"/>
      <c r="E155" s="55"/>
      <c r="F155" s="56"/>
      <c r="G155" s="56"/>
      <c r="H155" s="57"/>
      <c r="I155" s="58"/>
      <c r="J155" s="58"/>
      <c r="K155" s="55"/>
      <c r="L155" s="59"/>
      <c r="M155" s="59"/>
      <c r="N155" s="59"/>
      <c r="O155" s="54"/>
      <c r="P155" s="60"/>
      <c r="Q155" s="66"/>
      <c r="R155" s="67"/>
      <c r="S155" s="56"/>
      <c r="T155" s="56"/>
      <c r="U155" s="63"/>
      <c r="V155" s="64"/>
      <c r="W155" s="55"/>
      <c r="X155" s="63"/>
      <c r="Y155" s="54"/>
      <c r="Z155" s="65"/>
      <c r="AA155" s="70"/>
      <c r="AB155" s="71"/>
      <c r="AC155" s="56"/>
      <c r="AD155" s="56"/>
      <c r="AE155" s="64"/>
      <c r="AF155" s="64"/>
      <c r="AG155" s="55"/>
      <c r="AH155" s="68"/>
      <c r="AI155" s="54"/>
      <c r="AJ155" s="69"/>
      <c r="AK155" s="76"/>
      <c r="AL155" s="59"/>
      <c r="AM155" s="56"/>
      <c r="AN155" s="56"/>
      <c r="AO155" s="64"/>
      <c r="AP155" s="64"/>
      <c r="AQ155" s="55"/>
      <c r="AR155" s="68"/>
      <c r="AS155" s="54"/>
      <c r="AT155" s="69"/>
      <c r="AU155" s="66"/>
      <c r="AV155" s="67"/>
      <c r="AW155" s="56"/>
      <c r="AX155" s="56"/>
      <c r="AY155" s="64"/>
      <c r="AZ155" s="64"/>
      <c r="BA155" s="55"/>
      <c r="BB155" s="72"/>
      <c r="BC155" s="68"/>
      <c r="BD155" s="69"/>
      <c r="BE155" s="70"/>
      <c r="BF155" s="71"/>
      <c r="BG155" s="56"/>
      <c r="BH155" s="56"/>
      <c r="BI155" s="64"/>
      <c r="BJ155" s="64"/>
      <c r="BK155" s="57"/>
      <c r="BL155" s="73"/>
      <c r="BM155" s="70"/>
      <c r="BN155" s="74"/>
      <c r="BO155" s="75"/>
      <c r="BP155" s="66"/>
      <c r="BQ155" s="74"/>
    </row>
    <row r="156" spans="1:69" s="44" customFormat="1" ht="22.35" customHeight="1" x14ac:dyDescent="0.2">
      <c r="A156" s="100"/>
      <c r="B156" s="100"/>
      <c r="C156" s="100"/>
      <c r="D156" s="54"/>
      <c r="E156" s="55"/>
      <c r="F156" s="56"/>
      <c r="G156" s="56"/>
      <c r="H156" s="57"/>
      <c r="I156" s="58"/>
      <c r="J156" s="58"/>
      <c r="K156" s="55"/>
      <c r="L156" s="59"/>
      <c r="M156" s="59"/>
      <c r="N156" s="59"/>
      <c r="O156" s="54"/>
      <c r="P156" s="60"/>
      <c r="Q156" s="66"/>
      <c r="R156" s="67"/>
      <c r="S156" s="56"/>
      <c r="T156" s="56"/>
      <c r="U156" s="63"/>
      <c r="V156" s="64"/>
      <c r="W156" s="55"/>
      <c r="X156" s="63"/>
      <c r="Y156" s="54"/>
      <c r="Z156" s="65"/>
      <c r="AA156" s="70"/>
      <c r="AB156" s="71"/>
      <c r="AC156" s="56"/>
      <c r="AD156" s="56"/>
      <c r="AE156" s="64"/>
      <c r="AF156" s="64"/>
      <c r="AG156" s="55"/>
      <c r="AH156" s="68"/>
      <c r="AI156" s="54"/>
      <c r="AJ156" s="69"/>
      <c r="AK156" s="76"/>
      <c r="AL156" s="59"/>
      <c r="AM156" s="56"/>
      <c r="AN156" s="56"/>
      <c r="AO156" s="64"/>
      <c r="AP156" s="64"/>
      <c r="AQ156" s="55"/>
      <c r="AR156" s="68"/>
      <c r="AS156" s="54"/>
      <c r="AT156" s="69"/>
      <c r="AU156" s="66"/>
      <c r="AV156" s="67"/>
      <c r="AW156" s="56"/>
      <c r="AX156" s="56"/>
      <c r="AY156" s="64"/>
      <c r="AZ156" s="64"/>
      <c r="BA156" s="55"/>
      <c r="BB156" s="72"/>
      <c r="BC156" s="68"/>
      <c r="BD156" s="69"/>
      <c r="BE156" s="66"/>
      <c r="BF156" s="67"/>
      <c r="BG156" s="56"/>
      <c r="BH156" s="56"/>
      <c r="BI156" s="64"/>
      <c r="BJ156" s="64"/>
      <c r="BK156" s="57"/>
      <c r="BL156" s="73"/>
      <c r="BM156" s="70"/>
      <c r="BN156" s="74"/>
      <c r="BO156" s="75"/>
      <c r="BP156" s="66"/>
      <c r="BQ156" s="74"/>
    </row>
    <row r="157" spans="1:69" s="44" customFormat="1" ht="22.35" customHeight="1" x14ac:dyDescent="0.2">
      <c r="A157" s="100"/>
      <c r="B157" s="100"/>
      <c r="C157" s="100"/>
      <c r="D157" s="54"/>
      <c r="E157" s="55"/>
      <c r="F157" s="56"/>
      <c r="G157" s="56"/>
      <c r="H157" s="57"/>
      <c r="I157" s="58"/>
      <c r="J157" s="58"/>
      <c r="K157" s="55"/>
      <c r="L157" s="59"/>
      <c r="M157" s="59"/>
      <c r="N157" s="59"/>
      <c r="O157" s="54"/>
      <c r="P157" s="60"/>
      <c r="Q157" s="66"/>
      <c r="R157" s="67"/>
      <c r="S157" s="56"/>
      <c r="T157" s="56"/>
      <c r="U157" s="63"/>
      <c r="V157" s="64"/>
      <c r="W157" s="55"/>
      <c r="X157" s="63"/>
      <c r="Y157" s="54"/>
      <c r="Z157" s="65"/>
      <c r="AA157" s="70"/>
      <c r="AB157" s="71"/>
      <c r="AC157" s="56"/>
      <c r="AD157" s="56"/>
      <c r="AE157" s="64"/>
      <c r="AF157" s="64"/>
      <c r="AG157" s="55"/>
      <c r="AH157" s="68"/>
      <c r="AI157" s="54"/>
      <c r="AJ157" s="69"/>
      <c r="AK157" s="76"/>
      <c r="AL157" s="59"/>
      <c r="AM157" s="56"/>
      <c r="AN157" s="56"/>
      <c r="AO157" s="64"/>
      <c r="AP157" s="64"/>
      <c r="AQ157" s="55"/>
      <c r="AR157" s="68"/>
      <c r="AS157" s="54"/>
      <c r="AT157" s="69"/>
      <c r="AU157" s="70"/>
      <c r="AV157" s="71"/>
      <c r="AW157" s="56"/>
      <c r="AX157" s="56"/>
      <c r="AY157" s="64"/>
      <c r="AZ157" s="64"/>
      <c r="BA157" s="55"/>
      <c r="BB157" s="72"/>
      <c r="BC157" s="68"/>
      <c r="BD157" s="69"/>
      <c r="BE157" s="66"/>
      <c r="BF157" s="67"/>
      <c r="BG157" s="56"/>
      <c r="BH157" s="56"/>
      <c r="BI157" s="64"/>
      <c r="BJ157" s="64"/>
      <c r="BK157" s="57"/>
      <c r="BL157" s="73"/>
      <c r="BM157" s="70"/>
      <c r="BN157" s="74"/>
      <c r="BO157" s="75"/>
      <c r="BP157" s="66"/>
      <c r="BQ157" s="74"/>
    </row>
    <row r="158" spans="1:69" s="44" customFormat="1" ht="22.35" customHeight="1" x14ac:dyDescent="0.2">
      <c r="A158" s="100"/>
      <c r="B158" s="100"/>
      <c r="C158" s="100"/>
      <c r="D158" s="54"/>
      <c r="E158" s="55"/>
      <c r="F158" s="56"/>
      <c r="G158" s="56"/>
      <c r="H158" s="57"/>
      <c r="I158" s="58"/>
      <c r="J158" s="58"/>
      <c r="K158" s="55"/>
      <c r="L158" s="59"/>
      <c r="M158" s="59"/>
      <c r="N158" s="59"/>
      <c r="O158" s="54"/>
      <c r="P158" s="60"/>
      <c r="Q158" s="66"/>
      <c r="R158" s="67"/>
      <c r="S158" s="56"/>
      <c r="T158" s="56"/>
      <c r="U158" s="63"/>
      <c r="V158" s="64"/>
      <c r="W158" s="55"/>
      <c r="X158" s="63"/>
      <c r="Y158" s="54"/>
      <c r="Z158" s="65"/>
      <c r="AA158" s="66"/>
      <c r="AB158" s="67"/>
      <c r="AC158" s="56"/>
      <c r="AD158" s="56"/>
      <c r="AE158" s="64"/>
      <c r="AF158" s="64"/>
      <c r="AG158" s="55"/>
      <c r="AH158" s="68"/>
      <c r="AI158" s="54"/>
      <c r="AJ158" s="69"/>
      <c r="AK158" s="76"/>
      <c r="AL158" s="59"/>
      <c r="AM158" s="56"/>
      <c r="AN158" s="56"/>
      <c r="AO158" s="64"/>
      <c r="AP158" s="64"/>
      <c r="AQ158" s="55"/>
      <c r="AR158" s="68"/>
      <c r="AS158" s="54"/>
      <c r="AT158" s="69"/>
      <c r="AU158" s="61"/>
      <c r="AV158" s="62"/>
      <c r="AW158" s="56"/>
      <c r="AX158" s="56"/>
      <c r="AY158" s="64"/>
      <c r="AZ158" s="64"/>
      <c r="BA158" s="55"/>
      <c r="BB158" s="72"/>
      <c r="BC158" s="68"/>
      <c r="BD158" s="69"/>
      <c r="BE158" s="66"/>
      <c r="BF158" s="67"/>
      <c r="BG158" s="56"/>
      <c r="BH158" s="56"/>
      <c r="BI158" s="64"/>
      <c r="BJ158" s="64"/>
      <c r="BK158" s="57"/>
      <c r="BL158" s="73"/>
      <c r="BM158" s="70"/>
      <c r="BN158" s="74"/>
      <c r="BO158" s="75"/>
      <c r="BP158" s="66"/>
      <c r="BQ158" s="74"/>
    </row>
    <row r="159" spans="1:69" s="44" customFormat="1" ht="22.35" customHeight="1" x14ac:dyDescent="0.2">
      <c r="A159" s="100"/>
      <c r="B159" s="100"/>
      <c r="C159" s="100"/>
      <c r="D159" s="54"/>
      <c r="E159" s="55"/>
      <c r="F159" s="56"/>
      <c r="G159" s="56"/>
      <c r="H159" s="57"/>
      <c r="I159" s="58"/>
      <c r="J159" s="58"/>
      <c r="K159" s="55"/>
      <c r="L159" s="59"/>
      <c r="M159" s="59"/>
      <c r="N159" s="59"/>
      <c r="O159" s="54"/>
      <c r="P159" s="60"/>
      <c r="Q159" s="66"/>
      <c r="R159" s="67"/>
      <c r="S159" s="56"/>
      <c r="T159" s="56"/>
      <c r="U159" s="63"/>
      <c r="V159" s="64"/>
      <c r="W159" s="55"/>
      <c r="X159" s="63"/>
      <c r="Y159" s="54"/>
      <c r="Z159" s="65"/>
      <c r="AA159" s="70"/>
      <c r="AB159" s="71"/>
      <c r="AC159" s="56"/>
      <c r="AD159" s="56"/>
      <c r="AE159" s="64"/>
      <c r="AF159" s="64"/>
      <c r="AG159" s="55"/>
      <c r="AH159" s="68"/>
      <c r="AI159" s="54"/>
      <c r="AJ159" s="69"/>
      <c r="AK159" s="76"/>
      <c r="AL159" s="59"/>
      <c r="AM159" s="56"/>
      <c r="AN159" s="56"/>
      <c r="AO159" s="64"/>
      <c r="AP159" s="64"/>
      <c r="AQ159" s="55"/>
      <c r="AR159" s="68"/>
      <c r="AS159" s="54"/>
      <c r="AT159" s="69"/>
      <c r="AU159" s="61"/>
      <c r="AV159" s="62"/>
      <c r="AW159" s="56"/>
      <c r="AX159" s="56"/>
      <c r="AY159" s="64"/>
      <c r="AZ159" s="64"/>
      <c r="BA159" s="55"/>
      <c r="BB159" s="72"/>
      <c r="BC159" s="68"/>
      <c r="BD159" s="69"/>
      <c r="BE159" s="61"/>
      <c r="BF159" s="62"/>
      <c r="BG159" s="56"/>
      <c r="BH159" s="56"/>
      <c r="BI159" s="64"/>
      <c r="BJ159" s="64"/>
      <c r="BK159" s="57"/>
      <c r="BL159" s="73"/>
      <c r="BM159" s="76"/>
      <c r="BN159" s="74"/>
      <c r="BO159" s="75"/>
      <c r="BP159" s="66"/>
      <c r="BQ159" s="74"/>
    </row>
    <row r="160" spans="1:69" s="44" customFormat="1" ht="22.35" customHeight="1" x14ac:dyDescent="0.2">
      <c r="A160" s="100"/>
      <c r="B160" s="100"/>
      <c r="C160" s="100"/>
      <c r="D160" s="54"/>
      <c r="E160" s="55"/>
      <c r="F160" s="56"/>
      <c r="G160" s="56"/>
      <c r="H160" s="57"/>
      <c r="I160" s="58"/>
      <c r="J160" s="58"/>
      <c r="K160" s="55"/>
      <c r="L160" s="59"/>
      <c r="M160" s="59"/>
      <c r="N160" s="59"/>
      <c r="O160" s="54"/>
      <c r="P160" s="60"/>
      <c r="Q160" s="66"/>
      <c r="R160" s="67"/>
      <c r="S160" s="56"/>
      <c r="T160" s="56"/>
      <c r="U160" s="63"/>
      <c r="V160" s="64"/>
      <c r="W160" s="55"/>
      <c r="X160" s="63"/>
      <c r="Y160" s="54"/>
      <c r="Z160" s="65"/>
      <c r="AA160" s="70"/>
      <c r="AB160" s="71"/>
      <c r="AC160" s="56"/>
      <c r="AD160" s="56"/>
      <c r="AE160" s="64"/>
      <c r="AF160" s="64"/>
      <c r="AG160" s="55"/>
      <c r="AH160" s="68"/>
      <c r="AI160" s="54"/>
      <c r="AJ160" s="69"/>
      <c r="AK160" s="76"/>
      <c r="AL160" s="59"/>
      <c r="AM160" s="56"/>
      <c r="AN160" s="56"/>
      <c r="AO160" s="64"/>
      <c r="AP160" s="64"/>
      <c r="AQ160" s="55"/>
      <c r="AR160" s="68"/>
      <c r="AS160" s="54"/>
      <c r="AT160" s="69"/>
      <c r="AU160" s="61"/>
      <c r="AV160" s="62"/>
      <c r="AW160" s="56"/>
      <c r="AX160" s="56"/>
      <c r="AY160" s="64"/>
      <c r="AZ160" s="64"/>
      <c r="BA160" s="55"/>
      <c r="BB160" s="72"/>
      <c r="BC160" s="68"/>
      <c r="BD160" s="69"/>
      <c r="BE160" s="76"/>
      <c r="BF160" s="59"/>
      <c r="BG160" s="56"/>
      <c r="BH160" s="56"/>
      <c r="BI160" s="64"/>
      <c r="BJ160" s="64"/>
      <c r="BK160" s="57"/>
      <c r="BL160" s="73"/>
      <c r="BM160" s="76"/>
      <c r="BN160" s="74"/>
      <c r="BO160" s="75"/>
      <c r="BP160" s="66"/>
      <c r="BQ160" s="74"/>
    </row>
    <row r="161" spans="1:69" s="44" customFormat="1" ht="22.35" customHeight="1" x14ac:dyDescent="0.2">
      <c r="A161" s="100"/>
      <c r="B161" s="100"/>
      <c r="C161" s="100"/>
      <c r="D161" s="54"/>
      <c r="E161" s="55"/>
      <c r="F161" s="56"/>
      <c r="G161" s="56"/>
      <c r="H161" s="57"/>
      <c r="I161" s="58"/>
      <c r="J161" s="58"/>
      <c r="K161" s="55"/>
      <c r="L161" s="59"/>
      <c r="M161" s="59"/>
      <c r="N161" s="59"/>
      <c r="O161" s="54"/>
      <c r="P161" s="60"/>
      <c r="Q161" s="66"/>
      <c r="R161" s="67"/>
      <c r="S161" s="56"/>
      <c r="T161" s="56"/>
      <c r="U161" s="63"/>
      <c r="V161" s="64"/>
      <c r="W161" s="55"/>
      <c r="X161" s="63"/>
      <c r="Y161" s="54"/>
      <c r="Z161" s="65"/>
      <c r="AA161" s="70"/>
      <c r="AB161" s="71"/>
      <c r="AC161" s="56"/>
      <c r="AD161" s="56"/>
      <c r="AE161" s="64"/>
      <c r="AF161" s="64"/>
      <c r="AG161" s="55"/>
      <c r="AH161" s="68"/>
      <c r="AI161" s="54"/>
      <c r="AJ161" s="69"/>
      <c r="AK161" s="61"/>
      <c r="AL161" s="62"/>
      <c r="AM161" s="56"/>
      <c r="AN161" s="56"/>
      <c r="AO161" s="64"/>
      <c r="AP161" s="64"/>
      <c r="AQ161" s="55"/>
      <c r="AR161" s="68"/>
      <c r="AS161" s="54"/>
      <c r="AT161" s="69"/>
      <c r="AU161" s="61"/>
      <c r="AV161" s="62"/>
      <c r="AW161" s="56"/>
      <c r="AX161" s="56"/>
      <c r="AY161" s="64"/>
      <c r="AZ161" s="64"/>
      <c r="BA161" s="55"/>
      <c r="BB161" s="72"/>
      <c r="BC161" s="68"/>
      <c r="BD161" s="69"/>
      <c r="BE161" s="70"/>
      <c r="BF161" s="71"/>
      <c r="BG161" s="56"/>
      <c r="BH161" s="56"/>
      <c r="BI161" s="64"/>
      <c r="BJ161" s="64"/>
      <c r="BK161" s="57"/>
      <c r="BL161" s="73"/>
      <c r="BM161" s="76"/>
      <c r="BN161" s="74"/>
      <c r="BO161" s="75"/>
      <c r="BP161" s="66"/>
      <c r="BQ161" s="74"/>
    </row>
    <row r="162" spans="1:69" s="44" customFormat="1" ht="22.35" customHeight="1" x14ac:dyDescent="0.2">
      <c r="A162" s="100"/>
      <c r="B162" s="100"/>
      <c r="C162" s="100"/>
      <c r="D162" s="54"/>
      <c r="E162" s="55"/>
      <c r="F162" s="56"/>
      <c r="G162" s="56"/>
      <c r="H162" s="57"/>
      <c r="I162" s="58"/>
      <c r="J162" s="58"/>
      <c r="K162" s="55"/>
      <c r="L162" s="59"/>
      <c r="M162" s="59"/>
      <c r="N162" s="59"/>
      <c r="O162" s="54"/>
      <c r="P162" s="60"/>
      <c r="Q162" s="66"/>
      <c r="R162" s="67"/>
      <c r="S162" s="56"/>
      <c r="T162" s="56"/>
      <c r="U162" s="63"/>
      <c r="V162" s="64"/>
      <c r="W162" s="55"/>
      <c r="X162" s="63"/>
      <c r="Y162" s="54"/>
      <c r="Z162" s="65"/>
      <c r="AA162" s="76"/>
      <c r="AB162" s="59"/>
      <c r="AC162" s="56"/>
      <c r="AD162" s="56"/>
      <c r="AE162" s="64"/>
      <c r="AF162" s="64"/>
      <c r="AG162" s="55"/>
      <c r="AH162" s="68"/>
      <c r="AI162" s="54"/>
      <c r="AJ162" s="69"/>
      <c r="AK162" s="66"/>
      <c r="AL162" s="67"/>
      <c r="AM162" s="56"/>
      <c r="AN162" s="56"/>
      <c r="AO162" s="64"/>
      <c r="AP162" s="64"/>
      <c r="AQ162" s="55"/>
      <c r="AR162" s="68"/>
      <c r="AS162" s="54"/>
      <c r="AT162" s="69"/>
      <c r="AU162" s="61"/>
      <c r="AV162" s="62"/>
      <c r="AW162" s="56"/>
      <c r="AX162" s="56"/>
      <c r="AY162" s="64"/>
      <c r="AZ162" s="64"/>
      <c r="BA162" s="55"/>
      <c r="BB162" s="72"/>
      <c r="BC162" s="68"/>
      <c r="BD162" s="69"/>
      <c r="BE162" s="66"/>
      <c r="BF162" s="67"/>
      <c r="BG162" s="56"/>
      <c r="BH162" s="56"/>
      <c r="BI162" s="64"/>
      <c r="BJ162" s="64"/>
      <c r="BK162" s="57"/>
      <c r="BL162" s="73"/>
      <c r="BM162" s="70"/>
      <c r="BN162" s="74"/>
      <c r="BO162" s="75"/>
      <c r="BP162" s="66"/>
      <c r="BQ162" s="74"/>
    </row>
    <row r="163" spans="1:69" s="44" customFormat="1" ht="22.35" customHeight="1" x14ac:dyDescent="0.2">
      <c r="A163" s="100"/>
      <c r="B163" s="100"/>
      <c r="C163" s="100"/>
      <c r="D163" s="54"/>
      <c r="E163" s="55"/>
      <c r="F163" s="56"/>
      <c r="G163" s="56"/>
      <c r="H163" s="57"/>
      <c r="I163" s="58"/>
      <c r="J163" s="58"/>
      <c r="K163" s="55"/>
      <c r="L163" s="59"/>
      <c r="M163" s="59"/>
      <c r="N163" s="59"/>
      <c r="O163" s="54"/>
      <c r="P163" s="60"/>
      <c r="Q163" s="66"/>
      <c r="R163" s="67"/>
      <c r="S163" s="56"/>
      <c r="T163" s="56"/>
      <c r="U163" s="63"/>
      <c r="V163" s="64"/>
      <c r="W163" s="55"/>
      <c r="X163" s="63"/>
      <c r="Y163" s="54"/>
      <c r="Z163" s="65"/>
      <c r="AA163" s="66"/>
      <c r="AB163" s="67"/>
      <c r="AC163" s="56"/>
      <c r="AD163" s="56"/>
      <c r="AE163" s="64"/>
      <c r="AF163" s="64"/>
      <c r="AG163" s="55"/>
      <c r="AH163" s="68"/>
      <c r="AI163" s="54"/>
      <c r="AJ163" s="69"/>
      <c r="AK163" s="66"/>
      <c r="AL163" s="67"/>
      <c r="AM163" s="56"/>
      <c r="AN163" s="56"/>
      <c r="AO163" s="64"/>
      <c r="AP163" s="64"/>
      <c r="AQ163" s="55"/>
      <c r="AR163" s="68"/>
      <c r="AS163" s="54"/>
      <c r="AT163" s="69"/>
      <c r="AU163" s="66"/>
      <c r="AV163" s="67"/>
      <c r="AW163" s="56"/>
      <c r="AX163" s="56"/>
      <c r="AY163" s="64"/>
      <c r="AZ163" s="64"/>
      <c r="BA163" s="55"/>
      <c r="BB163" s="72"/>
      <c r="BC163" s="68"/>
      <c r="BD163" s="69"/>
      <c r="BE163" s="66"/>
      <c r="BF163" s="67"/>
      <c r="BG163" s="56"/>
      <c r="BH163" s="56"/>
      <c r="BI163" s="64"/>
      <c r="BJ163" s="64"/>
      <c r="BK163" s="57"/>
      <c r="BL163" s="73"/>
      <c r="BM163" s="76"/>
      <c r="BN163" s="74"/>
      <c r="BO163" s="75"/>
      <c r="BP163" s="66"/>
      <c r="BQ163" s="74"/>
    </row>
    <row r="164" spans="1:69" s="44" customFormat="1" ht="22.35" customHeight="1" x14ac:dyDescent="0.2">
      <c r="A164" s="100"/>
      <c r="B164" s="100"/>
      <c r="C164" s="100"/>
      <c r="D164" s="54"/>
      <c r="E164" s="55"/>
      <c r="F164" s="56"/>
      <c r="G164" s="56"/>
      <c r="H164" s="57"/>
      <c r="I164" s="58"/>
      <c r="J164" s="58"/>
      <c r="K164" s="55"/>
      <c r="L164" s="59"/>
      <c r="M164" s="59"/>
      <c r="N164" s="59"/>
      <c r="O164" s="54"/>
      <c r="P164" s="60"/>
      <c r="Q164" s="66"/>
      <c r="R164" s="67"/>
      <c r="S164" s="56"/>
      <c r="T164" s="56"/>
      <c r="U164" s="63"/>
      <c r="V164" s="64"/>
      <c r="W164" s="55"/>
      <c r="X164" s="63"/>
      <c r="Y164" s="54"/>
      <c r="Z164" s="65"/>
      <c r="AA164" s="76"/>
      <c r="AB164" s="59"/>
      <c r="AC164" s="56"/>
      <c r="AD164" s="56"/>
      <c r="AE164" s="64"/>
      <c r="AF164" s="64"/>
      <c r="AG164" s="55"/>
      <c r="AH164" s="68"/>
      <c r="AI164" s="54"/>
      <c r="AJ164" s="69"/>
      <c r="AK164" s="61"/>
      <c r="AL164" s="62"/>
      <c r="AM164" s="56"/>
      <c r="AN164" s="56"/>
      <c r="AO164" s="64"/>
      <c r="AP164" s="64"/>
      <c r="AQ164" s="55"/>
      <c r="AR164" s="68"/>
      <c r="AS164" s="54"/>
      <c r="AT164" s="69"/>
      <c r="AU164" s="61"/>
      <c r="AV164" s="62"/>
      <c r="AW164" s="56"/>
      <c r="AX164" s="56"/>
      <c r="AY164" s="64"/>
      <c r="AZ164" s="64"/>
      <c r="BA164" s="55"/>
      <c r="BB164" s="72"/>
      <c r="BC164" s="68"/>
      <c r="BD164" s="69"/>
      <c r="BE164" s="70"/>
      <c r="BF164" s="71"/>
      <c r="BG164" s="56"/>
      <c r="BH164" s="56"/>
      <c r="BI164" s="64"/>
      <c r="BJ164" s="64"/>
      <c r="BK164" s="57"/>
      <c r="BL164" s="73"/>
      <c r="BM164" s="76"/>
      <c r="BN164" s="74"/>
      <c r="BO164" s="75"/>
      <c r="BP164" s="66"/>
      <c r="BQ164" s="74"/>
    </row>
    <row r="165" spans="1:69" s="44" customFormat="1" ht="22.35" customHeight="1" x14ac:dyDescent="0.2">
      <c r="A165" s="100"/>
      <c r="B165" s="100"/>
      <c r="C165" s="100"/>
      <c r="D165" s="54"/>
      <c r="E165" s="55"/>
      <c r="F165" s="56"/>
      <c r="G165" s="56"/>
      <c r="H165" s="57"/>
      <c r="I165" s="58"/>
      <c r="J165" s="58"/>
      <c r="K165" s="55"/>
      <c r="L165" s="59"/>
      <c r="M165" s="59"/>
      <c r="N165" s="59"/>
      <c r="O165" s="54"/>
      <c r="P165" s="60"/>
      <c r="Q165" s="66"/>
      <c r="R165" s="67"/>
      <c r="S165" s="56"/>
      <c r="T165" s="56"/>
      <c r="U165" s="63"/>
      <c r="V165" s="64"/>
      <c r="W165" s="55"/>
      <c r="X165" s="63"/>
      <c r="Y165" s="54"/>
      <c r="Z165" s="65"/>
      <c r="AA165" s="76"/>
      <c r="AB165" s="59"/>
      <c r="AC165" s="56"/>
      <c r="AD165" s="56"/>
      <c r="AE165" s="64"/>
      <c r="AF165" s="64"/>
      <c r="AG165" s="55"/>
      <c r="AH165" s="68"/>
      <c r="AI165" s="54"/>
      <c r="AJ165" s="69"/>
      <c r="AK165" s="76"/>
      <c r="AL165" s="59"/>
      <c r="AM165" s="56"/>
      <c r="AN165" s="56"/>
      <c r="AO165" s="64"/>
      <c r="AP165" s="64"/>
      <c r="AQ165" s="55"/>
      <c r="AR165" s="68"/>
      <c r="AS165" s="54"/>
      <c r="AT165" s="69"/>
      <c r="AU165" s="61"/>
      <c r="AV165" s="62"/>
      <c r="AW165" s="56"/>
      <c r="AX165" s="56"/>
      <c r="AY165" s="64"/>
      <c r="AZ165" s="64"/>
      <c r="BA165" s="55"/>
      <c r="BB165" s="72"/>
      <c r="BC165" s="68"/>
      <c r="BD165" s="69"/>
      <c r="BE165" s="76"/>
      <c r="BF165" s="59"/>
      <c r="BG165" s="56"/>
      <c r="BH165" s="56"/>
      <c r="BI165" s="64"/>
      <c r="BJ165" s="64"/>
      <c r="BK165" s="57"/>
      <c r="BL165" s="73"/>
      <c r="BM165" s="76"/>
      <c r="BN165" s="74"/>
      <c r="BO165" s="75"/>
      <c r="BP165" s="66"/>
      <c r="BQ165" s="74"/>
    </row>
    <row r="166" spans="1:69" s="44" customFormat="1" ht="22.35" customHeight="1" x14ac:dyDescent="0.2">
      <c r="A166" s="100"/>
      <c r="B166" s="100"/>
      <c r="C166" s="100"/>
      <c r="D166" s="54"/>
      <c r="E166" s="55"/>
      <c r="F166" s="56"/>
      <c r="G166" s="56"/>
      <c r="H166" s="57"/>
      <c r="I166" s="58"/>
      <c r="J166" s="58"/>
      <c r="K166" s="55"/>
      <c r="L166" s="59"/>
      <c r="M166" s="59"/>
      <c r="N166" s="59"/>
      <c r="O166" s="54"/>
      <c r="P166" s="60"/>
      <c r="Q166" s="66"/>
      <c r="R166" s="67"/>
      <c r="S166" s="56"/>
      <c r="T166" s="56"/>
      <c r="U166" s="63"/>
      <c r="V166" s="64"/>
      <c r="W166" s="55"/>
      <c r="X166" s="63"/>
      <c r="Y166" s="54"/>
      <c r="Z166" s="65"/>
      <c r="AA166" s="70"/>
      <c r="AB166" s="71"/>
      <c r="AC166" s="56"/>
      <c r="AD166" s="56"/>
      <c r="AE166" s="64"/>
      <c r="AF166" s="64"/>
      <c r="AG166" s="55"/>
      <c r="AH166" s="68"/>
      <c r="AI166" s="54"/>
      <c r="AJ166" s="69"/>
      <c r="AK166" s="70"/>
      <c r="AL166" s="71"/>
      <c r="AM166" s="56"/>
      <c r="AN166" s="56"/>
      <c r="AO166" s="64"/>
      <c r="AP166" s="64"/>
      <c r="AQ166" s="55"/>
      <c r="AR166" s="68"/>
      <c r="AS166" s="54"/>
      <c r="AT166" s="69"/>
      <c r="AU166" s="76"/>
      <c r="AV166" s="59"/>
      <c r="AW166" s="56"/>
      <c r="AX166" s="56"/>
      <c r="AY166" s="64"/>
      <c r="AZ166" s="64"/>
      <c r="BA166" s="55"/>
      <c r="BB166" s="72"/>
      <c r="BC166" s="68"/>
      <c r="BD166" s="69"/>
      <c r="BE166" s="66"/>
      <c r="BF166" s="67"/>
      <c r="BG166" s="56"/>
      <c r="BH166" s="56"/>
      <c r="BI166" s="64"/>
      <c r="BJ166" s="64"/>
      <c r="BK166" s="57"/>
      <c r="BL166" s="73"/>
      <c r="BM166" s="76"/>
      <c r="BN166" s="74"/>
      <c r="BO166" s="75"/>
      <c r="BP166" s="66"/>
      <c r="BQ166" s="74"/>
    </row>
    <row r="167" spans="1:69" s="44" customFormat="1" ht="22.35" customHeight="1" x14ac:dyDescent="0.2">
      <c r="A167" s="100"/>
      <c r="B167" s="100"/>
      <c r="C167" s="100"/>
      <c r="D167" s="54"/>
      <c r="E167" s="55"/>
      <c r="F167" s="56"/>
      <c r="G167" s="56"/>
      <c r="H167" s="57"/>
      <c r="I167" s="58"/>
      <c r="J167" s="58"/>
      <c r="K167" s="55"/>
      <c r="L167" s="59"/>
      <c r="M167" s="59"/>
      <c r="N167" s="59"/>
      <c r="O167" s="54"/>
      <c r="P167" s="60"/>
      <c r="Q167" s="61"/>
      <c r="R167" s="62"/>
      <c r="S167" s="56"/>
      <c r="T167" s="56"/>
      <c r="U167" s="63"/>
      <c r="V167" s="64"/>
      <c r="W167" s="55"/>
      <c r="X167" s="63"/>
      <c r="Y167" s="54"/>
      <c r="Z167" s="65"/>
      <c r="AA167" s="76"/>
      <c r="AB167" s="59"/>
      <c r="AC167" s="56"/>
      <c r="AD167" s="56"/>
      <c r="AE167" s="64"/>
      <c r="AF167" s="64"/>
      <c r="AG167" s="55"/>
      <c r="AH167" s="68"/>
      <c r="AI167" s="54"/>
      <c r="AJ167" s="69"/>
      <c r="AK167" s="66"/>
      <c r="AL167" s="67"/>
      <c r="AM167" s="56"/>
      <c r="AN167" s="56"/>
      <c r="AO167" s="64"/>
      <c r="AP167" s="64"/>
      <c r="AQ167" s="55"/>
      <c r="AR167" s="68"/>
      <c r="AS167" s="54"/>
      <c r="AT167" s="69"/>
      <c r="AU167" s="61"/>
      <c r="AV167" s="62"/>
      <c r="AW167" s="56"/>
      <c r="AX167" s="56"/>
      <c r="AY167" s="64"/>
      <c r="AZ167" s="64"/>
      <c r="BA167" s="55"/>
      <c r="BB167" s="72"/>
      <c r="BC167" s="68"/>
      <c r="BD167" s="69"/>
      <c r="BE167" s="70"/>
      <c r="BF167" s="71"/>
      <c r="BG167" s="56"/>
      <c r="BH167" s="56"/>
      <c r="BI167" s="64"/>
      <c r="BJ167" s="64"/>
      <c r="BK167" s="57"/>
      <c r="BL167" s="73"/>
      <c r="BM167" s="61"/>
      <c r="BN167" s="74"/>
      <c r="BO167" s="75"/>
      <c r="BP167" s="66"/>
      <c r="BQ167" s="74"/>
    </row>
    <row r="168" spans="1:69" s="44" customFormat="1" ht="22.35" customHeight="1" x14ac:dyDescent="0.2">
      <c r="A168" s="100"/>
      <c r="B168" s="100"/>
      <c r="C168" s="100"/>
      <c r="D168" s="54"/>
      <c r="E168" s="55"/>
      <c r="F168" s="56"/>
      <c r="G168" s="56"/>
      <c r="H168" s="57"/>
      <c r="I168" s="58"/>
      <c r="J168" s="58"/>
      <c r="K168" s="55"/>
      <c r="L168" s="59"/>
      <c r="M168" s="59"/>
      <c r="N168" s="59"/>
      <c r="O168" s="54"/>
      <c r="P168" s="60"/>
      <c r="Q168" s="66"/>
      <c r="R168" s="67"/>
      <c r="S168" s="56"/>
      <c r="T168" s="56"/>
      <c r="U168" s="63"/>
      <c r="V168" s="64"/>
      <c r="W168" s="55"/>
      <c r="X168" s="63"/>
      <c r="Y168" s="54"/>
      <c r="Z168" s="65"/>
      <c r="AA168" s="66"/>
      <c r="AB168" s="67"/>
      <c r="AC168" s="56"/>
      <c r="AD168" s="56"/>
      <c r="AE168" s="64"/>
      <c r="AF168" s="64"/>
      <c r="AG168" s="55"/>
      <c r="AH168" s="68"/>
      <c r="AI168" s="54"/>
      <c r="AJ168" s="69"/>
      <c r="AK168" s="76"/>
      <c r="AL168" s="59"/>
      <c r="AM168" s="56"/>
      <c r="AN168" s="56"/>
      <c r="AO168" s="64"/>
      <c r="AP168" s="64"/>
      <c r="AQ168" s="55"/>
      <c r="AR168" s="68"/>
      <c r="AS168" s="54"/>
      <c r="AT168" s="69"/>
      <c r="AU168" s="76"/>
      <c r="AV168" s="59"/>
      <c r="AW168" s="56"/>
      <c r="AX168" s="56"/>
      <c r="AY168" s="64"/>
      <c r="AZ168" s="64"/>
      <c r="BA168" s="55"/>
      <c r="BB168" s="72"/>
      <c r="BC168" s="68"/>
      <c r="BD168" s="69"/>
      <c r="BE168" s="66"/>
      <c r="BF168" s="67"/>
      <c r="BG168" s="56"/>
      <c r="BH168" s="56"/>
      <c r="BI168" s="64"/>
      <c r="BJ168" s="64"/>
      <c r="BK168" s="57"/>
      <c r="BL168" s="73"/>
      <c r="BM168" s="76"/>
      <c r="BN168" s="74"/>
      <c r="BO168" s="75"/>
      <c r="BP168" s="66"/>
      <c r="BQ168" s="74"/>
    </row>
    <row r="169" spans="1:69" s="44" customFormat="1" ht="22.35" customHeight="1" x14ac:dyDescent="0.2">
      <c r="A169" s="100"/>
      <c r="B169" s="100"/>
      <c r="C169" s="100"/>
      <c r="D169" s="54"/>
      <c r="E169" s="55"/>
      <c r="F169" s="56"/>
      <c r="G169" s="56"/>
      <c r="H169" s="57"/>
      <c r="I169" s="58"/>
      <c r="J169" s="58"/>
      <c r="K169" s="55"/>
      <c r="L169" s="59"/>
      <c r="M169" s="59"/>
      <c r="N169" s="59"/>
      <c r="O169" s="54"/>
      <c r="P169" s="60"/>
      <c r="Q169" s="66"/>
      <c r="R169" s="67"/>
      <c r="S169" s="56"/>
      <c r="T169" s="56"/>
      <c r="U169" s="63"/>
      <c r="V169" s="64"/>
      <c r="W169" s="55"/>
      <c r="X169" s="63"/>
      <c r="Y169" s="54"/>
      <c r="Z169" s="65"/>
      <c r="AA169" s="70"/>
      <c r="AB169" s="71"/>
      <c r="AC169" s="56"/>
      <c r="AD169" s="56"/>
      <c r="AE169" s="64"/>
      <c r="AF169" s="64"/>
      <c r="AG169" s="55"/>
      <c r="AH169" s="68"/>
      <c r="AI169" s="54"/>
      <c r="AJ169" s="69"/>
      <c r="AK169" s="76"/>
      <c r="AL169" s="59"/>
      <c r="AM169" s="56"/>
      <c r="AN169" s="56"/>
      <c r="AO169" s="64"/>
      <c r="AP169" s="64"/>
      <c r="AQ169" s="55"/>
      <c r="AR169" s="68"/>
      <c r="AS169" s="54"/>
      <c r="AT169" s="69"/>
      <c r="AU169" s="66"/>
      <c r="AV169" s="67"/>
      <c r="AW169" s="56"/>
      <c r="AX169" s="56"/>
      <c r="AY169" s="64"/>
      <c r="AZ169" s="64"/>
      <c r="BA169" s="55"/>
      <c r="BB169" s="72"/>
      <c r="BC169" s="68"/>
      <c r="BD169" s="69"/>
      <c r="BE169" s="66"/>
      <c r="BF169" s="67"/>
      <c r="BG169" s="56"/>
      <c r="BH169" s="56"/>
      <c r="BI169" s="64"/>
      <c r="BJ169" s="64"/>
      <c r="BK169" s="57"/>
      <c r="BL169" s="73"/>
      <c r="BM169" s="76"/>
      <c r="BN169" s="74"/>
      <c r="BO169" s="75"/>
      <c r="BP169" s="66"/>
      <c r="BQ169" s="74"/>
    </row>
    <row r="170" spans="1:69" s="44" customFormat="1" ht="22.35" customHeight="1" x14ac:dyDescent="0.2">
      <c r="A170" s="100"/>
      <c r="B170" s="100"/>
      <c r="C170" s="100"/>
      <c r="D170" s="54"/>
      <c r="E170" s="55"/>
      <c r="F170" s="56"/>
      <c r="G170" s="56"/>
      <c r="H170" s="57"/>
      <c r="I170" s="58"/>
      <c r="J170" s="58"/>
      <c r="K170" s="55"/>
      <c r="L170" s="59"/>
      <c r="M170" s="59"/>
      <c r="N170" s="59"/>
      <c r="O170" s="54"/>
      <c r="P170" s="60"/>
      <c r="Q170" s="66"/>
      <c r="R170" s="67"/>
      <c r="S170" s="56"/>
      <c r="T170" s="56"/>
      <c r="U170" s="63"/>
      <c r="V170" s="64"/>
      <c r="W170" s="55"/>
      <c r="X170" s="63"/>
      <c r="Y170" s="54"/>
      <c r="Z170" s="65"/>
      <c r="AA170" s="61"/>
      <c r="AB170" s="62"/>
      <c r="AC170" s="56"/>
      <c r="AD170" s="56"/>
      <c r="AE170" s="64"/>
      <c r="AF170" s="64"/>
      <c r="AG170" s="55"/>
      <c r="AH170" s="68"/>
      <c r="AI170" s="54"/>
      <c r="AJ170" s="69"/>
      <c r="AK170" s="66"/>
      <c r="AL170" s="67"/>
      <c r="AM170" s="56"/>
      <c r="AN170" s="56"/>
      <c r="AO170" s="64"/>
      <c r="AP170" s="64"/>
      <c r="AQ170" s="55"/>
      <c r="AR170" s="68"/>
      <c r="AS170" s="54"/>
      <c r="AT170" s="69"/>
      <c r="AU170" s="66"/>
      <c r="AV170" s="67"/>
      <c r="AW170" s="56"/>
      <c r="AX170" s="56"/>
      <c r="AY170" s="64"/>
      <c r="AZ170" s="64"/>
      <c r="BA170" s="55"/>
      <c r="BB170" s="72"/>
      <c r="BC170" s="68"/>
      <c r="BD170" s="69"/>
      <c r="BE170" s="66"/>
      <c r="BF170" s="67"/>
      <c r="BG170" s="56"/>
      <c r="BH170" s="56"/>
      <c r="BI170" s="64"/>
      <c r="BJ170" s="64"/>
      <c r="BK170" s="57"/>
      <c r="BL170" s="73"/>
      <c r="BM170" s="76"/>
      <c r="BN170" s="74"/>
      <c r="BO170" s="75"/>
      <c r="BP170" s="66"/>
      <c r="BQ170" s="74"/>
    </row>
    <row r="171" spans="1:69" s="44" customFormat="1" ht="22.35" customHeight="1" x14ac:dyDescent="0.2">
      <c r="A171" s="100"/>
      <c r="B171" s="100"/>
      <c r="C171" s="100"/>
      <c r="D171" s="54"/>
      <c r="E171" s="55"/>
      <c r="F171" s="56"/>
      <c r="G171" s="56"/>
      <c r="H171" s="57"/>
      <c r="I171" s="58"/>
      <c r="J171" s="58"/>
      <c r="K171" s="55"/>
      <c r="L171" s="59"/>
      <c r="M171" s="59"/>
      <c r="N171" s="59"/>
      <c r="O171" s="54"/>
      <c r="P171" s="60"/>
      <c r="Q171" s="66"/>
      <c r="R171" s="67"/>
      <c r="S171" s="56"/>
      <c r="T171" s="56"/>
      <c r="U171" s="63"/>
      <c r="V171" s="64"/>
      <c r="W171" s="55"/>
      <c r="X171" s="63"/>
      <c r="Y171" s="54"/>
      <c r="Z171" s="65"/>
      <c r="AA171" s="76"/>
      <c r="AB171" s="59"/>
      <c r="AC171" s="56"/>
      <c r="AD171" s="56"/>
      <c r="AE171" s="64"/>
      <c r="AF171" s="64"/>
      <c r="AG171" s="55"/>
      <c r="AH171" s="68"/>
      <c r="AI171" s="54"/>
      <c r="AJ171" s="69"/>
      <c r="AK171" s="61"/>
      <c r="AL171" s="62"/>
      <c r="AM171" s="56"/>
      <c r="AN171" s="56"/>
      <c r="AO171" s="64"/>
      <c r="AP171" s="64"/>
      <c r="AQ171" s="55"/>
      <c r="AR171" s="68"/>
      <c r="AS171" s="54"/>
      <c r="AT171" s="69"/>
      <c r="AU171" s="61"/>
      <c r="AV171" s="62"/>
      <c r="AW171" s="56"/>
      <c r="AX171" s="56"/>
      <c r="AY171" s="64"/>
      <c r="AZ171" s="64"/>
      <c r="BA171" s="55"/>
      <c r="BB171" s="72"/>
      <c r="BC171" s="68"/>
      <c r="BD171" s="69"/>
      <c r="BE171" s="70"/>
      <c r="BF171" s="71"/>
      <c r="BG171" s="56"/>
      <c r="BH171" s="56"/>
      <c r="BI171" s="64"/>
      <c r="BJ171" s="64"/>
      <c r="BK171" s="57"/>
      <c r="BL171" s="73"/>
      <c r="BM171" s="76"/>
      <c r="BN171" s="74"/>
      <c r="BO171" s="75"/>
      <c r="BP171" s="66"/>
      <c r="BQ171" s="74"/>
    </row>
    <row r="172" spans="1:69" s="44" customFormat="1" ht="22.35" customHeight="1" x14ac:dyDescent="0.2">
      <c r="A172" s="100"/>
      <c r="B172" s="100"/>
      <c r="C172" s="100"/>
      <c r="D172" s="54"/>
      <c r="E172" s="55"/>
      <c r="F172" s="56"/>
      <c r="G172" s="56"/>
      <c r="H172" s="57"/>
      <c r="I172" s="58"/>
      <c r="J172" s="58"/>
      <c r="K172" s="55"/>
      <c r="L172" s="59"/>
      <c r="M172" s="59"/>
      <c r="N172" s="59"/>
      <c r="O172" s="54"/>
      <c r="P172" s="60"/>
      <c r="Q172" s="66"/>
      <c r="R172" s="67"/>
      <c r="S172" s="56"/>
      <c r="T172" s="56"/>
      <c r="U172" s="63"/>
      <c r="V172" s="64"/>
      <c r="W172" s="55"/>
      <c r="X172" s="63"/>
      <c r="Y172" s="54"/>
      <c r="Z172" s="65"/>
      <c r="AA172" s="76"/>
      <c r="AB172" s="59"/>
      <c r="AC172" s="56"/>
      <c r="AD172" s="56"/>
      <c r="AE172" s="64"/>
      <c r="AF172" s="64"/>
      <c r="AG172" s="55"/>
      <c r="AH172" s="68"/>
      <c r="AI172" s="54"/>
      <c r="AJ172" s="69"/>
      <c r="AK172" s="76"/>
      <c r="AL172" s="59"/>
      <c r="AM172" s="56"/>
      <c r="AN172" s="56"/>
      <c r="AO172" s="64"/>
      <c r="AP172" s="64"/>
      <c r="AQ172" s="55"/>
      <c r="AR172" s="68"/>
      <c r="AS172" s="54"/>
      <c r="AT172" s="69"/>
      <c r="AU172" s="66"/>
      <c r="AV172" s="67"/>
      <c r="AW172" s="56"/>
      <c r="AX172" s="56"/>
      <c r="AY172" s="64"/>
      <c r="AZ172" s="64"/>
      <c r="BA172" s="55"/>
      <c r="BB172" s="72"/>
      <c r="BC172" s="68"/>
      <c r="BD172" s="69"/>
      <c r="BE172" s="66"/>
      <c r="BF172" s="67"/>
      <c r="BG172" s="56"/>
      <c r="BH172" s="56"/>
      <c r="BI172" s="64"/>
      <c r="BJ172" s="64"/>
      <c r="BK172" s="57"/>
      <c r="BL172" s="73"/>
      <c r="BM172" s="76"/>
      <c r="BN172" s="74"/>
      <c r="BO172" s="75"/>
      <c r="BP172" s="66"/>
      <c r="BQ172" s="74"/>
    </row>
    <row r="173" spans="1:69" s="44" customFormat="1" ht="22.35" customHeight="1" x14ac:dyDescent="0.2">
      <c r="A173" s="100"/>
      <c r="B173" s="100"/>
      <c r="C173" s="100"/>
      <c r="D173" s="54"/>
      <c r="E173" s="55"/>
      <c r="F173" s="56"/>
      <c r="G173" s="56"/>
      <c r="H173" s="57"/>
      <c r="I173" s="58"/>
      <c r="J173" s="58"/>
      <c r="K173" s="55"/>
      <c r="L173" s="59"/>
      <c r="M173" s="59"/>
      <c r="N173" s="59"/>
      <c r="O173" s="54"/>
      <c r="P173" s="60"/>
      <c r="Q173" s="66"/>
      <c r="R173" s="67"/>
      <c r="S173" s="56"/>
      <c r="T173" s="56"/>
      <c r="U173" s="63"/>
      <c r="V173" s="64"/>
      <c r="W173" s="55"/>
      <c r="X173" s="63"/>
      <c r="Y173" s="54"/>
      <c r="Z173" s="65"/>
      <c r="AA173" s="61"/>
      <c r="AB173" s="62"/>
      <c r="AC173" s="56"/>
      <c r="AD173" s="56"/>
      <c r="AE173" s="64"/>
      <c r="AF173" s="64"/>
      <c r="AG173" s="55"/>
      <c r="AH173" s="68"/>
      <c r="AI173" s="54"/>
      <c r="AJ173" s="69"/>
      <c r="AK173" s="61"/>
      <c r="AL173" s="62"/>
      <c r="AM173" s="56"/>
      <c r="AN173" s="56"/>
      <c r="AO173" s="64"/>
      <c r="AP173" s="64"/>
      <c r="AQ173" s="55"/>
      <c r="AR173" s="68"/>
      <c r="AS173" s="54"/>
      <c r="AT173" s="69"/>
      <c r="AU173" s="76"/>
      <c r="AV173" s="59"/>
      <c r="AW173" s="56"/>
      <c r="AX173" s="56"/>
      <c r="AY173" s="64"/>
      <c r="AZ173" s="64"/>
      <c r="BA173" s="55"/>
      <c r="BB173" s="72"/>
      <c r="BC173" s="68"/>
      <c r="BD173" s="69"/>
      <c r="BE173" s="76"/>
      <c r="BF173" s="59"/>
      <c r="BG173" s="56"/>
      <c r="BH173" s="56"/>
      <c r="BI173" s="64"/>
      <c r="BJ173" s="64"/>
      <c r="BK173" s="57"/>
      <c r="BL173" s="73"/>
      <c r="BM173" s="76"/>
      <c r="BN173" s="74"/>
      <c r="BO173" s="75"/>
      <c r="BP173" s="66"/>
      <c r="BQ173" s="74"/>
    </row>
    <row r="174" spans="1:69" s="44" customFormat="1" ht="22.35" customHeight="1" x14ac:dyDescent="0.2">
      <c r="A174" s="100"/>
      <c r="B174" s="100"/>
      <c r="C174" s="100"/>
      <c r="D174" s="54"/>
      <c r="E174" s="55"/>
      <c r="F174" s="56"/>
      <c r="G174" s="56"/>
      <c r="H174" s="57"/>
      <c r="I174" s="58"/>
      <c r="J174" s="58"/>
      <c r="K174" s="55"/>
      <c r="L174" s="59"/>
      <c r="M174" s="59"/>
      <c r="N174" s="59"/>
      <c r="O174" s="54"/>
      <c r="P174" s="60"/>
      <c r="Q174" s="66"/>
      <c r="R174" s="67"/>
      <c r="S174" s="56"/>
      <c r="T174" s="56"/>
      <c r="U174" s="63"/>
      <c r="V174" s="64"/>
      <c r="W174" s="55"/>
      <c r="X174" s="63"/>
      <c r="Y174" s="54"/>
      <c r="Z174" s="65"/>
      <c r="AA174" s="61"/>
      <c r="AB174" s="62"/>
      <c r="AC174" s="56"/>
      <c r="AD174" s="56"/>
      <c r="AE174" s="64"/>
      <c r="AF174" s="64"/>
      <c r="AG174" s="55"/>
      <c r="AH174" s="68"/>
      <c r="AI174" s="54"/>
      <c r="AJ174" s="69"/>
      <c r="AK174" s="61"/>
      <c r="AL174" s="62"/>
      <c r="AM174" s="56"/>
      <c r="AN174" s="56"/>
      <c r="AO174" s="64"/>
      <c r="AP174" s="64"/>
      <c r="AQ174" s="55"/>
      <c r="AR174" s="68"/>
      <c r="AS174" s="54"/>
      <c r="AT174" s="69"/>
      <c r="AU174" s="61"/>
      <c r="AV174" s="62"/>
      <c r="AW174" s="56"/>
      <c r="AX174" s="56"/>
      <c r="AY174" s="64"/>
      <c r="AZ174" s="64"/>
      <c r="BA174" s="55"/>
      <c r="BB174" s="72"/>
      <c r="BC174" s="68"/>
      <c r="BD174" s="69"/>
      <c r="BE174" s="66"/>
      <c r="BF174" s="67"/>
      <c r="BG174" s="56"/>
      <c r="BH174" s="56"/>
      <c r="BI174" s="64"/>
      <c r="BJ174" s="64"/>
      <c r="BK174" s="57"/>
      <c r="BL174" s="73"/>
      <c r="BM174" s="76"/>
      <c r="BN174" s="74"/>
      <c r="BO174" s="75"/>
      <c r="BP174" s="66"/>
      <c r="BQ174" s="74"/>
    </row>
    <row r="175" spans="1:69" s="44" customFormat="1" ht="22.35" customHeight="1" x14ac:dyDescent="0.2">
      <c r="A175" s="100"/>
      <c r="B175" s="100"/>
      <c r="C175" s="100"/>
      <c r="D175" s="54"/>
      <c r="E175" s="55"/>
      <c r="F175" s="56"/>
      <c r="G175" s="56"/>
      <c r="H175" s="57"/>
      <c r="I175" s="58"/>
      <c r="J175" s="58"/>
      <c r="K175" s="55"/>
      <c r="L175" s="59"/>
      <c r="M175" s="59"/>
      <c r="N175" s="59"/>
      <c r="O175" s="54"/>
      <c r="P175" s="60"/>
      <c r="Q175" s="66"/>
      <c r="R175" s="67"/>
      <c r="S175" s="56"/>
      <c r="T175" s="56"/>
      <c r="U175" s="63"/>
      <c r="V175" s="64"/>
      <c r="W175" s="55"/>
      <c r="X175" s="63"/>
      <c r="Y175" s="54"/>
      <c r="Z175" s="65"/>
      <c r="AA175" s="66"/>
      <c r="AB175" s="67"/>
      <c r="AC175" s="56"/>
      <c r="AD175" s="56"/>
      <c r="AE175" s="64"/>
      <c r="AF175" s="64"/>
      <c r="AG175" s="55"/>
      <c r="AH175" s="68"/>
      <c r="AI175" s="54"/>
      <c r="AJ175" s="69"/>
      <c r="AK175" s="70"/>
      <c r="AL175" s="71"/>
      <c r="AM175" s="56"/>
      <c r="AN175" s="56"/>
      <c r="AO175" s="64"/>
      <c r="AP175" s="64"/>
      <c r="AQ175" s="55"/>
      <c r="AR175" s="68"/>
      <c r="AS175" s="54"/>
      <c r="AT175" s="69"/>
      <c r="AU175" s="70"/>
      <c r="AV175" s="71"/>
      <c r="AW175" s="56"/>
      <c r="AX175" s="56"/>
      <c r="AY175" s="64"/>
      <c r="AZ175" s="64"/>
      <c r="BA175" s="55"/>
      <c r="BB175" s="72"/>
      <c r="BC175" s="68"/>
      <c r="BD175" s="69"/>
      <c r="BE175" s="66"/>
      <c r="BF175" s="67"/>
      <c r="BG175" s="56"/>
      <c r="BH175" s="56"/>
      <c r="BI175" s="64"/>
      <c r="BJ175" s="64"/>
      <c r="BK175" s="57"/>
      <c r="BL175" s="73"/>
      <c r="BM175" s="76"/>
      <c r="BN175" s="74"/>
      <c r="BO175" s="75"/>
      <c r="BP175" s="66"/>
      <c r="BQ175" s="74"/>
    </row>
    <row r="176" spans="1:69" s="44" customFormat="1" ht="22.35" customHeight="1" x14ac:dyDescent="0.2">
      <c r="A176" s="100"/>
      <c r="B176" s="100"/>
      <c r="C176" s="100"/>
      <c r="D176" s="54"/>
      <c r="E176" s="55"/>
      <c r="F176" s="56"/>
      <c r="G176" s="56"/>
      <c r="H176" s="57"/>
      <c r="I176" s="58"/>
      <c r="J176" s="58"/>
      <c r="K176" s="55"/>
      <c r="L176" s="59"/>
      <c r="M176" s="59"/>
      <c r="N176" s="59"/>
      <c r="O176" s="54"/>
      <c r="P176" s="60"/>
      <c r="Q176" s="66"/>
      <c r="R176" s="67"/>
      <c r="S176" s="56"/>
      <c r="T176" s="56"/>
      <c r="U176" s="63"/>
      <c r="V176" s="64"/>
      <c r="W176" s="55"/>
      <c r="X176" s="63"/>
      <c r="Y176" s="54"/>
      <c r="Z176" s="65"/>
      <c r="AA176" s="76"/>
      <c r="AB176" s="59"/>
      <c r="AC176" s="56"/>
      <c r="AD176" s="56"/>
      <c r="AE176" s="64"/>
      <c r="AF176" s="64"/>
      <c r="AG176" s="55"/>
      <c r="AH176" s="68"/>
      <c r="AI176" s="54"/>
      <c r="AJ176" s="69"/>
      <c r="AK176" s="76"/>
      <c r="AL176" s="59"/>
      <c r="AM176" s="56"/>
      <c r="AN176" s="56"/>
      <c r="AO176" s="64"/>
      <c r="AP176" s="64"/>
      <c r="AQ176" s="55"/>
      <c r="AR176" s="68"/>
      <c r="AS176" s="54"/>
      <c r="AT176" s="69"/>
      <c r="AU176" s="70"/>
      <c r="AV176" s="71"/>
      <c r="AW176" s="56"/>
      <c r="AX176" s="56"/>
      <c r="AY176" s="64"/>
      <c r="AZ176" s="64"/>
      <c r="BA176" s="55"/>
      <c r="BB176" s="72"/>
      <c r="BC176" s="68"/>
      <c r="BD176" s="69"/>
      <c r="BE176" s="66"/>
      <c r="BF176" s="67"/>
      <c r="BG176" s="56"/>
      <c r="BH176" s="56"/>
      <c r="BI176" s="64"/>
      <c r="BJ176" s="64"/>
      <c r="BK176" s="57"/>
      <c r="BL176" s="73"/>
      <c r="BM176" s="76"/>
      <c r="BN176" s="74"/>
      <c r="BO176" s="75"/>
      <c r="BP176" s="66"/>
      <c r="BQ176" s="74"/>
    </row>
    <row r="177" spans="1:69" s="44" customFormat="1" ht="22.35" customHeight="1" x14ac:dyDescent="0.2">
      <c r="A177" s="100"/>
      <c r="B177" s="100"/>
      <c r="C177" s="100"/>
      <c r="D177" s="54"/>
      <c r="E177" s="55"/>
      <c r="F177" s="56"/>
      <c r="G177" s="56"/>
      <c r="H177" s="57"/>
      <c r="I177" s="58"/>
      <c r="J177" s="58"/>
      <c r="K177" s="55"/>
      <c r="L177" s="59"/>
      <c r="M177" s="59"/>
      <c r="N177" s="59"/>
      <c r="O177" s="54"/>
      <c r="P177" s="60"/>
      <c r="Q177" s="66"/>
      <c r="R177" s="67"/>
      <c r="S177" s="56"/>
      <c r="T177" s="56"/>
      <c r="U177" s="63"/>
      <c r="V177" s="64"/>
      <c r="W177" s="55"/>
      <c r="X177" s="63"/>
      <c r="Y177" s="54"/>
      <c r="Z177" s="65"/>
      <c r="AA177" s="70"/>
      <c r="AB177" s="71"/>
      <c r="AC177" s="56"/>
      <c r="AD177" s="56"/>
      <c r="AE177" s="64"/>
      <c r="AF177" s="64"/>
      <c r="AG177" s="55"/>
      <c r="AH177" s="68"/>
      <c r="AI177" s="54"/>
      <c r="AJ177" s="69"/>
      <c r="AK177" s="61"/>
      <c r="AL177" s="62"/>
      <c r="AM177" s="56"/>
      <c r="AN177" s="56"/>
      <c r="AO177" s="64"/>
      <c r="AP177" s="64"/>
      <c r="AQ177" s="55"/>
      <c r="AR177" s="68"/>
      <c r="AS177" s="54"/>
      <c r="AT177" s="69"/>
      <c r="AU177" s="61"/>
      <c r="AV177" s="62"/>
      <c r="AW177" s="56"/>
      <c r="AX177" s="56"/>
      <c r="AY177" s="64"/>
      <c r="AZ177" s="64"/>
      <c r="BA177" s="55"/>
      <c r="BB177" s="72"/>
      <c r="BC177" s="68"/>
      <c r="BD177" s="69"/>
      <c r="BE177" s="76"/>
      <c r="BF177" s="59"/>
      <c r="BG177" s="56"/>
      <c r="BH177" s="56"/>
      <c r="BI177" s="64"/>
      <c r="BJ177" s="64"/>
      <c r="BK177" s="57"/>
      <c r="BL177" s="73"/>
      <c r="BM177" s="76"/>
      <c r="BN177" s="74"/>
      <c r="BO177" s="75"/>
      <c r="BP177" s="66"/>
      <c r="BQ177" s="74"/>
    </row>
    <row r="178" spans="1:69" s="44" customFormat="1" ht="22.35" customHeight="1" x14ac:dyDescent="0.2">
      <c r="A178" s="100"/>
      <c r="B178" s="100"/>
      <c r="C178" s="100"/>
      <c r="D178" s="54"/>
      <c r="E178" s="55"/>
      <c r="F178" s="56"/>
      <c r="G178" s="56"/>
      <c r="H178" s="57"/>
      <c r="I178" s="58"/>
      <c r="J178" s="58"/>
      <c r="K178" s="55"/>
      <c r="L178" s="59"/>
      <c r="M178" s="59"/>
      <c r="N178" s="59"/>
      <c r="O178" s="54"/>
      <c r="P178" s="60"/>
      <c r="Q178" s="66"/>
      <c r="R178" s="67"/>
      <c r="S178" s="56"/>
      <c r="T178" s="56"/>
      <c r="U178" s="63"/>
      <c r="V178" s="64"/>
      <c r="W178" s="55"/>
      <c r="X178" s="63"/>
      <c r="Y178" s="54"/>
      <c r="Z178" s="65"/>
      <c r="AA178" s="76"/>
      <c r="AB178" s="59"/>
      <c r="AC178" s="56"/>
      <c r="AD178" s="56"/>
      <c r="AE178" s="64"/>
      <c r="AF178" s="64"/>
      <c r="AG178" s="55"/>
      <c r="AH178" s="68"/>
      <c r="AI178" s="54"/>
      <c r="AJ178" s="69"/>
      <c r="AK178" s="66"/>
      <c r="AL178" s="67"/>
      <c r="AM178" s="56"/>
      <c r="AN178" s="56"/>
      <c r="AO178" s="64"/>
      <c r="AP178" s="64"/>
      <c r="AQ178" s="55"/>
      <c r="AR178" s="68"/>
      <c r="AS178" s="54"/>
      <c r="AT178" s="69"/>
      <c r="AU178" s="70"/>
      <c r="AV178" s="71"/>
      <c r="AW178" s="56"/>
      <c r="AX178" s="56"/>
      <c r="AY178" s="64"/>
      <c r="AZ178" s="64"/>
      <c r="BA178" s="55"/>
      <c r="BB178" s="72"/>
      <c r="BC178" s="68"/>
      <c r="BD178" s="69"/>
      <c r="BE178" s="66"/>
      <c r="BF178" s="67"/>
      <c r="BG178" s="56"/>
      <c r="BH178" s="56"/>
      <c r="BI178" s="64"/>
      <c r="BJ178" s="64"/>
      <c r="BK178" s="57"/>
      <c r="BL178" s="73"/>
      <c r="BM178" s="76"/>
      <c r="BN178" s="74"/>
      <c r="BO178" s="75"/>
      <c r="BP178" s="66"/>
      <c r="BQ178" s="74"/>
    </row>
    <row r="179" spans="1:69" s="44" customFormat="1" ht="22.35" customHeight="1" x14ac:dyDescent="0.2">
      <c r="A179" s="100"/>
      <c r="B179" s="100"/>
      <c r="C179" s="100"/>
      <c r="D179" s="54"/>
      <c r="E179" s="55"/>
      <c r="F179" s="56"/>
      <c r="G179" s="56"/>
      <c r="H179" s="57"/>
      <c r="I179" s="58"/>
      <c r="J179" s="58"/>
      <c r="K179" s="55"/>
      <c r="L179" s="59"/>
      <c r="M179" s="59"/>
      <c r="N179" s="59"/>
      <c r="O179" s="54"/>
      <c r="P179" s="60"/>
      <c r="Q179" s="66"/>
      <c r="R179" s="67"/>
      <c r="S179" s="56"/>
      <c r="T179" s="56"/>
      <c r="U179" s="63"/>
      <c r="V179" s="64"/>
      <c r="W179" s="55"/>
      <c r="X179" s="63"/>
      <c r="Y179" s="54"/>
      <c r="Z179" s="65"/>
      <c r="AA179" s="70"/>
      <c r="AB179" s="71"/>
      <c r="AC179" s="56"/>
      <c r="AD179" s="56"/>
      <c r="AE179" s="64"/>
      <c r="AF179" s="64"/>
      <c r="AG179" s="55"/>
      <c r="AH179" s="68"/>
      <c r="AI179" s="54"/>
      <c r="AJ179" s="69"/>
      <c r="AK179" s="76"/>
      <c r="AL179" s="59"/>
      <c r="AM179" s="56"/>
      <c r="AN179" s="56"/>
      <c r="AO179" s="64"/>
      <c r="AP179" s="64"/>
      <c r="AQ179" s="55"/>
      <c r="AR179" s="68"/>
      <c r="AS179" s="54"/>
      <c r="AT179" s="69"/>
      <c r="AU179" s="61"/>
      <c r="AV179" s="62"/>
      <c r="AW179" s="56"/>
      <c r="AX179" s="56"/>
      <c r="AY179" s="64"/>
      <c r="AZ179" s="64"/>
      <c r="BA179" s="55"/>
      <c r="BB179" s="72"/>
      <c r="BC179" s="68"/>
      <c r="BD179" s="69"/>
      <c r="BE179" s="76"/>
      <c r="BF179" s="59"/>
      <c r="BG179" s="56"/>
      <c r="BH179" s="56"/>
      <c r="BI179" s="64"/>
      <c r="BJ179" s="64"/>
      <c r="BK179" s="57"/>
      <c r="BL179" s="73"/>
      <c r="BM179" s="61"/>
      <c r="BN179" s="74"/>
      <c r="BO179" s="75"/>
      <c r="BP179" s="66"/>
      <c r="BQ179" s="74"/>
    </row>
    <row r="180" spans="1:69" s="44" customFormat="1" ht="22.35" customHeight="1" x14ac:dyDescent="0.2">
      <c r="A180" s="100"/>
      <c r="B180" s="100"/>
      <c r="C180" s="100"/>
      <c r="D180" s="54"/>
      <c r="E180" s="55"/>
      <c r="F180" s="56"/>
      <c r="G180" s="56"/>
      <c r="H180" s="57"/>
      <c r="I180" s="58"/>
      <c r="J180" s="58"/>
      <c r="K180" s="55"/>
      <c r="L180" s="59"/>
      <c r="M180" s="59"/>
      <c r="N180" s="59"/>
      <c r="O180" s="54"/>
      <c r="P180" s="60"/>
      <c r="Q180" s="66"/>
      <c r="R180" s="67"/>
      <c r="S180" s="56"/>
      <c r="T180" s="56"/>
      <c r="U180" s="63"/>
      <c r="V180" s="64"/>
      <c r="W180" s="55"/>
      <c r="X180" s="63"/>
      <c r="Y180" s="54"/>
      <c r="Z180" s="65"/>
      <c r="AA180" s="61"/>
      <c r="AB180" s="62"/>
      <c r="AC180" s="56"/>
      <c r="AD180" s="56"/>
      <c r="AE180" s="64"/>
      <c r="AF180" s="64"/>
      <c r="AG180" s="55"/>
      <c r="AH180" s="68"/>
      <c r="AI180" s="54"/>
      <c r="AJ180" s="69"/>
      <c r="AK180" s="76"/>
      <c r="AL180" s="59"/>
      <c r="AM180" s="56"/>
      <c r="AN180" s="56"/>
      <c r="AO180" s="64"/>
      <c r="AP180" s="64"/>
      <c r="AQ180" s="55"/>
      <c r="AR180" s="68"/>
      <c r="AS180" s="54"/>
      <c r="AT180" s="69"/>
      <c r="AU180" s="61"/>
      <c r="AV180" s="62"/>
      <c r="AW180" s="56"/>
      <c r="AX180" s="56"/>
      <c r="AY180" s="64"/>
      <c r="AZ180" s="64"/>
      <c r="BA180" s="55"/>
      <c r="BB180" s="72"/>
      <c r="BC180" s="68"/>
      <c r="BD180" s="69"/>
      <c r="BE180" s="61"/>
      <c r="BF180" s="62"/>
      <c r="BG180" s="56"/>
      <c r="BH180" s="56"/>
      <c r="BI180" s="64"/>
      <c r="BJ180" s="64"/>
      <c r="BK180" s="57"/>
      <c r="BL180" s="73"/>
      <c r="BM180" s="70"/>
      <c r="BN180" s="74"/>
      <c r="BO180" s="75"/>
      <c r="BP180" s="66"/>
      <c r="BQ180" s="74"/>
    </row>
    <row r="181" spans="1:69" s="44" customFormat="1" ht="22.35" customHeight="1" x14ac:dyDescent="0.2">
      <c r="A181" s="100"/>
      <c r="B181" s="100"/>
      <c r="C181" s="100"/>
      <c r="D181" s="54"/>
      <c r="E181" s="55"/>
      <c r="F181" s="56"/>
      <c r="G181" s="56"/>
      <c r="H181" s="57"/>
      <c r="I181" s="58"/>
      <c r="J181" s="58"/>
      <c r="K181" s="55"/>
      <c r="L181" s="59"/>
      <c r="M181" s="59"/>
      <c r="N181" s="59"/>
      <c r="O181" s="54"/>
      <c r="P181" s="60"/>
      <c r="Q181" s="66"/>
      <c r="R181" s="67"/>
      <c r="S181" s="56"/>
      <c r="T181" s="56"/>
      <c r="U181" s="63"/>
      <c r="V181" s="64"/>
      <c r="W181" s="55"/>
      <c r="X181" s="63"/>
      <c r="Y181" s="54"/>
      <c r="Z181" s="65"/>
      <c r="AA181" s="66"/>
      <c r="AB181" s="67"/>
      <c r="AC181" s="56"/>
      <c r="AD181" s="56"/>
      <c r="AE181" s="64"/>
      <c r="AF181" s="64"/>
      <c r="AG181" s="55"/>
      <c r="AH181" s="68"/>
      <c r="AI181" s="54"/>
      <c r="AJ181" s="69"/>
      <c r="AK181" s="66"/>
      <c r="AL181" s="67"/>
      <c r="AM181" s="56"/>
      <c r="AN181" s="56"/>
      <c r="AO181" s="64"/>
      <c r="AP181" s="64"/>
      <c r="AQ181" s="55"/>
      <c r="AR181" s="68"/>
      <c r="AS181" s="54"/>
      <c r="AT181" s="69"/>
      <c r="AU181" s="61"/>
      <c r="AV181" s="62"/>
      <c r="AW181" s="56"/>
      <c r="AX181" s="56"/>
      <c r="AY181" s="64"/>
      <c r="AZ181" s="64"/>
      <c r="BA181" s="55"/>
      <c r="BB181" s="72"/>
      <c r="BC181" s="68"/>
      <c r="BD181" s="69"/>
      <c r="BE181" s="66"/>
      <c r="BF181" s="67"/>
      <c r="BG181" s="56"/>
      <c r="BH181" s="56"/>
      <c r="BI181" s="64"/>
      <c r="BJ181" s="64"/>
      <c r="BK181" s="57"/>
      <c r="BL181" s="73"/>
      <c r="BM181" s="76"/>
      <c r="BN181" s="74"/>
      <c r="BO181" s="75"/>
      <c r="BP181" s="66"/>
      <c r="BQ181" s="74"/>
    </row>
    <row r="182" spans="1:69" s="44" customFormat="1" ht="22.35" customHeight="1" x14ac:dyDescent="0.2">
      <c r="A182" s="100"/>
      <c r="B182" s="100"/>
      <c r="C182" s="100"/>
      <c r="D182" s="54"/>
      <c r="E182" s="55"/>
      <c r="F182" s="56"/>
      <c r="G182" s="56"/>
      <c r="H182" s="57"/>
      <c r="I182" s="58"/>
      <c r="J182" s="58"/>
      <c r="K182" s="55"/>
      <c r="L182" s="59"/>
      <c r="M182" s="59"/>
      <c r="N182" s="59"/>
      <c r="O182" s="54"/>
      <c r="P182" s="60"/>
      <c r="Q182" s="66"/>
      <c r="R182" s="67"/>
      <c r="S182" s="56"/>
      <c r="T182" s="56"/>
      <c r="U182" s="63"/>
      <c r="V182" s="64"/>
      <c r="W182" s="55"/>
      <c r="X182" s="63"/>
      <c r="Y182" s="54"/>
      <c r="Z182" s="65"/>
      <c r="AA182" s="76"/>
      <c r="AB182" s="59"/>
      <c r="AC182" s="56"/>
      <c r="AD182" s="56"/>
      <c r="AE182" s="64"/>
      <c r="AF182" s="64"/>
      <c r="AG182" s="55"/>
      <c r="AH182" s="68"/>
      <c r="AI182" s="54"/>
      <c r="AJ182" s="69"/>
      <c r="AK182" s="76"/>
      <c r="AL182" s="59"/>
      <c r="AM182" s="56"/>
      <c r="AN182" s="56"/>
      <c r="AO182" s="64"/>
      <c r="AP182" s="64"/>
      <c r="AQ182" s="55"/>
      <c r="AR182" s="68"/>
      <c r="AS182" s="54"/>
      <c r="AT182" s="69"/>
      <c r="AU182" s="61"/>
      <c r="AV182" s="62"/>
      <c r="AW182" s="56"/>
      <c r="AX182" s="56"/>
      <c r="AY182" s="64"/>
      <c r="AZ182" s="64"/>
      <c r="BA182" s="55"/>
      <c r="BB182" s="72"/>
      <c r="BC182" s="68"/>
      <c r="BD182" s="69"/>
      <c r="BE182" s="70"/>
      <c r="BF182" s="71"/>
      <c r="BG182" s="56"/>
      <c r="BH182" s="56"/>
      <c r="BI182" s="64"/>
      <c r="BJ182" s="64"/>
      <c r="BK182" s="57"/>
      <c r="BL182" s="73"/>
      <c r="BM182" s="76"/>
      <c r="BN182" s="74"/>
      <c r="BO182" s="75"/>
      <c r="BP182" s="66"/>
      <c r="BQ182" s="74"/>
    </row>
    <row r="183" spans="1:69" s="44" customFormat="1" ht="22.35" customHeight="1" x14ac:dyDescent="0.2">
      <c r="A183" s="100"/>
      <c r="B183" s="100"/>
      <c r="C183" s="100"/>
      <c r="D183" s="54"/>
      <c r="E183" s="55"/>
      <c r="F183" s="56"/>
      <c r="G183" s="56"/>
      <c r="H183" s="57"/>
      <c r="I183" s="58"/>
      <c r="J183" s="58"/>
      <c r="K183" s="55"/>
      <c r="L183" s="59"/>
      <c r="M183" s="59"/>
      <c r="N183" s="59"/>
      <c r="O183" s="54"/>
      <c r="P183" s="60"/>
      <c r="Q183" s="66"/>
      <c r="R183" s="67"/>
      <c r="S183" s="56"/>
      <c r="T183" s="56"/>
      <c r="U183" s="63"/>
      <c r="V183" s="64"/>
      <c r="W183" s="55"/>
      <c r="X183" s="63"/>
      <c r="Y183" s="54"/>
      <c r="Z183" s="65"/>
      <c r="AA183" s="76"/>
      <c r="AB183" s="59"/>
      <c r="AC183" s="56"/>
      <c r="AD183" s="56"/>
      <c r="AE183" s="64"/>
      <c r="AF183" s="64"/>
      <c r="AG183" s="55"/>
      <c r="AH183" s="68"/>
      <c r="AI183" s="54"/>
      <c r="AJ183" s="69"/>
      <c r="AK183" s="61"/>
      <c r="AL183" s="62"/>
      <c r="AM183" s="56"/>
      <c r="AN183" s="56"/>
      <c r="AO183" s="64"/>
      <c r="AP183" s="64"/>
      <c r="AQ183" s="55"/>
      <c r="AR183" s="68"/>
      <c r="AS183" s="54"/>
      <c r="AT183" s="69"/>
      <c r="AU183" s="61"/>
      <c r="AV183" s="62"/>
      <c r="AW183" s="56"/>
      <c r="AX183" s="56"/>
      <c r="AY183" s="64"/>
      <c r="AZ183" s="64"/>
      <c r="BA183" s="55"/>
      <c r="BB183" s="72"/>
      <c r="BC183" s="68"/>
      <c r="BD183" s="69"/>
      <c r="BE183" s="76"/>
      <c r="BF183" s="59"/>
      <c r="BG183" s="56"/>
      <c r="BH183" s="56"/>
      <c r="BI183" s="64"/>
      <c r="BJ183" s="64"/>
      <c r="BK183" s="57"/>
      <c r="BL183" s="73"/>
      <c r="BM183" s="76"/>
      <c r="BN183" s="74"/>
      <c r="BO183" s="75"/>
      <c r="BP183" s="66"/>
      <c r="BQ183" s="74"/>
    </row>
    <row r="184" spans="1:69" s="44" customFormat="1" ht="22.35" customHeight="1" x14ac:dyDescent="0.2">
      <c r="A184" s="100"/>
      <c r="B184" s="100"/>
      <c r="C184" s="100"/>
      <c r="D184" s="54"/>
      <c r="E184" s="55"/>
      <c r="F184" s="56"/>
      <c r="G184" s="56"/>
      <c r="H184" s="57"/>
      <c r="I184" s="58"/>
      <c r="J184" s="58"/>
      <c r="K184" s="55"/>
      <c r="L184" s="59"/>
      <c r="M184" s="59"/>
      <c r="N184" s="59"/>
      <c r="O184" s="54"/>
      <c r="P184" s="60"/>
      <c r="Q184" s="66"/>
      <c r="R184" s="67"/>
      <c r="S184" s="56"/>
      <c r="T184" s="56"/>
      <c r="U184" s="63"/>
      <c r="V184" s="64"/>
      <c r="W184" s="55"/>
      <c r="X184" s="63"/>
      <c r="Y184" s="54"/>
      <c r="Z184" s="65"/>
      <c r="AA184" s="61"/>
      <c r="AB184" s="62"/>
      <c r="AC184" s="56"/>
      <c r="AD184" s="56"/>
      <c r="AE184" s="64"/>
      <c r="AF184" s="64"/>
      <c r="AG184" s="55"/>
      <c r="AH184" s="68"/>
      <c r="AI184" s="54"/>
      <c r="AJ184" s="69"/>
      <c r="AK184" s="61"/>
      <c r="AL184" s="62"/>
      <c r="AM184" s="56"/>
      <c r="AN184" s="56"/>
      <c r="AO184" s="64"/>
      <c r="AP184" s="64"/>
      <c r="AQ184" s="55"/>
      <c r="AR184" s="68"/>
      <c r="AS184" s="54"/>
      <c r="AT184" s="69"/>
      <c r="AU184" s="61"/>
      <c r="AV184" s="62"/>
      <c r="AW184" s="56"/>
      <c r="AX184" s="56"/>
      <c r="AY184" s="64"/>
      <c r="AZ184" s="64"/>
      <c r="BA184" s="55"/>
      <c r="BB184" s="72"/>
      <c r="BC184" s="68"/>
      <c r="BD184" s="69"/>
      <c r="BE184" s="70"/>
      <c r="BF184" s="71"/>
      <c r="BG184" s="56"/>
      <c r="BH184" s="56"/>
      <c r="BI184" s="64"/>
      <c r="BJ184" s="64"/>
      <c r="BK184" s="57"/>
      <c r="BL184" s="73"/>
      <c r="BM184" s="61"/>
      <c r="BN184" s="74"/>
      <c r="BO184" s="75"/>
      <c r="BP184" s="66"/>
      <c r="BQ184" s="74"/>
    </row>
    <row r="185" spans="1:69" s="44" customFormat="1" ht="22.35" customHeight="1" x14ac:dyDescent="0.2">
      <c r="A185" s="100"/>
      <c r="B185" s="100"/>
      <c r="C185" s="100"/>
      <c r="D185" s="54"/>
      <c r="E185" s="55"/>
      <c r="F185" s="56"/>
      <c r="G185" s="56"/>
      <c r="H185" s="57"/>
      <c r="I185" s="58"/>
      <c r="J185" s="58"/>
      <c r="K185" s="55"/>
      <c r="L185" s="59"/>
      <c r="M185" s="59"/>
      <c r="N185" s="59"/>
      <c r="O185" s="54"/>
      <c r="P185" s="60"/>
      <c r="Q185" s="66"/>
      <c r="R185" s="67"/>
      <c r="S185" s="56"/>
      <c r="T185" s="56"/>
      <c r="U185" s="63"/>
      <c r="V185" s="64"/>
      <c r="W185" s="55"/>
      <c r="X185" s="63"/>
      <c r="Y185" s="54"/>
      <c r="Z185" s="65"/>
      <c r="AA185" s="61"/>
      <c r="AB185" s="62"/>
      <c r="AC185" s="56"/>
      <c r="AD185" s="56"/>
      <c r="AE185" s="64"/>
      <c r="AF185" s="64"/>
      <c r="AG185" s="55"/>
      <c r="AH185" s="68"/>
      <c r="AI185" s="54"/>
      <c r="AJ185" s="69"/>
      <c r="AK185" s="61"/>
      <c r="AL185" s="62"/>
      <c r="AM185" s="56"/>
      <c r="AN185" s="56"/>
      <c r="AO185" s="64"/>
      <c r="AP185" s="64"/>
      <c r="AQ185" s="55"/>
      <c r="AR185" s="68"/>
      <c r="AS185" s="54"/>
      <c r="AT185" s="69"/>
      <c r="AU185" s="76"/>
      <c r="AV185" s="59"/>
      <c r="AW185" s="56"/>
      <c r="AX185" s="56"/>
      <c r="AY185" s="64"/>
      <c r="AZ185" s="64"/>
      <c r="BA185" s="55"/>
      <c r="BB185" s="72"/>
      <c r="BC185" s="68"/>
      <c r="BD185" s="69"/>
      <c r="BE185" s="76"/>
      <c r="BF185" s="59"/>
      <c r="BG185" s="56"/>
      <c r="BH185" s="56"/>
      <c r="BI185" s="64"/>
      <c r="BJ185" s="64"/>
      <c r="BK185" s="57"/>
      <c r="BL185" s="73"/>
      <c r="BM185" s="76"/>
      <c r="BN185" s="74"/>
      <c r="BO185" s="75"/>
      <c r="BP185" s="66"/>
      <c r="BQ185" s="74"/>
    </row>
    <row r="186" spans="1:69" s="44" customFormat="1" ht="22.35" customHeight="1" x14ac:dyDescent="0.2">
      <c r="A186" s="100"/>
      <c r="B186" s="100"/>
      <c r="C186" s="100"/>
      <c r="D186" s="54"/>
      <c r="E186" s="55"/>
      <c r="F186" s="56"/>
      <c r="G186" s="56"/>
      <c r="H186" s="57"/>
      <c r="I186" s="58"/>
      <c r="J186" s="58"/>
      <c r="K186" s="55"/>
      <c r="L186" s="59"/>
      <c r="M186" s="59"/>
      <c r="N186" s="59"/>
      <c r="O186" s="54"/>
      <c r="P186" s="60"/>
      <c r="Q186" s="66"/>
      <c r="R186" s="67"/>
      <c r="S186" s="56"/>
      <c r="T186" s="56"/>
      <c r="U186" s="63"/>
      <c r="V186" s="64"/>
      <c r="W186" s="55"/>
      <c r="X186" s="63"/>
      <c r="Y186" s="54"/>
      <c r="Z186" s="65"/>
      <c r="AA186" s="76"/>
      <c r="AB186" s="59"/>
      <c r="AC186" s="56"/>
      <c r="AD186" s="56"/>
      <c r="AE186" s="64"/>
      <c r="AF186" s="64"/>
      <c r="AG186" s="55"/>
      <c r="AH186" s="68"/>
      <c r="AI186" s="54"/>
      <c r="AJ186" s="69"/>
      <c r="AK186" s="76"/>
      <c r="AL186" s="59"/>
      <c r="AM186" s="56"/>
      <c r="AN186" s="56"/>
      <c r="AO186" s="64"/>
      <c r="AP186" s="64"/>
      <c r="AQ186" s="55"/>
      <c r="AR186" s="68"/>
      <c r="AS186" s="54"/>
      <c r="AT186" s="69"/>
      <c r="AU186" s="66"/>
      <c r="AV186" s="67"/>
      <c r="AW186" s="56"/>
      <c r="AX186" s="56"/>
      <c r="AY186" s="64"/>
      <c r="AZ186" s="64"/>
      <c r="BA186" s="55"/>
      <c r="BB186" s="72"/>
      <c r="BC186" s="68"/>
      <c r="BD186" s="69"/>
      <c r="BE186" s="66"/>
      <c r="BF186" s="67"/>
      <c r="BG186" s="56"/>
      <c r="BH186" s="56"/>
      <c r="BI186" s="64"/>
      <c r="BJ186" s="64"/>
      <c r="BK186" s="57"/>
      <c r="BL186" s="73"/>
      <c r="BM186" s="70"/>
      <c r="BN186" s="74"/>
      <c r="BO186" s="75"/>
      <c r="BP186" s="66"/>
      <c r="BQ186" s="74"/>
    </row>
    <row r="187" spans="1:69" s="44" customFormat="1" ht="22.35" customHeight="1" x14ac:dyDescent="0.2">
      <c r="A187" s="100"/>
      <c r="B187" s="100"/>
      <c r="C187" s="100"/>
      <c r="D187" s="54"/>
      <c r="E187" s="55"/>
      <c r="F187" s="56"/>
      <c r="G187" s="56"/>
      <c r="H187" s="57"/>
      <c r="I187" s="58"/>
      <c r="J187" s="58"/>
      <c r="K187" s="55"/>
      <c r="L187" s="59"/>
      <c r="M187" s="59"/>
      <c r="N187" s="59"/>
      <c r="O187" s="54"/>
      <c r="P187" s="60"/>
      <c r="Q187" s="66"/>
      <c r="R187" s="67"/>
      <c r="S187" s="56"/>
      <c r="T187" s="56"/>
      <c r="U187" s="63"/>
      <c r="V187" s="64"/>
      <c r="W187" s="55"/>
      <c r="X187" s="63"/>
      <c r="Y187" s="54"/>
      <c r="Z187" s="65"/>
      <c r="AA187" s="66"/>
      <c r="AB187" s="67"/>
      <c r="AC187" s="56"/>
      <c r="AD187" s="56"/>
      <c r="AE187" s="64"/>
      <c r="AF187" s="64"/>
      <c r="AG187" s="55"/>
      <c r="AH187" s="68"/>
      <c r="AI187" s="54"/>
      <c r="AJ187" s="69"/>
      <c r="AK187" s="66"/>
      <c r="AL187" s="67"/>
      <c r="AM187" s="56"/>
      <c r="AN187" s="56"/>
      <c r="AO187" s="64"/>
      <c r="AP187" s="64"/>
      <c r="AQ187" s="55"/>
      <c r="AR187" s="68"/>
      <c r="AS187" s="54"/>
      <c r="AT187" s="69"/>
      <c r="AU187" s="61"/>
      <c r="AV187" s="62"/>
      <c r="AW187" s="56"/>
      <c r="AX187" s="56"/>
      <c r="AY187" s="64"/>
      <c r="AZ187" s="64"/>
      <c r="BA187" s="55"/>
      <c r="BB187" s="72"/>
      <c r="BC187" s="68"/>
      <c r="BD187" s="69"/>
      <c r="BE187" s="66"/>
      <c r="BF187" s="67"/>
      <c r="BG187" s="56"/>
      <c r="BH187" s="56"/>
      <c r="BI187" s="64"/>
      <c r="BJ187" s="64"/>
      <c r="BK187" s="57"/>
      <c r="BL187" s="73"/>
      <c r="BM187" s="76"/>
      <c r="BN187" s="74"/>
      <c r="BO187" s="75"/>
      <c r="BP187" s="66"/>
      <c r="BQ187" s="74"/>
    </row>
    <row r="188" spans="1:69" s="44" customFormat="1" ht="22.35" customHeight="1" x14ac:dyDescent="0.2">
      <c r="A188" s="100"/>
      <c r="B188" s="100"/>
      <c r="C188" s="100"/>
      <c r="D188" s="54"/>
      <c r="E188" s="55"/>
      <c r="F188" s="56"/>
      <c r="G188" s="56"/>
      <c r="H188" s="57"/>
      <c r="I188" s="58"/>
      <c r="J188" s="58"/>
      <c r="K188" s="55"/>
      <c r="L188" s="59"/>
      <c r="M188" s="59"/>
      <c r="N188" s="59"/>
      <c r="O188" s="54"/>
      <c r="P188" s="60"/>
      <c r="Q188" s="66"/>
      <c r="R188" s="67"/>
      <c r="S188" s="56"/>
      <c r="T188" s="56"/>
      <c r="U188" s="63"/>
      <c r="V188" s="64"/>
      <c r="W188" s="55"/>
      <c r="X188" s="63"/>
      <c r="Y188" s="54"/>
      <c r="Z188" s="65"/>
      <c r="AA188" s="70"/>
      <c r="AB188" s="71"/>
      <c r="AC188" s="56"/>
      <c r="AD188" s="56"/>
      <c r="AE188" s="64"/>
      <c r="AF188" s="64"/>
      <c r="AG188" s="55"/>
      <c r="AH188" s="68"/>
      <c r="AI188" s="54"/>
      <c r="AJ188" s="69"/>
      <c r="AK188" s="76"/>
      <c r="AL188" s="59"/>
      <c r="AM188" s="56"/>
      <c r="AN188" s="56"/>
      <c r="AO188" s="64"/>
      <c r="AP188" s="64"/>
      <c r="AQ188" s="55"/>
      <c r="AR188" s="68"/>
      <c r="AS188" s="54"/>
      <c r="AT188" s="69"/>
      <c r="AU188" s="61"/>
      <c r="AV188" s="62"/>
      <c r="AW188" s="56"/>
      <c r="AX188" s="56"/>
      <c r="AY188" s="64"/>
      <c r="AZ188" s="64"/>
      <c r="BA188" s="55"/>
      <c r="BB188" s="72"/>
      <c r="BC188" s="68"/>
      <c r="BD188" s="69"/>
      <c r="BE188" s="70"/>
      <c r="BF188" s="71"/>
      <c r="BG188" s="56"/>
      <c r="BH188" s="56"/>
      <c r="BI188" s="64"/>
      <c r="BJ188" s="64"/>
      <c r="BK188" s="57"/>
      <c r="BL188" s="73"/>
      <c r="BM188" s="76"/>
      <c r="BN188" s="74"/>
      <c r="BO188" s="75"/>
      <c r="BP188" s="66"/>
      <c r="BQ188" s="74"/>
    </row>
    <row r="189" spans="1:69" s="44" customFormat="1" ht="22.35" customHeight="1" x14ac:dyDescent="0.2">
      <c r="A189" s="100"/>
      <c r="B189" s="100"/>
      <c r="C189" s="100"/>
      <c r="D189" s="54"/>
      <c r="E189" s="55"/>
      <c r="F189" s="56"/>
      <c r="G189" s="56"/>
      <c r="H189" s="57"/>
      <c r="I189" s="58"/>
      <c r="J189" s="58"/>
      <c r="K189" s="55"/>
      <c r="L189" s="59"/>
      <c r="M189" s="59"/>
      <c r="N189" s="59"/>
      <c r="O189" s="54"/>
      <c r="P189" s="60"/>
      <c r="Q189" s="66"/>
      <c r="R189" s="67"/>
      <c r="S189" s="56"/>
      <c r="T189" s="56"/>
      <c r="U189" s="63"/>
      <c r="V189" s="64"/>
      <c r="W189" s="55"/>
      <c r="X189" s="63"/>
      <c r="Y189" s="54"/>
      <c r="Z189" s="65"/>
      <c r="AA189" s="70"/>
      <c r="AB189" s="71"/>
      <c r="AC189" s="56"/>
      <c r="AD189" s="56"/>
      <c r="AE189" s="64"/>
      <c r="AF189" s="64"/>
      <c r="AG189" s="55"/>
      <c r="AH189" s="68"/>
      <c r="AI189" s="54"/>
      <c r="AJ189" s="69"/>
      <c r="AK189" s="70"/>
      <c r="AL189" s="71"/>
      <c r="AM189" s="56"/>
      <c r="AN189" s="56"/>
      <c r="AO189" s="64"/>
      <c r="AP189" s="64"/>
      <c r="AQ189" s="55"/>
      <c r="AR189" s="68"/>
      <c r="AS189" s="54"/>
      <c r="AT189" s="69"/>
      <c r="AU189" s="61"/>
      <c r="AV189" s="62"/>
      <c r="AW189" s="56"/>
      <c r="AX189" s="56"/>
      <c r="AY189" s="64"/>
      <c r="AZ189" s="64"/>
      <c r="BA189" s="55"/>
      <c r="BB189" s="72"/>
      <c r="BC189" s="68"/>
      <c r="BD189" s="69"/>
      <c r="BE189" s="70"/>
      <c r="BF189" s="71"/>
      <c r="BG189" s="56"/>
      <c r="BH189" s="56"/>
      <c r="BI189" s="64"/>
      <c r="BJ189" s="64"/>
      <c r="BK189" s="57"/>
      <c r="BL189" s="73"/>
      <c r="BM189" s="70"/>
      <c r="BN189" s="74"/>
      <c r="BO189" s="75"/>
      <c r="BP189" s="66"/>
      <c r="BQ189" s="74"/>
    </row>
    <row r="190" spans="1:69" s="44" customFormat="1" ht="22.35" customHeight="1" x14ac:dyDescent="0.2">
      <c r="A190" s="100"/>
      <c r="B190" s="100"/>
      <c r="C190" s="100"/>
      <c r="D190" s="54"/>
      <c r="E190" s="55"/>
      <c r="F190" s="56"/>
      <c r="G190" s="56"/>
      <c r="H190" s="57"/>
      <c r="I190" s="58"/>
      <c r="J190" s="58"/>
      <c r="K190" s="55"/>
      <c r="L190" s="59"/>
      <c r="M190" s="59"/>
      <c r="N190" s="59"/>
      <c r="O190" s="54"/>
      <c r="P190" s="60"/>
      <c r="Q190" s="61"/>
      <c r="R190" s="62"/>
      <c r="S190" s="56"/>
      <c r="T190" s="56"/>
      <c r="U190" s="63"/>
      <c r="V190" s="64"/>
      <c r="W190" s="55"/>
      <c r="X190" s="63"/>
      <c r="Y190" s="54"/>
      <c r="Z190" s="65"/>
      <c r="AA190" s="66"/>
      <c r="AB190" s="67"/>
      <c r="AC190" s="56"/>
      <c r="AD190" s="56"/>
      <c r="AE190" s="64"/>
      <c r="AF190" s="64"/>
      <c r="AG190" s="55"/>
      <c r="AH190" s="68"/>
      <c r="AI190" s="54"/>
      <c r="AJ190" s="69"/>
      <c r="AK190" s="66"/>
      <c r="AL190" s="67"/>
      <c r="AM190" s="56"/>
      <c r="AN190" s="56"/>
      <c r="AO190" s="64"/>
      <c r="AP190" s="64"/>
      <c r="AQ190" s="55"/>
      <c r="AR190" s="68"/>
      <c r="AS190" s="54"/>
      <c r="AT190" s="69"/>
      <c r="AU190" s="66"/>
      <c r="AV190" s="67"/>
      <c r="AW190" s="56"/>
      <c r="AX190" s="56"/>
      <c r="AY190" s="64"/>
      <c r="AZ190" s="64"/>
      <c r="BA190" s="55"/>
      <c r="BB190" s="72"/>
      <c r="BC190" s="68"/>
      <c r="BD190" s="69"/>
      <c r="BE190" s="66"/>
      <c r="BF190" s="67"/>
      <c r="BG190" s="56"/>
      <c r="BH190" s="56"/>
      <c r="BI190" s="64"/>
      <c r="BJ190" s="64"/>
      <c r="BK190" s="57"/>
      <c r="BL190" s="73"/>
      <c r="BM190" s="76"/>
      <c r="BN190" s="74"/>
      <c r="BO190" s="75"/>
      <c r="BP190" s="66"/>
      <c r="BQ190" s="74"/>
    </row>
    <row r="191" spans="1:69" s="44" customFormat="1" ht="22.35" customHeight="1" x14ac:dyDescent="0.2">
      <c r="A191" s="100"/>
      <c r="B191" s="100"/>
      <c r="C191" s="100"/>
      <c r="D191" s="54"/>
      <c r="E191" s="55"/>
      <c r="F191" s="56"/>
      <c r="G191" s="56"/>
      <c r="H191" s="57"/>
      <c r="I191" s="58"/>
      <c r="J191" s="58"/>
      <c r="K191" s="55"/>
      <c r="L191" s="59"/>
      <c r="M191" s="59"/>
      <c r="N191" s="59"/>
      <c r="O191" s="54"/>
      <c r="P191" s="60"/>
      <c r="Q191" s="66"/>
      <c r="R191" s="67"/>
      <c r="S191" s="56"/>
      <c r="T191" s="56"/>
      <c r="U191" s="63"/>
      <c r="V191" s="64"/>
      <c r="W191" s="55"/>
      <c r="X191" s="63"/>
      <c r="Y191" s="54"/>
      <c r="Z191" s="65"/>
      <c r="AA191" s="76"/>
      <c r="AB191" s="59"/>
      <c r="AC191" s="56"/>
      <c r="AD191" s="56"/>
      <c r="AE191" s="64"/>
      <c r="AF191" s="64"/>
      <c r="AG191" s="55"/>
      <c r="AH191" s="68"/>
      <c r="AI191" s="54"/>
      <c r="AJ191" s="69"/>
      <c r="AK191" s="61"/>
      <c r="AL191" s="62"/>
      <c r="AM191" s="56"/>
      <c r="AN191" s="56"/>
      <c r="AO191" s="64"/>
      <c r="AP191" s="64"/>
      <c r="AQ191" s="55"/>
      <c r="AR191" s="68"/>
      <c r="AS191" s="54"/>
      <c r="AT191" s="69"/>
      <c r="AU191" s="61"/>
      <c r="AV191" s="62"/>
      <c r="AW191" s="56"/>
      <c r="AX191" s="56"/>
      <c r="AY191" s="64"/>
      <c r="AZ191" s="64"/>
      <c r="BA191" s="55"/>
      <c r="BB191" s="72"/>
      <c r="BC191" s="68"/>
      <c r="BD191" s="69"/>
      <c r="BE191" s="76"/>
      <c r="BF191" s="59"/>
      <c r="BG191" s="56"/>
      <c r="BH191" s="56"/>
      <c r="BI191" s="64"/>
      <c r="BJ191" s="64"/>
      <c r="BK191" s="57"/>
      <c r="BL191" s="73"/>
      <c r="BM191" s="70"/>
      <c r="BN191" s="74"/>
      <c r="BO191" s="75"/>
      <c r="BP191" s="66"/>
      <c r="BQ191" s="74"/>
    </row>
    <row r="192" spans="1:69" s="44" customFormat="1" ht="22.35" customHeight="1" x14ac:dyDescent="0.2">
      <c r="A192" s="100"/>
      <c r="B192" s="100"/>
      <c r="C192" s="100"/>
      <c r="D192" s="54"/>
      <c r="E192" s="55"/>
      <c r="F192" s="56"/>
      <c r="G192" s="56"/>
      <c r="H192" s="57"/>
      <c r="I192" s="58"/>
      <c r="J192" s="58"/>
      <c r="K192" s="55"/>
      <c r="L192" s="59"/>
      <c r="M192" s="59"/>
      <c r="N192" s="59"/>
      <c r="O192" s="54"/>
      <c r="P192" s="60"/>
      <c r="Q192" s="66"/>
      <c r="R192" s="67"/>
      <c r="S192" s="56"/>
      <c r="T192" s="56"/>
      <c r="U192" s="63"/>
      <c r="V192" s="64"/>
      <c r="W192" s="55"/>
      <c r="X192" s="63"/>
      <c r="Y192" s="54"/>
      <c r="Z192" s="65"/>
      <c r="AA192" s="70"/>
      <c r="AB192" s="71"/>
      <c r="AC192" s="56"/>
      <c r="AD192" s="56"/>
      <c r="AE192" s="64"/>
      <c r="AF192" s="64"/>
      <c r="AG192" s="55"/>
      <c r="AH192" s="68"/>
      <c r="AI192" s="54"/>
      <c r="AJ192" s="69"/>
      <c r="AK192" s="76"/>
      <c r="AL192" s="59"/>
      <c r="AM192" s="56"/>
      <c r="AN192" s="56"/>
      <c r="AO192" s="64"/>
      <c r="AP192" s="64"/>
      <c r="AQ192" s="55"/>
      <c r="AR192" s="68"/>
      <c r="AS192" s="54"/>
      <c r="AT192" s="69"/>
      <c r="AU192" s="76"/>
      <c r="AV192" s="59"/>
      <c r="AW192" s="56"/>
      <c r="AX192" s="56"/>
      <c r="AY192" s="64"/>
      <c r="AZ192" s="64"/>
      <c r="BA192" s="55"/>
      <c r="BB192" s="72"/>
      <c r="BC192" s="68"/>
      <c r="BD192" s="69"/>
      <c r="BE192" s="70"/>
      <c r="BF192" s="71"/>
      <c r="BG192" s="56"/>
      <c r="BH192" s="56"/>
      <c r="BI192" s="64"/>
      <c r="BJ192" s="64"/>
      <c r="BK192" s="57"/>
      <c r="BL192" s="73"/>
      <c r="BM192" s="76"/>
      <c r="BN192" s="74"/>
      <c r="BO192" s="75"/>
      <c r="BP192" s="66"/>
      <c r="BQ192" s="74"/>
    </row>
    <row r="193" spans="1:69" s="44" customFormat="1" ht="22.35" customHeight="1" x14ac:dyDescent="0.2">
      <c r="A193" s="100"/>
      <c r="B193" s="100"/>
      <c r="C193" s="100"/>
      <c r="D193" s="54"/>
      <c r="E193" s="55"/>
      <c r="F193" s="56"/>
      <c r="G193" s="56"/>
      <c r="H193" s="57"/>
      <c r="I193" s="58"/>
      <c r="J193" s="58"/>
      <c r="K193" s="55"/>
      <c r="L193" s="59"/>
      <c r="M193" s="59"/>
      <c r="N193" s="59"/>
      <c r="O193" s="54"/>
      <c r="P193" s="60"/>
      <c r="Q193" s="66"/>
      <c r="R193" s="67"/>
      <c r="S193" s="56"/>
      <c r="T193" s="56"/>
      <c r="U193" s="63"/>
      <c r="V193" s="64"/>
      <c r="W193" s="55"/>
      <c r="X193" s="63"/>
      <c r="Y193" s="54"/>
      <c r="Z193" s="65"/>
      <c r="AA193" s="66"/>
      <c r="AB193" s="67"/>
      <c r="AC193" s="56"/>
      <c r="AD193" s="56"/>
      <c r="AE193" s="64"/>
      <c r="AF193" s="64"/>
      <c r="AG193" s="55"/>
      <c r="AH193" s="68"/>
      <c r="AI193" s="54"/>
      <c r="AJ193" s="69"/>
      <c r="AK193" s="66"/>
      <c r="AL193" s="67"/>
      <c r="AM193" s="56"/>
      <c r="AN193" s="56"/>
      <c r="AO193" s="64"/>
      <c r="AP193" s="64"/>
      <c r="AQ193" s="55"/>
      <c r="AR193" s="68"/>
      <c r="AS193" s="54"/>
      <c r="AT193" s="69"/>
      <c r="AU193" s="66"/>
      <c r="AV193" s="67"/>
      <c r="AW193" s="56"/>
      <c r="AX193" s="56"/>
      <c r="AY193" s="64"/>
      <c r="AZ193" s="64"/>
      <c r="BA193" s="55"/>
      <c r="BB193" s="72"/>
      <c r="BC193" s="68"/>
      <c r="BD193" s="69"/>
      <c r="BE193" s="66"/>
      <c r="BF193" s="67"/>
      <c r="BG193" s="56"/>
      <c r="BH193" s="56"/>
      <c r="BI193" s="64"/>
      <c r="BJ193" s="64"/>
      <c r="BK193" s="57"/>
      <c r="BL193" s="73"/>
      <c r="BM193" s="76"/>
      <c r="BN193" s="74"/>
      <c r="BO193" s="75"/>
      <c r="BP193" s="66"/>
      <c r="BQ193" s="74"/>
    </row>
    <row r="194" spans="1:69" s="44" customFormat="1" ht="22.35" customHeight="1" x14ac:dyDescent="0.2">
      <c r="A194" s="100"/>
      <c r="B194" s="100"/>
      <c r="C194" s="100"/>
      <c r="D194" s="54"/>
      <c r="E194" s="55"/>
      <c r="F194" s="56"/>
      <c r="G194" s="56"/>
      <c r="H194" s="57"/>
      <c r="I194" s="58"/>
      <c r="J194" s="58"/>
      <c r="K194" s="55"/>
      <c r="L194" s="59"/>
      <c r="M194" s="59"/>
      <c r="N194" s="59"/>
      <c r="O194" s="54"/>
      <c r="P194" s="60"/>
      <c r="Q194" s="70"/>
      <c r="R194" s="71"/>
      <c r="S194" s="56"/>
      <c r="T194" s="56"/>
      <c r="U194" s="63"/>
      <c r="V194" s="64"/>
      <c r="W194" s="55"/>
      <c r="X194" s="63"/>
      <c r="Y194" s="54"/>
      <c r="Z194" s="65"/>
      <c r="AA194" s="70"/>
      <c r="AB194" s="71"/>
      <c r="AC194" s="56"/>
      <c r="AD194" s="56"/>
      <c r="AE194" s="64"/>
      <c r="AF194" s="64"/>
      <c r="AG194" s="55"/>
      <c r="AH194" s="68"/>
      <c r="AI194" s="54"/>
      <c r="AJ194" s="69"/>
      <c r="AK194" s="61"/>
      <c r="AL194" s="62"/>
      <c r="AM194" s="56"/>
      <c r="AN194" s="56"/>
      <c r="AO194" s="64"/>
      <c r="AP194" s="64"/>
      <c r="AQ194" s="55"/>
      <c r="AR194" s="68"/>
      <c r="AS194" s="54"/>
      <c r="AT194" s="69"/>
      <c r="AU194" s="61"/>
      <c r="AV194" s="62"/>
      <c r="AW194" s="56"/>
      <c r="AX194" s="56"/>
      <c r="AY194" s="64"/>
      <c r="AZ194" s="64"/>
      <c r="BA194" s="55"/>
      <c r="BB194" s="72"/>
      <c r="BC194" s="68"/>
      <c r="BD194" s="69"/>
      <c r="BE194" s="76"/>
      <c r="BF194" s="59"/>
      <c r="BG194" s="56"/>
      <c r="BH194" s="56"/>
      <c r="BI194" s="64"/>
      <c r="BJ194" s="64"/>
      <c r="BK194" s="57"/>
      <c r="BL194" s="73"/>
      <c r="BM194" s="76"/>
      <c r="BN194" s="74"/>
      <c r="BO194" s="75"/>
      <c r="BP194" s="66"/>
      <c r="BQ194" s="74"/>
    </row>
    <row r="195" spans="1:69" s="44" customFormat="1" ht="22.35" customHeight="1" x14ac:dyDescent="0.2">
      <c r="A195" s="100"/>
      <c r="B195" s="100"/>
      <c r="C195" s="100"/>
      <c r="D195" s="54"/>
      <c r="E195" s="55"/>
      <c r="F195" s="56"/>
      <c r="G195" s="56"/>
      <c r="H195" s="57"/>
      <c r="I195" s="58"/>
      <c r="J195" s="58"/>
      <c r="K195" s="55"/>
      <c r="L195" s="59"/>
      <c r="M195" s="59"/>
      <c r="N195" s="59"/>
      <c r="O195" s="54"/>
      <c r="P195" s="60"/>
      <c r="Q195" s="66"/>
      <c r="R195" s="67"/>
      <c r="S195" s="56"/>
      <c r="T195" s="56"/>
      <c r="U195" s="63"/>
      <c r="V195" s="64"/>
      <c r="W195" s="55"/>
      <c r="X195" s="63"/>
      <c r="Y195" s="54"/>
      <c r="Z195" s="65"/>
      <c r="AA195" s="70"/>
      <c r="AB195" s="71"/>
      <c r="AC195" s="56"/>
      <c r="AD195" s="56"/>
      <c r="AE195" s="64"/>
      <c r="AF195" s="64"/>
      <c r="AG195" s="55"/>
      <c r="AH195" s="68"/>
      <c r="AI195" s="54"/>
      <c r="AJ195" s="69"/>
      <c r="AK195" s="66"/>
      <c r="AL195" s="67"/>
      <c r="AM195" s="56"/>
      <c r="AN195" s="56"/>
      <c r="AO195" s="64"/>
      <c r="AP195" s="64"/>
      <c r="AQ195" s="55"/>
      <c r="AR195" s="68"/>
      <c r="AS195" s="54"/>
      <c r="AT195" s="69"/>
      <c r="AU195" s="76"/>
      <c r="AV195" s="59"/>
      <c r="AW195" s="56"/>
      <c r="AX195" s="56"/>
      <c r="AY195" s="64"/>
      <c r="AZ195" s="64"/>
      <c r="BA195" s="55"/>
      <c r="BB195" s="72"/>
      <c r="BC195" s="68"/>
      <c r="BD195" s="69"/>
      <c r="BE195" s="66"/>
      <c r="BF195" s="67"/>
      <c r="BG195" s="56"/>
      <c r="BH195" s="56"/>
      <c r="BI195" s="64"/>
      <c r="BJ195" s="64"/>
      <c r="BK195" s="57"/>
      <c r="BL195" s="73"/>
      <c r="BM195" s="76"/>
      <c r="BN195" s="74"/>
      <c r="BO195" s="75"/>
      <c r="BP195" s="66"/>
      <c r="BQ195" s="74"/>
    </row>
    <row r="196" spans="1:69" s="44" customFormat="1" ht="22.35" customHeight="1" x14ac:dyDescent="0.2">
      <c r="A196" s="100"/>
      <c r="B196" s="100"/>
      <c r="C196" s="100"/>
      <c r="D196" s="54"/>
      <c r="E196" s="55"/>
      <c r="F196" s="56"/>
      <c r="G196" s="56"/>
      <c r="H196" s="57"/>
      <c r="I196" s="58"/>
      <c r="J196" s="58"/>
      <c r="K196" s="55"/>
      <c r="L196" s="59"/>
      <c r="M196" s="59"/>
      <c r="N196" s="59"/>
      <c r="O196" s="54"/>
      <c r="P196" s="60"/>
      <c r="Q196" s="66"/>
      <c r="R196" s="67"/>
      <c r="S196" s="56"/>
      <c r="T196" s="56"/>
      <c r="U196" s="63"/>
      <c r="V196" s="64"/>
      <c r="W196" s="55"/>
      <c r="X196" s="63"/>
      <c r="Y196" s="54"/>
      <c r="Z196" s="65"/>
      <c r="AA196" s="76"/>
      <c r="AB196" s="59"/>
      <c r="AC196" s="56"/>
      <c r="AD196" s="56"/>
      <c r="AE196" s="64"/>
      <c r="AF196" s="64"/>
      <c r="AG196" s="55"/>
      <c r="AH196" s="68"/>
      <c r="AI196" s="54"/>
      <c r="AJ196" s="69"/>
      <c r="AK196" s="76"/>
      <c r="AL196" s="59"/>
      <c r="AM196" s="56"/>
      <c r="AN196" s="56"/>
      <c r="AO196" s="64"/>
      <c r="AP196" s="64"/>
      <c r="AQ196" s="55"/>
      <c r="AR196" s="68"/>
      <c r="AS196" s="54"/>
      <c r="AT196" s="69"/>
      <c r="AU196" s="61"/>
      <c r="AV196" s="62"/>
      <c r="AW196" s="56"/>
      <c r="AX196" s="56"/>
      <c r="AY196" s="64"/>
      <c r="AZ196" s="64"/>
      <c r="BA196" s="55"/>
      <c r="BB196" s="72"/>
      <c r="BC196" s="68"/>
      <c r="BD196" s="69"/>
      <c r="BE196" s="70"/>
      <c r="BF196" s="71"/>
      <c r="BG196" s="56"/>
      <c r="BH196" s="56"/>
      <c r="BI196" s="64"/>
      <c r="BJ196" s="64"/>
      <c r="BK196" s="57"/>
      <c r="BL196" s="73"/>
      <c r="BM196" s="76"/>
      <c r="BN196" s="74"/>
      <c r="BO196" s="75"/>
      <c r="BP196" s="66"/>
      <c r="BQ196" s="74"/>
    </row>
    <row r="197" spans="1:69" s="44" customFormat="1" ht="22.35" customHeight="1" x14ac:dyDescent="0.2">
      <c r="A197" s="100"/>
      <c r="B197" s="100"/>
      <c r="C197" s="100"/>
      <c r="D197" s="54"/>
      <c r="E197" s="55"/>
      <c r="F197" s="56"/>
      <c r="G197" s="56"/>
      <c r="H197" s="57"/>
      <c r="I197" s="58"/>
      <c r="J197" s="58"/>
      <c r="K197" s="55"/>
      <c r="L197" s="59"/>
      <c r="M197" s="59"/>
      <c r="N197" s="59"/>
      <c r="O197" s="54"/>
      <c r="P197" s="60"/>
      <c r="Q197" s="66"/>
      <c r="R197" s="67"/>
      <c r="S197" s="56"/>
      <c r="T197" s="56"/>
      <c r="U197" s="63"/>
      <c r="V197" s="64"/>
      <c r="W197" s="55"/>
      <c r="X197" s="63"/>
      <c r="Y197" s="54"/>
      <c r="Z197" s="65"/>
      <c r="AA197" s="70"/>
      <c r="AB197" s="71"/>
      <c r="AC197" s="56"/>
      <c r="AD197" s="56"/>
      <c r="AE197" s="64"/>
      <c r="AF197" s="64"/>
      <c r="AG197" s="55"/>
      <c r="AH197" s="68"/>
      <c r="AI197" s="54"/>
      <c r="AJ197" s="69"/>
      <c r="AK197" s="76"/>
      <c r="AL197" s="59"/>
      <c r="AM197" s="56"/>
      <c r="AN197" s="56"/>
      <c r="AO197" s="64"/>
      <c r="AP197" s="64"/>
      <c r="AQ197" s="55"/>
      <c r="AR197" s="68"/>
      <c r="AS197" s="54"/>
      <c r="AT197" s="69"/>
      <c r="AU197" s="61"/>
      <c r="AV197" s="62"/>
      <c r="AW197" s="56"/>
      <c r="AX197" s="56"/>
      <c r="AY197" s="64"/>
      <c r="AZ197" s="64"/>
      <c r="BA197" s="55"/>
      <c r="BB197" s="72"/>
      <c r="BC197" s="68"/>
      <c r="BD197" s="69"/>
      <c r="BE197" s="70"/>
      <c r="BF197" s="71"/>
      <c r="BG197" s="56"/>
      <c r="BH197" s="56"/>
      <c r="BI197" s="64"/>
      <c r="BJ197" s="64"/>
      <c r="BK197" s="57"/>
      <c r="BL197" s="73"/>
      <c r="BM197" s="70"/>
      <c r="BN197" s="74"/>
      <c r="BO197" s="75"/>
      <c r="BP197" s="66"/>
      <c r="BQ197" s="74"/>
    </row>
    <row r="198" spans="1:69" s="44" customFormat="1" ht="22.35" customHeight="1" x14ac:dyDescent="0.2">
      <c r="A198" s="100"/>
      <c r="B198" s="100"/>
      <c r="C198" s="100"/>
      <c r="D198" s="54"/>
      <c r="E198" s="55"/>
      <c r="F198" s="56"/>
      <c r="G198" s="56"/>
      <c r="H198" s="57"/>
      <c r="I198" s="58"/>
      <c r="J198" s="58"/>
      <c r="K198" s="55"/>
      <c r="L198" s="59"/>
      <c r="M198" s="59"/>
      <c r="N198" s="59"/>
      <c r="O198" s="54"/>
      <c r="P198" s="60"/>
      <c r="Q198" s="66"/>
      <c r="R198" s="67"/>
      <c r="S198" s="56"/>
      <c r="T198" s="56"/>
      <c r="U198" s="63"/>
      <c r="V198" s="64"/>
      <c r="W198" s="55"/>
      <c r="X198" s="63"/>
      <c r="Y198" s="54"/>
      <c r="Z198" s="65"/>
      <c r="AA198" s="66"/>
      <c r="AB198" s="67"/>
      <c r="AC198" s="56"/>
      <c r="AD198" s="56"/>
      <c r="AE198" s="64"/>
      <c r="AF198" s="64"/>
      <c r="AG198" s="55"/>
      <c r="AH198" s="68"/>
      <c r="AI198" s="54"/>
      <c r="AJ198" s="69"/>
      <c r="AK198" s="76"/>
      <c r="AL198" s="59"/>
      <c r="AM198" s="56"/>
      <c r="AN198" s="56"/>
      <c r="AO198" s="64"/>
      <c r="AP198" s="64"/>
      <c r="AQ198" s="55"/>
      <c r="AR198" s="68"/>
      <c r="AS198" s="54"/>
      <c r="AT198" s="69"/>
      <c r="AU198" s="61"/>
      <c r="AV198" s="62"/>
      <c r="AW198" s="56"/>
      <c r="AX198" s="56"/>
      <c r="AY198" s="64"/>
      <c r="AZ198" s="64"/>
      <c r="BA198" s="55"/>
      <c r="BB198" s="72"/>
      <c r="BC198" s="68"/>
      <c r="BD198" s="69"/>
      <c r="BE198" s="70"/>
      <c r="BF198" s="71"/>
      <c r="BG198" s="56"/>
      <c r="BH198" s="56"/>
      <c r="BI198" s="64"/>
      <c r="BJ198" s="64"/>
      <c r="BK198" s="57"/>
      <c r="BL198" s="73"/>
      <c r="BM198" s="70"/>
      <c r="BN198" s="74"/>
      <c r="BO198" s="75"/>
      <c r="BP198" s="66"/>
      <c r="BQ198" s="74"/>
    </row>
    <row r="199" spans="1:69" s="44" customFormat="1" ht="22.35" customHeight="1" x14ac:dyDescent="0.2">
      <c r="A199" s="100"/>
      <c r="B199" s="100"/>
      <c r="C199" s="100"/>
      <c r="D199" s="54"/>
      <c r="E199" s="55"/>
      <c r="F199" s="56"/>
      <c r="G199" s="56"/>
      <c r="H199" s="57"/>
      <c r="I199" s="58"/>
      <c r="J199" s="58"/>
      <c r="K199" s="55"/>
      <c r="L199" s="59"/>
      <c r="M199" s="59"/>
      <c r="N199" s="59"/>
      <c r="O199" s="54"/>
      <c r="P199" s="60"/>
      <c r="Q199" s="66"/>
      <c r="R199" s="67"/>
      <c r="S199" s="56"/>
      <c r="T199" s="56"/>
      <c r="U199" s="63"/>
      <c r="V199" s="64"/>
      <c r="W199" s="55"/>
      <c r="X199" s="63"/>
      <c r="Y199" s="54"/>
      <c r="Z199" s="65"/>
      <c r="AA199" s="76"/>
      <c r="AB199" s="59"/>
      <c r="AC199" s="56"/>
      <c r="AD199" s="56"/>
      <c r="AE199" s="64"/>
      <c r="AF199" s="64"/>
      <c r="AG199" s="55"/>
      <c r="AH199" s="68"/>
      <c r="AI199" s="54"/>
      <c r="AJ199" s="69"/>
      <c r="AK199" s="61"/>
      <c r="AL199" s="62"/>
      <c r="AM199" s="56"/>
      <c r="AN199" s="56"/>
      <c r="AO199" s="64"/>
      <c r="AP199" s="64"/>
      <c r="AQ199" s="55"/>
      <c r="AR199" s="68"/>
      <c r="AS199" s="54"/>
      <c r="AT199" s="69"/>
      <c r="AU199" s="61"/>
      <c r="AV199" s="62"/>
      <c r="AW199" s="56"/>
      <c r="AX199" s="56"/>
      <c r="AY199" s="64"/>
      <c r="AZ199" s="64"/>
      <c r="BA199" s="55"/>
      <c r="BB199" s="72"/>
      <c r="BC199" s="68"/>
      <c r="BD199" s="69"/>
      <c r="BE199" s="76"/>
      <c r="BF199" s="59"/>
      <c r="BG199" s="56"/>
      <c r="BH199" s="56"/>
      <c r="BI199" s="64"/>
      <c r="BJ199" s="64"/>
      <c r="BK199" s="57"/>
      <c r="BL199" s="73"/>
      <c r="BM199" s="76"/>
      <c r="BN199" s="74"/>
      <c r="BO199" s="75"/>
      <c r="BP199" s="66"/>
      <c r="BQ199" s="74"/>
    </row>
    <row r="200" spans="1:69" s="44" customFormat="1" ht="22.35" customHeight="1" x14ac:dyDescent="0.2">
      <c r="A200" s="100"/>
      <c r="B200" s="100"/>
      <c r="C200" s="100"/>
      <c r="D200" s="54"/>
      <c r="E200" s="55"/>
      <c r="F200" s="56"/>
      <c r="G200" s="56"/>
      <c r="H200" s="57"/>
      <c r="I200" s="58"/>
      <c r="J200" s="58"/>
      <c r="K200" s="55"/>
      <c r="L200" s="59"/>
      <c r="M200" s="59"/>
      <c r="N200" s="59"/>
      <c r="O200" s="54"/>
      <c r="P200" s="60"/>
      <c r="Q200" s="66"/>
      <c r="R200" s="67"/>
      <c r="S200" s="56"/>
      <c r="T200" s="56"/>
      <c r="U200" s="63"/>
      <c r="V200" s="64"/>
      <c r="W200" s="55"/>
      <c r="X200" s="63"/>
      <c r="Y200" s="54"/>
      <c r="Z200" s="65"/>
      <c r="AA200" s="70"/>
      <c r="AB200" s="71"/>
      <c r="AC200" s="56"/>
      <c r="AD200" s="56"/>
      <c r="AE200" s="64"/>
      <c r="AF200" s="64"/>
      <c r="AG200" s="55"/>
      <c r="AH200" s="68"/>
      <c r="AI200" s="54"/>
      <c r="AJ200" s="69"/>
      <c r="AK200" s="70"/>
      <c r="AL200" s="71"/>
      <c r="AM200" s="56"/>
      <c r="AN200" s="56"/>
      <c r="AO200" s="64"/>
      <c r="AP200" s="64"/>
      <c r="AQ200" s="55"/>
      <c r="AR200" s="68"/>
      <c r="AS200" s="54"/>
      <c r="AT200" s="69"/>
      <c r="AU200" s="61"/>
      <c r="AV200" s="62"/>
      <c r="AW200" s="56"/>
      <c r="AX200" s="56"/>
      <c r="AY200" s="64"/>
      <c r="AZ200" s="64"/>
      <c r="BA200" s="55"/>
      <c r="BB200" s="72"/>
      <c r="BC200" s="68"/>
      <c r="BD200" s="69"/>
      <c r="BE200" s="66"/>
      <c r="BF200" s="67"/>
      <c r="BG200" s="56"/>
      <c r="BH200" s="56"/>
      <c r="BI200" s="64"/>
      <c r="BJ200" s="64"/>
      <c r="BK200" s="57"/>
      <c r="BL200" s="73"/>
      <c r="BM200" s="70"/>
      <c r="BN200" s="74"/>
      <c r="BO200" s="75"/>
      <c r="BP200" s="66"/>
      <c r="BQ200" s="74"/>
    </row>
    <row r="201" spans="1:69" s="44" customFormat="1" ht="22.35" customHeight="1" x14ac:dyDescent="0.2">
      <c r="A201" s="100"/>
      <c r="B201" s="100"/>
      <c r="C201" s="100"/>
      <c r="D201" s="54"/>
      <c r="E201" s="55"/>
      <c r="F201" s="56"/>
      <c r="G201" s="56"/>
      <c r="H201" s="57"/>
      <c r="I201" s="58"/>
      <c r="J201" s="58"/>
      <c r="K201" s="55"/>
      <c r="L201" s="59"/>
      <c r="M201" s="59"/>
      <c r="N201" s="59"/>
      <c r="O201" s="54"/>
      <c r="P201" s="60"/>
      <c r="Q201" s="66"/>
      <c r="R201" s="67"/>
      <c r="S201" s="56"/>
      <c r="T201" s="56"/>
      <c r="U201" s="63"/>
      <c r="V201" s="64"/>
      <c r="W201" s="55"/>
      <c r="X201" s="63"/>
      <c r="Y201" s="54"/>
      <c r="Z201" s="65"/>
      <c r="AA201" s="70"/>
      <c r="AB201" s="71"/>
      <c r="AC201" s="56"/>
      <c r="AD201" s="56"/>
      <c r="AE201" s="64"/>
      <c r="AF201" s="64"/>
      <c r="AG201" s="55"/>
      <c r="AH201" s="68"/>
      <c r="AI201" s="54"/>
      <c r="AJ201" s="69"/>
      <c r="AK201" s="70"/>
      <c r="AL201" s="71"/>
      <c r="AM201" s="56"/>
      <c r="AN201" s="56"/>
      <c r="AO201" s="64"/>
      <c r="AP201" s="64"/>
      <c r="AQ201" s="55"/>
      <c r="AR201" s="68"/>
      <c r="AS201" s="54"/>
      <c r="AT201" s="69"/>
      <c r="AU201" s="61"/>
      <c r="AV201" s="62"/>
      <c r="AW201" s="56"/>
      <c r="AX201" s="56"/>
      <c r="AY201" s="64"/>
      <c r="AZ201" s="64"/>
      <c r="BA201" s="55"/>
      <c r="BB201" s="72"/>
      <c r="BC201" s="68"/>
      <c r="BD201" s="69"/>
      <c r="BE201" s="66"/>
      <c r="BF201" s="67"/>
      <c r="BG201" s="56"/>
      <c r="BH201" s="56"/>
      <c r="BI201" s="64"/>
      <c r="BJ201" s="64"/>
      <c r="BK201" s="57"/>
      <c r="BL201" s="73"/>
      <c r="BM201" s="76"/>
      <c r="BN201" s="74"/>
      <c r="BO201" s="75"/>
      <c r="BP201" s="66"/>
      <c r="BQ201" s="74"/>
    </row>
    <row r="202" spans="1:69" s="44" customFormat="1" ht="22.35" customHeight="1" x14ac:dyDescent="0.2">
      <c r="A202" s="100"/>
      <c r="B202" s="100"/>
      <c r="C202" s="100"/>
      <c r="D202" s="54"/>
      <c r="E202" s="55"/>
      <c r="F202" s="56"/>
      <c r="G202" s="56"/>
      <c r="H202" s="57"/>
      <c r="I202" s="58"/>
      <c r="J202" s="58"/>
      <c r="K202" s="55"/>
      <c r="L202" s="59"/>
      <c r="M202" s="59"/>
      <c r="N202" s="59"/>
      <c r="O202" s="54"/>
      <c r="P202" s="60"/>
      <c r="Q202" s="66"/>
      <c r="R202" s="67"/>
      <c r="S202" s="56"/>
      <c r="T202" s="56"/>
      <c r="U202" s="63"/>
      <c r="V202" s="64"/>
      <c r="W202" s="55"/>
      <c r="X202" s="63"/>
      <c r="Y202" s="54"/>
      <c r="Z202" s="65"/>
      <c r="AA202" s="70"/>
      <c r="AB202" s="71"/>
      <c r="AC202" s="56"/>
      <c r="AD202" s="56"/>
      <c r="AE202" s="64"/>
      <c r="AF202" s="64"/>
      <c r="AG202" s="55"/>
      <c r="AH202" s="68"/>
      <c r="AI202" s="54"/>
      <c r="AJ202" s="69"/>
      <c r="AK202" s="70"/>
      <c r="AL202" s="71"/>
      <c r="AM202" s="56"/>
      <c r="AN202" s="56"/>
      <c r="AO202" s="64"/>
      <c r="AP202" s="64"/>
      <c r="AQ202" s="55"/>
      <c r="AR202" s="68"/>
      <c r="AS202" s="54"/>
      <c r="AT202" s="69"/>
      <c r="AU202" s="61"/>
      <c r="AV202" s="62"/>
      <c r="AW202" s="56"/>
      <c r="AX202" s="56"/>
      <c r="AY202" s="64"/>
      <c r="AZ202" s="64"/>
      <c r="BA202" s="55"/>
      <c r="BB202" s="72"/>
      <c r="BC202" s="68"/>
      <c r="BD202" s="69"/>
      <c r="BE202" s="66"/>
      <c r="BF202" s="67"/>
      <c r="BG202" s="56"/>
      <c r="BH202" s="56"/>
      <c r="BI202" s="64"/>
      <c r="BJ202" s="64"/>
      <c r="BK202" s="57"/>
      <c r="BL202" s="73"/>
      <c r="BM202" s="76"/>
      <c r="BN202" s="74"/>
      <c r="BO202" s="75"/>
      <c r="BP202" s="66"/>
      <c r="BQ202" s="74"/>
    </row>
    <row r="203" spans="1:69" s="44" customFormat="1" ht="22.35" customHeight="1" x14ac:dyDescent="0.2">
      <c r="A203" s="100"/>
      <c r="B203" s="100"/>
      <c r="C203" s="100"/>
      <c r="D203" s="54"/>
      <c r="E203" s="55"/>
      <c r="F203" s="56"/>
      <c r="G203" s="56"/>
      <c r="H203" s="57"/>
      <c r="I203" s="58"/>
      <c r="J203" s="58"/>
      <c r="K203" s="55"/>
      <c r="L203" s="59"/>
      <c r="M203" s="59"/>
      <c r="N203" s="59"/>
      <c r="O203" s="54"/>
      <c r="P203" s="60"/>
      <c r="Q203" s="66"/>
      <c r="R203" s="67"/>
      <c r="S203" s="56"/>
      <c r="T203" s="56"/>
      <c r="U203" s="63"/>
      <c r="V203" s="64"/>
      <c r="W203" s="55"/>
      <c r="X203" s="63"/>
      <c r="Y203" s="54"/>
      <c r="Z203" s="65"/>
      <c r="AA203" s="66"/>
      <c r="AB203" s="67"/>
      <c r="AC203" s="56"/>
      <c r="AD203" s="56"/>
      <c r="AE203" s="64"/>
      <c r="AF203" s="64"/>
      <c r="AG203" s="55"/>
      <c r="AH203" s="68"/>
      <c r="AI203" s="54"/>
      <c r="AJ203" s="69"/>
      <c r="AK203" s="70"/>
      <c r="AL203" s="71"/>
      <c r="AM203" s="56"/>
      <c r="AN203" s="56"/>
      <c r="AO203" s="64"/>
      <c r="AP203" s="64"/>
      <c r="AQ203" s="55"/>
      <c r="AR203" s="68"/>
      <c r="AS203" s="54"/>
      <c r="AT203" s="69"/>
      <c r="AU203" s="61"/>
      <c r="AV203" s="62"/>
      <c r="AW203" s="56"/>
      <c r="AX203" s="56"/>
      <c r="AY203" s="64"/>
      <c r="AZ203" s="64"/>
      <c r="BA203" s="55"/>
      <c r="BB203" s="72"/>
      <c r="BC203" s="68"/>
      <c r="BD203" s="69"/>
      <c r="BE203" s="66"/>
      <c r="BF203" s="67"/>
      <c r="BG203" s="56"/>
      <c r="BH203" s="56"/>
      <c r="BI203" s="64"/>
      <c r="BJ203" s="64"/>
      <c r="BK203" s="57"/>
      <c r="BL203" s="73"/>
      <c r="BM203" s="76"/>
      <c r="BN203" s="74"/>
      <c r="BO203" s="75"/>
      <c r="BP203" s="66"/>
      <c r="BQ203" s="74"/>
    </row>
    <row r="204" spans="1:69" s="44" customFormat="1" ht="22.35" customHeight="1" x14ac:dyDescent="0.2">
      <c r="A204" s="100"/>
      <c r="B204" s="100"/>
      <c r="C204" s="100"/>
      <c r="D204" s="54"/>
      <c r="E204" s="55"/>
      <c r="F204" s="56"/>
      <c r="G204" s="56"/>
      <c r="H204" s="57"/>
      <c r="I204" s="58"/>
      <c r="J204" s="58"/>
      <c r="K204" s="55"/>
      <c r="L204" s="59"/>
      <c r="M204" s="59"/>
      <c r="N204" s="59"/>
      <c r="O204" s="54"/>
      <c r="P204" s="60"/>
      <c r="Q204" s="66"/>
      <c r="R204" s="67"/>
      <c r="S204" s="56"/>
      <c r="T204" s="56"/>
      <c r="U204" s="63"/>
      <c r="V204" s="64"/>
      <c r="W204" s="55"/>
      <c r="X204" s="63"/>
      <c r="Y204" s="54"/>
      <c r="Z204" s="65"/>
      <c r="AA204" s="66"/>
      <c r="AB204" s="67"/>
      <c r="AC204" s="56"/>
      <c r="AD204" s="56"/>
      <c r="AE204" s="64"/>
      <c r="AF204" s="64"/>
      <c r="AG204" s="55"/>
      <c r="AH204" s="68"/>
      <c r="AI204" s="54"/>
      <c r="AJ204" s="69"/>
      <c r="AK204" s="61"/>
      <c r="AL204" s="62"/>
      <c r="AM204" s="56"/>
      <c r="AN204" s="56"/>
      <c r="AO204" s="64"/>
      <c r="AP204" s="64"/>
      <c r="AQ204" s="55"/>
      <c r="AR204" s="68"/>
      <c r="AS204" s="54"/>
      <c r="AT204" s="69"/>
      <c r="AU204" s="61"/>
      <c r="AV204" s="62"/>
      <c r="AW204" s="56"/>
      <c r="AX204" s="56"/>
      <c r="AY204" s="64"/>
      <c r="AZ204" s="64"/>
      <c r="BA204" s="55"/>
      <c r="BB204" s="72"/>
      <c r="BC204" s="68"/>
      <c r="BD204" s="69"/>
      <c r="BE204" s="76"/>
      <c r="BF204" s="59"/>
      <c r="BG204" s="56"/>
      <c r="BH204" s="56"/>
      <c r="BI204" s="64"/>
      <c r="BJ204" s="64"/>
      <c r="BK204" s="57"/>
      <c r="BL204" s="73"/>
      <c r="BM204" s="70"/>
      <c r="BN204" s="74"/>
      <c r="BO204" s="75"/>
      <c r="BP204" s="66"/>
      <c r="BQ204" s="74"/>
    </row>
    <row r="205" spans="1:69" s="44" customFormat="1" ht="22.35" customHeight="1" x14ac:dyDescent="0.2">
      <c r="A205" s="100"/>
      <c r="B205" s="100"/>
      <c r="C205" s="100"/>
      <c r="D205" s="54"/>
      <c r="E205" s="55"/>
      <c r="F205" s="56"/>
      <c r="G205" s="56"/>
      <c r="H205" s="57"/>
      <c r="I205" s="58"/>
      <c r="J205" s="58"/>
      <c r="K205" s="55"/>
      <c r="L205" s="59"/>
      <c r="M205" s="59"/>
      <c r="N205" s="59"/>
      <c r="O205" s="54"/>
      <c r="P205" s="60"/>
      <c r="Q205" s="66"/>
      <c r="R205" s="67"/>
      <c r="S205" s="56"/>
      <c r="T205" s="56"/>
      <c r="U205" s="63"/>
      <c r="V205" s="64"/>
      <c r="W205" s="55"/>
      <c r="X205" s="63"/>
      <c r="Y205" s="54"/>
      <c r="Z205" s="65"/>
      <c r="AA205" s="66"/>
      <c r="AB205" s="67"/>
      <c r="AC205" s="56"/>
      <c r="AD205" s="56"/>
      <c r="AE205" s="64"/>
      <c r="AF205" s="64"/>
      <c r="AG205" s="55"/>
      <c r="AH205" s="68"/>
      <c r="AI205" s="54"/>
      <c r="AJ205" s="69"/>
      <c r="AK205" s="70"/>
      <c r="AL205" s="71"/>
      <c r="AM205" s="56"/>
      <c r="AN205" s="56"/>
      <c r="AO205" s="64"/>
      <c r="AP205" s="64"/>
      <c r="AQ205" s="55"/>
      <c r="AR205" s="68"/>
      <c r="AS205" s="54"/>
      <c r="AT205" s="69"/>
      <c r="AU205" s="61"/>
      <c r="AV205" s="62"/>
      <c r="AW205" s="56"/>
      <c r="AX205" s="56"/>
      <c r="AY205" s="64"/>
      <c r="AZ205" s="64"/>
      <c r="BA205" s="55"/>
      <c r="BB205" s="72"/>
      <c r="BC205" s="68"/>
      <c r="BD205" s="69"/>
      <c r="BE205" s="66"/>
      <c r="BF205" s="67"/>
      <c r="BG205" s="56"/>
      <c r="BH205" s="56"/>
      <c r="BI205" s="64"/>
      <c r="BJ205" s="64"/>
      <c r="BK205" s="57"/>
      <c r="BL205" s="73"/>
      <c r="BM205" s="76"/>
      <c r="BN205" s="74"/>
      <c r="BO205" s="75"/>
      <c r="BP205" s="66"/>
      <c r="BQ205" s="74"/>
    </row>
    <row r="206" spans="1:69" s="44" customFormat="1" ht="22.35" customHeight="1" x14ac:dyDescent="0.2">
      <c r="A206" s="100"/>
      <c r="B206" s="100"/>
      <c r="C206" s="100"/>
      <c r="D206" s="54"/>
      <c r="E206" s="55"/>
      <c r="F206" s="56"/>
      <c r="G206" s="56"/>
      <c r="H206" s="57"/>
      <c r="I206" s="58"/>
      <c r="J206" s="58"/>
      <c r="K206" s="55"/>
      <c r="L206" s="59"/>
      <c r="M206" s="59"/>
      <c r="N206" s="59"/>
      <c r="O206" s="54"/>
      <c r="P206" s="60"/>
      <c r="Q206" s="66"/>
      <c r="R206" s="67"/>
      <c r="S206" s="56"/>
      <c r="T206" s="56"/>
      <c r="U206" s="63"/>
      <c r="V206" s="64"/>
      <c r="W206" s="55"/>
      <c r="X206" s="63"/>
      <c r="Y206" s="54"/>
      <c r="Z206" s="65"/>
      <c r="AA206" s="61"/>
      <c r="AB206" s="62"/>
      <c r="AC206" s="56"/>
      <c r="AD206" s="56"/>
      <c r="AE206" s="64"/>
      <c r="AF206" s="64"/>
      <c r="AG206" s="55"/>
      <c r="AH206" s="68"/>
      <c r="AI206" s="54"/>
      <c r="AJ206" s="69"/>
      <c r="AK206" s="61"/>
      <c r="AL206" s="62"/>
      <c r="AM206" s="56"/>
      <c r="AN206" s="56"/>
      <c r="AO206" s="64"/>
      <c r="AP206" s="64"/>
      <c r="AQ206" s="55"/>
      <c r="AR206" s="68"/>
      <c r="AS206" s="54"/>
      <c r="AT206" s="69"/>
      <c r="AU206" s="61"/>
      <c r="AV206" s="62"/>
      <c r="AW206" s="56"/>
      <c r="AX206" s="56"/>
      <c r="AY206" s="64"/>
      <c r="AZ206" s="64"/>
      <c r="BA206" s="55"/>
      <c r="BB206" s="72"/>
      <c r="BC206" s="68"/>
      <c r="BD206" s="69"/>
      <c r="BE206" s="61"/>
      <c r="BF206" s="62"/>
      <c r="BG206" s="56"/>
      <c r="BH206" s="56"/>
      <c r="BI206" s="64"/>
      <c r="BJ206" s="64"/>
      <c r="BK206" s="57"/>
      <c r="BL206" s="73"/>
      <c r="BM206" s="70"/>
      <c r="BN206" s="74"/>
      <c r="BO206" s="75"/>
      <c r="BP206" s="66"/>
      <c r="BQ206" s="74"/>
    </row>
    <row r="207" spans="1:69" s="44" customFormat="1" ht="22.35" customHeight="1" x14ac:dyDescent="0.2">
      <c r="A207" s="100"/>
      <c r="B207" s="100"/>
      <c r="C207" s="100"/>
      <c r="D207" s="54"/>
      <c r="E207" s="55"/>
      <c r="F207" s="56"/>
      <c r="G207" s="56"/>
      <c r="H207" s="57"/>
      <c r="I207" s="58"/>
      <c r="J207" s="58"/>
      <c r="K207" s="55"/>
      <c r="L207" s="59"/>
      <c r="M207" s="59"/>
      <c r="N207" s="59"/>
      <c r="O207" s="54"/>
      <c r="P207" s="60"/>
      <c r="Q207" s="66"/>
      <c r="R207" s="67"/>
      <c r="S207" s="56"/>
      <c r="T207" s="56"/>
      <c r="U207" s="63"/>
      <c r="V207" s="64"/>
      <c r="W207" s="55"/>
      <c r="X207" s="63"/>
      <c r="Y207" s="54"/>
      <c r="Z207" s="65"/>
      <c r="AA207" s="66"/>
      <c r="AB207" s="67"/>
      <c r="AC207" s="56"/>
      <c r="AD207" s="56"/>
      <c r="AE207" s="64"/>
      <c r="AF207" s="64"/>
      <c r="AG207" s="55"/>
      <c r="AH207" s="68"/>
      <c r="AI207" s="54"/>
      <c r="AJ207" s="69"/>
      <c r="AK207" s="70"/>
      <c r="AL207" s="71"/>
      <c r="AM207" s="56"/>
      <c r="AN207" s="56"/>
      <c r="AO207" s="64"/>
      <c r="AP207" s="64"/>
      <c r="AQ207" s="55"/>
      <c r="AR207" s="68"/>
      <c r="AS207" s="54"/>
      <c r="AT207" s="69"/>
      <c r="AU207" s="76"/>
      <c r="AV207" s="59"/>
      <c r="AW207" s="56"/>
      <c r="AX207" s="56"/>
      <c r="AY207" s="64"/>
      <c r="AZ207" s="64"/>
      <c r="BA207" s="55"/>
      <c r="BB207" s="72"/>
      <c r="BC207" s="68"/>
      <c r="BD207" s="69"/>
      <c r="BE207" s="66"/>
      <c r="BF207" s="67"/>
      <c r="BG207" s="56"/>
      <c r="BH207" s="56"/>
      <c r="BI207" s="64"/>
      <c r="BJ207" s="64"/>
      <c r="BK207" s="57"/>
      <c r="BL207" s="73"/>
      <c r="BM207" s="76"/>
      <c r="BN207" s="74"/>
      <c r="BO207" s="75"/>
      <c r="BP207" s="66"/>
      <c r="BQ207" s="74"/>
    </row>
    <row r="208" spans="1:69" s="44" customFormat="1" ht="22.35" customHeight="1" x14ac:dyDescent="0.2">
      <c r="A208" s="100"/>
      <c r="B208" s="100"/>
      <c r="C208" s="100"/>
      <c r="D208" s="54"/>
      <c r="E208" s="55"/>
      <c r="F208" s="56"/>
      <c r="G208" s="56"/>
      <c r="H208" s="57"/>
      <c r="I208" s="58"/>
      <c r="J208" s="58"/>
      <c r="K208" s="55"/>
      <c r="L208" s="59"/>
      <c r="M208" s="59"/>
      <c r="N208" s="59"/>
      <c r="O208" s="54"/>
      <c r="P208" s="60"/>
      <c r="Q208" s="66"/>
      <c r="R208" s="67"/>
      <c r="S208" s="56"/>
      <c r="T208" s="56"/>
      <c r="U208" s="63"/>
      <c r="V208" s="64"/>
      <c r="W208" s="55"/>
      <c r="X208" s="63"/>
      <c r="Y208" s="54"/>
      <c r="Z208" s="65"/>
      <c r="AA208" s="66"/>
      <c r="AB208" s="67"/>
      <c r="AC208" s="56"/>
      <c r="AD208" s="56"/>
      <c r="AE208" s="64"/>
      <c r="AF208" s="64"/>
      <c r="AG208" s="55"/>
      <c r="AH208" s="68"/>
      <c r="AI208" s="54"/>
      <c r="AJ208" s="69"/>
      <c r="AK208" s="76"/>
      <c r="AL208" s="59"/>
      <c r="AM208" s="56"/>
      <c r="AN208" s="56"/>
      <c r="AO208" s="64"/>
      <c r="AP208" s="64"/>
      <c r="AQ208" s="55"/>
      <c r="AR208" s="68"/>
      <c r="AS208" s="54"/>
      <c r="AT208" s="69"/>
      <c r="AU208" s="61"/>
      <c r="AV208" s="62"/>
      <c r="AW208" s="56"/>
      <c r="AX208" s="56"/>
      <c r="AY208" s="64"/>
      <c r="AZ208" s="64"/>
      <c r="BA208" s="55"/>
      <c r="BB208" s="72"/>
      <c r="BC208" s="68"/>
      <c r="BD208" s="69"/>
      <c r="BE208" s="70"/>
      <c r="BF208" s="71"/>
      <c r="BG208" s="56"/>
      <c r="BH208" s="56"/>
      <c r="BI208" s="64"/>
      <c r="BJ208" s="64"/>
      <c r="BK208" s="57"/>
      <c r="BL208" s="73"/>
      <c r="BM208" s="70"/>
      <c r="BN208" s="74"/>
      <c r="BO208" s="75"/>
      <c r="BP208" s="66"/>
      <c r="BQ208" s="74"/>
    </row>
    <row r="209" spans="1:69" s="44" customFormat="1" ht="22.35" customHeight="1" x14ac:dyDescent="0.2">
      <c r="A209" s="100"/>
      <c r="B209" s="100"/>
      <c r="C209" s="100"/>
      <c r="D209" s="54"/>
      <c r="E209" s="55"/>
      <c r="F209" s="56"/>
      <c r="G209" s="56"/>
      <c r="H209" s="57"/>
      <c r="I209" s="58"/>
      <c r="J209" s="58"/>
      <c r="K209" s="55"/>
      <c r="L209" s="59"/>
      <c r="M209" s="59"/>
      <c r="N209" s="59"/>
      <c r="O209" s="54"/>
      <c r="P209" s="60"/>
      <c r="Q209" s="66"/>
      <c r="R209" s="67"/>
      <c r="S209" s="56"/>
      <c r="T209" s="56"/>
      <c r="U209" s="63"/>
      <c r="V209" s="64"/>
      <c r="W209" s="55"/>
      <c r="X209" s="63"/>
      <c r="Y209" s="54"/>
      <c r="Z209" s="65"/>
      <c r="AA209" s="70"/>
      <c r="AB209" s="71"/>
      <c r="AC209" s="56"/>
      <c r="AD209" s="56"/>
      <c r="AE209" s="64"/>
      <c r="AF209" s="64"/>
      <c r="AG209" s="55"/>
      <c r="AH209" s="68"/>
      <c r="AI209" s="54"/>
      <c r="AJ209" s="69"/>
      <c r="AK209" s="70"/>
      <c r="AL209" s="71"/>
      <c r="AM209" s="56"/>
      <c r="AN209" s="56"/>
      <c r="AO209" s="64"/>
      <c r="AP209" s="64"/>
      <c r="AQ209" s="55"/>
      <c r="AR209" s="68"/>
      <c r="AS209" s="54"/>
      <c r="AT209" s="69"/>
      <c r="AU209" s="61"/>
      <c r="AV209" s="62"/>
      <c r="AW209" s="56"/>
      <c r="AX209" s="56"/>
      <c r="AY209" s="64"/>
      <c r="AZ209" s="64"/>
      <c r="BA209" s="55"/>
      <c r="BB209" s="72"/>
      <c r="BC209" s="68"/>
      <c r="BD209" s="69"/>
      <c r="BE209" s="66"/>
      <c r="BF209" s="67"/>
      <c r="BG209" s="56"/>
      <c r="BH209" s="56"/>
      <c r="BI209" s="64"/>
      <c r="BJ209" s="64"/>
      <c r="BK209" s="57"/>
      <c r="BL209" s="73"/>
      <c r="BM209" s="76"/>
      <c r="BN209" s="74"/>
      <c r="BO209" s="75"/>
      <c r="BP209" s="66"/>
      <c r="BQ209" s="74"/>
    </row>
    <row r="210" spans="1:69" s="44" customFormat="1" ht="22.35" customHeight="1" x14ac:dyDescent="0.2">
      <c r="A210" s="100"/>
      <c r="B210" s="100"/>
      <c r="C210" s="100"/>
      <c r="D210" s="54"/>
      <c r="E210" s="55"/>
      <c r="F210" s="56"/>
      <c r="G210" s="56"/>
      <c r="H210" s="57"/>
      <c r="I210" s="58"/>
      <c r="J210" s="58"/>
      <c r="K210" s="55"/>
      <c r="L210" s="59"/>
      <c r="M210" s="59"/>
      <c r="N210" s="59"/>
      <c r="O210" s="54"/>
      <c r="P210" s="60"/>
      <c r="Q210" s="66"/>
      <c r="R210" s="67"/>
      <c r="S210" s="56"/>
      <c r="T210" s="56"/>
      <c r="U210" s="63"/>
      <c r="V210" s="64"/>
      <c r="W210" s="55"/>
      <c r="X210" s="63"/>
      <c r="Y210" s="54"/>
      <c r="Z210" s="65"/>
      <c r="AA210" s="66"/>
      <c r="AB210" s="67"/>
      <c r="AC210" s="56"/>
      <c r="AD210" s="56"/>
      <c r="AE210" s="64"/>
      <c r="AF210" s="64"/>
      <c r="AG210" s="55"/>
      <c r="AH210" s="68"/>
      <c r="AI210" s="54"/>
      <c r="AJ210" s="69"/>
      <c r="AK210" s="70"/>
      <c r="AL210" s="71"/>
      <c r="AM210" s="56"/>
      <c r="AN210" s="56"/>
      <c r="AO210" s="64"/>
      <c r="AP210" s="64"/>
      <c r="AQ210" s="55"/>
      <c r="AR210" s="68"/>
      <c r="AS210" s="54"/>
      <c r="AT210" s="69"/>
      <c r="AU210" s="61"/>
      <c r="AV210" s="62"/>
      <c r="AW210" s="56"/>
      <c r="AX210" s="56"/>
      <c r="AY210" s="64"/>
      <c r="AZ210" s="64"/>
      <c r="BA210" s="55"/>
      <c r="BB210" s="72"/>
      <c r="BC210" s="68"/>
      <c r="BD210" s="69"/>
      <c r="BE210" s="66"/>
      <c r="BF210" s="67"/>
      <c r="BG210" s="56"/>
      <c r="BH210" s="56"/>
      <c r="BI210" s="64"/>
      <c r="BJ210" s="64"/>
      <c r="BK210" s="57"/>
      <c r="BL210" s="73"/>
      <c r="BM210" s="76"/>
      <c r="BN210" s="74"/>
      <c r="BO210" s="75"/>
      <c r="BP210" s="66"/>
      <c r="BQ210" s="74"/>
    </row>
    <row r="211" spans="1:69" s="44" customFormat="1" ht="22.35" customHeight="1" x14ac:dyDescent="0.2">
      <c r="A211" s="100"/>
      <c r="B211" s="100"/>
      <c r="C211" s="100"/>
      <c r="D211" s="54"/>
      <c r="E211" s="55"/>
      <c r="F211" s="56"/>
      <c r="G211" s="56"/>
      <c r="H211" s="57"/>
      <c r="I211" s="58"/>
      <c r="J211" s="58"/>
      <c r="K211" s="55"/>
      <c r="L211" s="59"/>
      <c r="M211" s="59"/>
      <c r="N211" s="59"/>
      <c r="O211" s="54"/>
      <c r="P211" s="60"/>
      <c r="Q211" s="66"/>
      <c r="R211" s="67"/>
      <c r="S211" s="56"/>
      <c r="T211" s="56"/>
      <c r="U211" s="63"/>
      <c r="V211" s="64"/>
      <c r="W211" s="55"/>
      <c r="X211" s="63"/>
      <c r="Y211" s="54"/>
      <c r="Z211" s="65"/>
      <c r="AA211" s="70"/>
      <c r="AB211" s="71"/>
      <c r="AC211" s="56"/>
      <c r="AD211" s="56"/>
      <c r="AE211" s="64"/>
      <c r="AF211" s="64"/>
      <c r="AG211" s="55"/>
      <c r="AH211" s="68"/>
      <c r="AI211" s="54"/>
      <c r="AJ211" s="69"/>
      <c r="AK211" s="61"/>
      <c r="AL211" s="62"/>
      <c r="AM211" s="56"/>
      <c r="AN211" s="56"/>
      <c r="AO211" s="64"/>
      <c r="AP211" s="64"/>
      <c r="AQ211" s="55"/>
      <c r="AR211" s="68"/>
      <c r="AS211" s="54"/>
      <c r="AT211" s="69"/>
      <c r="AU211" s="61"/>
      <c r="AV211" s="62"/>
      <c r="AW211" s="56"/>
      <c r="AX211" s="56"/>
      <c r="AY211" s="64"/>
      <c r="AZ211" s="64"/>
      <c r="BA211" s="55"/>
      <c r="BB211" s="72"/>
      <c r="BC211" s="68"/>
      <c r="BD211" s="69"/>
      <c r="BE211" s="70"/>
      <c r="BF211" s="71"/>
      <c r="BG211" s="56"/>
      <c r="BH211" s="56"/>
      <c r="BI211" s="64"/>
      <c r="BJ211" s="64"/>
      <c r="BK211" s="57"/>
      <c r="BL211" s="73"/>
      <c r="BM211" s="70"/>
      <c r="BN211" s="74"/>
      <c r="BO211" s="75"/>
      <c r="BP211" s="66"/>
      <c r="BQ211" s="74"/>
    </row>
    <row r="212" spans="1:69" s="44" customFormat="1" ht="22.35" customHeight="1" x14ac:dyDescent="0.2">
      <c r="A212" s="100"/>
      <c r="B212" s="100"/>
      <c r="C212" s="100"/>
      <c r="D212" s="54"/>
      <c r="E212" s="55"/>
      <c r="F212" s="56"/>
      <c r="G212" s="56"/>
      <c r="H212" s="57"/>
      <c r="I212" s="58"/>
      <c r="J212" s="58"/>
      <c r="K212" s="55"/>
      <c r="L212" s="59"/>
      <c r="M212" s="59"/>
      <c r="N212" s="59"/>
      <c r="O212" s="54"/>
      <c r="P212" s="60"/>
      <c r="Q212" s="66"/>
      <c r="R212" s="67"/>
      <c r="S212" s="56"/>
      <c r="T212" s="56"/>
      <c r="U212" s="63"/>
      <c r="V212" s="64"/>
      <c r="W212" s="55"/>
      <c r="X212" s="63"/>
      <c r="Y212" s="54"/>
      <c r="Z212" s="65"/>
      <c r="AA212" s="66"/>
      <c r="AB212" s="67"/>
      <c r="AC212" s="56"/>
      <c r="AD212" s="56"/>
      <c r="AE212" s="64"/>
      <c r="AF212" s="64"/>
      <c r="AG212" s="55"/>
      <c r="AH212" s="68"/>
      <c r="AI212" s="54"/>
      <c r="AJ212" s="69"/>
      <c r="AK212" s="61"/>
      <c r="AL212" s="62"/>
      <c r="AM212" s="56"/>
      <c r="AN212" s="56"/>
      <c r="AO212" s="64"/>
      <c r="AP212" s="64"/>
      <c r="AQ212" s="55"/>
      <c r="AR212" s="68"/>
      <c r="AS212" s="54"/>
      <c r="AT212" s="69"/>
      <c r="AU212" s="61"/>
      <c r="AV212" s="62"/>
      <c r="AW212" s="56"/>
      <c r="AX212" s="56"/>
      <c r="AY212" s="64"/>
      <c r="AZ212" s="64"/>
      <c r="BA212" s="55"/>
      <c r="BB212" s="72"/>
      <c r="BC212" s="68"/>
      <c r="BD212" s="69"/>
      <c r="BE212" s="76"/>
      <c r="BF212" s="59"/>
      <c r="BG212" s="56"/>
      <c r="BH212" s="56"/>
      <c r="BI212" s="64"/>
      <c r="BJ212" s="64"/>
      <c r="BK212" s="57"/>
      <c r="BL212" s="73"/>
      <c r="BM212" s="76"/>
      <c r="BN212" s="74"/>
      <c r="BO212" s="75"/>
      <c r="BP212" s="66"/>
      <c r="BQ212" s="74"/>
    </row>
    <row r="213" spans="1:69" s="44" customFormat="1" ht="22.35" customHeight="1" x14ac:dyDescent="0.2">
      <c r="A213" s="100"/>
      <c r="B213" s="100"/>
      <c r="C213" s="100"/>
      <c r="D213" s="54"/>
      <c r="E213" s="55"/>
      <c r="F213" s="56"/>
      <c r="G213" s="56"/>
      <c r="H213" s="57"/>
      <c r="I213" s="58"/>
      <c r="J213" s="58"/>
      <c r="K213" s="55"/>
      <c r="L213" s="59"/>
      <c r="M213" s="59"/>
      <c r="N213" s="59"/>
      <c r="O213" s="54"/>
      <c r="P213" s="60"/>
      <c r="Q213" s="66"/>
      <c r="R213" s="67"/>
      <c r="S213" s="56"/>
      <c r="T213" s="56"/>
      <c r="U213" s="63"/>
      <c r="V213" s="64"/>
      <c r="W213" s="55"/>
      <c r="X213" s="63"/>
      <c r="Y213" s="54"/>
      <c r="Z213" s="65"/>
      <c r="AA213" s="76"/>
      <c r="AB213" s="59"/>
      <c r="AC213" s="56"/>
      <c r="AD213" s="56"/>
      <c r="AE213" s="64"/>
      <c r="AF213" s="64"/>
      <c r="AG213" s="55"/>
      <c r="AH213" s="68"/>
      <c r="AI213" s="54"/>
      <c r="AJ213" s="69"/>
      <c r="AK213" s="70"/>
      <c r="AL213" s="71"/>
      <c r="AM213" s="56"/>
      <c r="AN213" s="56"/>
      <c r="AO213" s="64"/>
      <c r="AP213" s="64"/>
      <c r="AQ213" s="55"/>
      <c r="AR213" s="68"/>
      <c r="AS213" s="54"/>
      <c r="AT213" s="69"/>
      <c r="AU213" s="61"/>
      <c r="AV213" s="62"/>
      <c r="AW213" s="56"/>
      <c r="AX213" s="56"/>
      <c r="AY213" s="64"/>
      <c r="AZ213" s="64"/>
      <c r="BA213" s="55"/>
      <c r="BB213" s="72"/>
      <c r="BC213" s="68"/>
      <c r="BD213" s="69"/>
      <c r="BE213" s="70"/>
      <c r="BF213" s="71"/>
      <c r="BG213" s="56"/>
      <c r="BH213" s="56"/>
      <c r="BI213" s="64"/>
      <c r="BJ213" s="64"/>
      <c r="BK213" s="57"/>
      <c r="BL213" s="73"/>
      <c r="BM213" s="76"/>
      <c r="BN213" s="74"/>
      <c r="BO213" s="75"/>
      <c r="BP213" s="66"/>
      <c r="BQ213" s="74"/>
    </row>
    <row r="214" spans="1:69" s="44" customFormat="1" ht="22.35" customHeight="1" x14ac:dyDescent="0.2">
      <c r="A214" s="100"/>
      <c r="B214" s="100"/>
      <c r="C214" s="100"/>
      <c r="D214" s="54"/>
      <c r="E214" s="55"/>
      <c r="F214" s="56"/>
      <c r="G214" s="56"/>
      <c r="H214" s="57"/>
      <c r="I214" s="58"/>
      <c r="J214" s="58"/>
      <c r="K214" s="55"/>
      <c r="L214" s="59"/>
      <c r="M214" s="59"/>
      <c r="N214" s="59"/>
      <c r="O214" s="54"/>
      <c r="P214" s="60"/>
      <c r="Q214" s="66"/>
      <c r="R214" s="67"/>
      <c r="S214" s="56"/>
      <c r="T214" s="56"/>
      <c r="U214" s="63"/>
      <c r="V214" s="64"/>
      <c r="W214" s="55"/>
      <c r="X214" s="63"/>
      <c r="Y214" s="54"/>
      <c r="Z214" s="65"/>
      <c r="AA214" s="70"/>
      <c r="AB214" s="71"/>
      <c r="AC214" s="56"/>
      <c r="AD214" s="56"/>
      <c r="AE214" s="64"/>
      <c r="AF214" s="64"/>
      <c r="AG214" s="55"/>
      <c r="AH214" s="68"/>
      <c r="AI214" s="54"/>
      <c r="AJ214" s="69"/>
      <c r="AK214" s="61"/>
      <c r="AL214" s="62"/>
      <c r="AM214" s="56"/>
      <c r="AN214" s="56"/>
      <c r="AO214" s="64"/>
      <c r="AP214" s="64"/>
      <c r="AQ214" s="55"/>
      <c r="AR214" s="68"/>
      <c r="AS214" s="54"/>
      <c r="AT214" s="69"/>
      <c r="AU214" s="61"/>
      <c r="AV214" s="62"/>
      <c r="AW214" s="56"/>
      <c r="AX214" s="56"/>
      <c r="AY214" s="64"/>
      <c r="AZ214" s="64"/>
      <c r="BA214" s="55"/>
      <c r="BB214" s="72"/>
      <c r="BC214" s="68"/>
      <c r="BD214" s="69"/>
      <c r="BE214" s="61"/>
      <c r="BF214" s="62"/>
      <c r="BG214" s="56"/>
      <c r="BH214" s="56"/>
      <c r="BI214" s="64"/>
      <c r="BJ214" s="64"/>
      <c r="BK214" s="57"/>
      <c r="BL214" s="73"/>
      <c r="BM214" s="70"/>
      <c r="BN214" s="74"/>
      <c r="BO214" s="75"/>
      <c r="BP214" s="66"/>
      <c r="BQ214" s="74"/>
    </row>
    <row r="215" spans="1:69" s="44" customFormat="1" ht="22.35" customHeight="1" x14ac:dyDescent="0.2">
      <c r="A215" s="100"/>
      <c r="B215" s="100"/>
      <c r="C215" s="100"/>
      <c r="D215" s="54"/>
      <c r="E215" s="55"/>
      <c r="F215" s="56"/>
      <c r="G215" s="56"/>
      <c r="H215" s="57"/>
      <c r="I215" s="58"/>
      <c r="J215" s="58"/>
      <c r="K215" s="55"/>
      <c r="L215" s="59"/>
      <c r="M215" s="59"/>
      <c r="N215" s="59"/>
      <c r="O215" s="54"/>
      <c r="P215" s="60"/>
      <c r="Q215" s="66"/>
      <c r="R215" s="67"/>
      <c r="S215" s="56"/>
      <c r="T215" s="56"/>
      <c r="U215" s="63"/>
      <c r="V215" s="64"/>
      <c r="W215" s="55"/>
      <c r="X215" s="63"/>
      <c r="Y215" s="54"/>
      <c r="Z215" s="65"/>
      <c r="AA215" s="70"/>
      <c r="AB215" s="71"/>
      <c r="AC215" s="56"/>
      <c r="AD215" s="56"/>
      <c r="AE215" s="64"/>
      <c r="AF215" s="64"/>
      <c r="AG215" s="55"/>
      <c r="AH215" s="68"/>
      <c r="AI215" s="54"/>
      <c r="AJ215" s="69"/>
      <c r="AK215" s="61"/>
      <c r="AL215" s="62"/>
      <c r="AM215" s="56"/>
      <c r="AN215" s="56"/>
      <c r="AO215" s="64"/>
      <c r="AP215" s="64"/>
      <c r="AQ215" s="55"/>
      <c r="AR215" s="68"/>
      <c r="AS215" s="54"/>
      <c r="AT215" s="69"/>
      <c r="AU215" s="61"/>
      <c r="AV215" s="62"/>
      <c r="AW215" s="56"/>
      <c r="AX215" s="56"/>
      <c r="AY215" s="64"/>
      <c r="AZ215" s="64"/>
      <c r="BA215" s="55"/>
      <c r="BB215" s="72"/>
      <c r="BC215" s="68"/>
      <c r="BD215" s="69"/>
      <c r="BE215" s="66"/>
      <c r="BF215" s="67"/>
      <c r="BG215" s="56"/>
      <c r="BH215" s="56"/>
      <c r="BI215" s="64"/>
      <c r="BJ215" s="64"/>
      <c r="BK215" s="57"/>
      <c r="BL215" s="73"/>
      <c r="BM215" s="70"/>
      <c r="BN215" s="74"/>
      <c r="BO215" s="75"/>
      <c r="BP215" s="66"/>
      <c r="BQ215" s="74"/>
    </row>
    <row r="216" spans="1:69" s="44" customFormat="1" ht="22.35" customHeight="1" x14ac:dyDescent="0.2">
      <c r="A216" s="100"/>
      <c r="B216" s="100"/>
      <c r="C216" s="100"/>
      <c r="D216" s="54"/>
      <c r="E216" s="55"/>
      <c r="F216" s="56"/>
      <c r="G216" s="56"/>
      <c r="H216" s="57"/>
      <c r="I216" s="58"/>
      <c r="J216" s="58"/>
      <c r="K216" s="55"/>
      <c r="L216" s="59"/>
      <c r="M216" s="59"/>
      <c r="N216" s="59"/>
      <c r="O216" s="54"/>
      <c r="P216" s="60"/>
      <c r="Q216" s="66"/>
      <c r="R216" s="67"/>
      <c r="S216" s="56"/>
      <c r="T216" s="56"/>
      <c r="U216" s="63"/>
      <c r="V216" s="64"/>
      <c r="W216" s="55"/>
      <c r="X216" s="63"/>
      <c r="Y216" s="54"/>
      <c r="Z216" s="65"/>
      <c r="AA216" s="70"/>
      <c r="AB216" s="71"/>
      <c r="AC216" s="56"/>
      <c r="AD216" s="56"/>
      <c r="AE216" s="64"/>
      <c r="AF216" s="64"/>
      <c r="AG216" s="55"/>
      <c r="AH216" s="68"/>
      <c r="AI216" s="54"/>
      <c r="AJ216" s="69"/>
      <c r="AK216" s="61"/>
      <c r="AL216" s="62"/>
      <c r="AM216" s="56"/>
      <c r="AN216" s="56"/>
      <c r="AO216" s="64"/>
      <c r="AP216" s="64"/>
      <c r="AQ216" s="55"/>
      <c r="AR216" s="68"/>
      <c r="AS216" s="54"/>
      <c r="AT216" s="69"/>
      <c r="AU216" s="61"/>
      <c r="AV216" s="62"/>
      <c r="AW216" s="56"/>
      <c r="AX216" s="56"/>
      <c r="AY216" s="64"/>
      <c r="AZ216" s="64"/>
      <c r="BA216" s="55"/>
      <c r="BB216" s="72"/>
      <c r="BC216" s="68"/>
      <c r="BD216" s="69"/>
      <c r="BE216" s="66"/>
      <c r="BF216" s="67"/>
      <c r="BG216" s="56"/>
      <c r="BH216" s="56"/>
      <c r="BI216" s="64"/>
      <c r="BJ216" s="64"/>
      <c r="BK216" s="57"/>
      <c r="BL216" s="73"/>
      <c r="BM216" s="76"/>
      <c r="BN216" s="74"/>
      <c r="BO216" s="75"/>
      <c r="BP216" s="66"/>
      <c r="BQ216" s="74"/>
    </row>
    <row r="217" spans="1:69" s="44" customFormat="1" ht="22.35" customHeight="1" x14ac:dyDescent="0.2">
      <c r="A217" s="100"/>
      <c r="B217" s="100"/>
      <c r="C217" s="100"/>
      <c r="D217" s="54"/>
      <c r="E217" s="55"/>
      <c r="F217" s="56"/>
      <c r="G217" s="56"/>
      <c r="H217" s="57"/>
      <c r="I217" s="58"/>
      <c r="J217" s="58"/>
      <c r="K217" s="55"/>
      <c r="L217" s="59"/>
      <c r="M217" s="59"/>
      <c r="N217" s="59"/>
      <c r="O217" s="54"/>
      <c r="P217" s="60"/>
      <c r="Q217" s="66"/>
      <c r="R217" s="67"/>
      <c r="S217" s="56"/>
      <c r="T217" s="56"/>
      <c r="U217" s="63"/>
      <c r="V217" s="64"/>
      <c r="W217" s="55"/>
      <c r="X217" s="63"/>
      <c r="Y217" s="54"/>
      <c r="Z217" s="65"/>
      <c r="AA217" s="70"/>
      <c r="AB217" s="71"/>
      <c r="AC217" s="56"/>
      <c r="AD217" s="56"/>
      <c r="AE217" s="64"/>
      <c r="AF217" s="64"/>
      <c r="AG217" s="55"/>
      <c r="AH217" s="68"/>
      <c r="AI217" s="54"/>
      <c r="AJ217" s="69"/>
      <c r="AK217" s="61"/>
      <c r="AL217" s="62"/>
      <c r="AM217" s="56"/>
      <c r="AN217" s="56"/>
      <c r="AO217" s="64"/>
      <c r="AP217" s="64"/>
      <c r="AQ217" s="55"/>
      <c r="AR217" s="68"/>
      <c r="AS217" s="54"/>
      <c r="AT217" s="69"/>
      <c r="AU217" s="61"/>
      <c r="AV217" s="62"/>
      <c r="AW217" s="56"/>
      <c r="AX217" s="56"/>
      <c r="AY217" s="64"/>
      <c r="AZ217" s="64"/>
      <c r="BA217" s="55"/>
      <c r="BB217" s="72"/>
      <c r="BC217" s="68"/>
      <c r="BD217" s="69"/>
      <c r="BE217" s="76"/>
      <c r="BF217" s="59"/>
      <c r="BG217" s="56"/>
      <c r="BH217" s="56"/>
      <c r="BI217" s="64"/>
      <c r="BJ217" s="64"/>
      <c r="BK217" s="57"/>
      <c r="BL217" s="73"/>
      <c r="BM217" s="76"/>
      <c r="BN217" s="74"/>
      <c r="BO217" s="75"/>
      <c r="BP217" s="66"/>
      <c r="BQ217" s="74"/>
    </row>
    <row r="218" spans="1:69" s="44" customFormat="1" ht="22.35" customHeight="1" x14ac:dyDescent="0.2">
      <c r="A218" s="100"/>
      <c r="B218" s="100"/>
      <c r="C218" s="100"/>
      <c r="D218" s="54"/>
      <c r="E218" s="55"/>
      <c r="F218" s="56"/>
      <c r="G218" s="56"/>
      <c r="H218" s="57"/>
      <c r="I218" s="58"/>
      <c r="J218" s="58"/>
      <c r="K218" s="55"/>
      <c r="L218" s="59"/>
      <c r="M218" s="59"/>
      <c r="N218" s="59"/>
      <c r="O218" s="54"/>
      <c r="P218" s="60"/>
      <c r="Q218" s="66"/>
      <c r="R218" s="67"/>
      <c r="S218" s="56"/>
      <c r="T218" s="56"/>
      <c r="U218" s="63"/>
      <c r="V218" s="64"/>
      <c r="W218" s="55"/>
      <c r="X218" s="63"/>
      <c r="Y218" s="54"/>
      <c r="Z218" s="65"/>
      <c r="AA218" s="66"/>
      <c r="AB218" s="67"/>
      <c r="AC218" s="56"/>
      <c r="AD218" s="56"/>
      <c r="AE218" s="64"/>
      <c r="AF218" s="64"/>
      <c r="AG218" s="55"/>
      <c r="AH218" s="68"/>
      <c r="AI218" s="54"/>
      <c r="AJ218" s="69"/>
      <c r="AK218" s="76"/>
      <c r="AL218" s="59"/>
      <c r="AM218" s="56"/>
      <c r="AN218" s="56"/>
      <c r="AO218" s="64"/>
      <c r="AP218" s="64"/>
      <c r="AQ218" s="55"/>
      <c r="AR218" s="68"/>
      <c r="AS218" s="54"/>
      <c r="AT218" s="69"/>
      <c r="AU218" s="61"/>
      <c r="AV218" s="62"/>
      <c r="AW218" s="56"/>
      <c r="AX218" s="56"/>
      <c r="AY218" s="64"/>
      <c r="AZ218" s="64"/>
      <c r="BA218" s="55"/>
      <c r="BB218" s="72"/>
      <c r="BC218" s="68"/>
      <c r="BD218" s="69"/>
      <c r="BE218" s="70"/>
      <c r="BF218" s="71"/>
      <c r="BG218" s="56"/>
      <c r="BH218" s="56"/>
      <c r="BI218" s="64"/>
      <c r="BJ218" s="64"/>
      <c r="BK218" s="57"/>
      <c r="BL218" s="73"/>
      <c r="BM218" s="70"/>
      <c r="BN218" s="74"/>
      <c r="BO218" s="75"/>
      <c r="BP218" s="66"/>
      <c r="BQ218" s="74"/>
    </row>
    <row r="219" spans="1:69" s="44" customFormat="1" ht="22.35" customHeight="1" x14ac:dyDescent="0.2">
      <c r="A219" s="100"/>
      <c r="B219" s="100"/>
      <c r="C219" s="100"/>
      <c r="D219" s="54"/>
      <c r="E219" s="55"/>
      <c r="F219" s="56"/>
      <c r="G219" s="56"/>
      <c r="H219" s="57"/>
      <c r="I219" s="58"/>
      <c r="J219" s="58"/>
      <c r="K219" s="55"/>
      <c r="L219" s="59"/>
      <c r="M219" s="59"/>
      <c r="N219" s="59"/>
      <c r="O219" s="54"/>
      <c r="P219" s="60"/>
      <c r="Q219" s="66"/>
      <c r="R219" s="67"/>
      <c r="S219" s="56"/>
      <c r="T219" s="56"/>
      <c r="U219" s="63"/>
      <c r="V219" s="64"/>
      <c r="W219" s="55"/>
      <c r="X219" s="63"/>
      <c r="Y219" s="54"/>
      <c r="Z219" s="65"/>
      <c r="AA219" s="61"/>
      <c r="AB219" s="62"/>
      <c r="AC219" s="56"/>
      <c r="AD219" s="56"/>
      <c r="AE219" s="64"/>
      <c r="AF219" s="64"/>
      <c r="AG219" s="55"/>
      <c r="AH219" s="68"/>
      <c r="AI219" s="54"/>
      <c r="AJ219" s="69"/>
      <c r="AK219" s="61"/>
      <c r="AL219" s="62"/>
      <c r="AM219" s="56"/>
      <c r="AN219" s="56"/>
      <c r="AO219" s="64"/>
      <c r="AP219" s="64"/>
      <c r="AQ219" s="55"/>
      <c r="AR219" s="68"/>
      <c r="AS219" s="54"/>
      <c r="AT219" s="69"/>
      <c r="AU219" s="61"/>
      <c r="AV219" s="62"/>
      <c r="AW219" s="56"/>
      <c r="AX219" s="56"/>
      <c r="AY219" s="64"/>
      <c r="AZ219" s="64"/>
      <c r="BA219" s="55"/>
      <c r="BB219" s="72"/>
      <c r="BC219" s="68"/>
      <c r="BD219" s="69"/>
      <c r="BE219" s="66"/>
      <c r="BF219" s="67"/>
      <c r="BG219" s="56"/>
      <c r="BH219" s="56"/>
      <c r="BI219" s="64"/>
      <c r="BJ219" s="64"/>
      <c r="BK219" s="57"/>
      <c r="BL219" s="73"/>
      <c r="BM219" s="76"/>
      <c r="BN219" s="74"/>
      <c r="BO219" s="75"/>
      <c r="BP219" s="66"/>
      <c r="BQ219" s="74"/>
    </row>
    <row r="220" spans="1:69" s="44" customFormat="1" ht="22.35" customHeight="1" x14ac:dyDescent="0.2">
      <c r="A220" s="100"/>
      <c r="B220" s="100"/>
      <c r="C220" s="100"/>
      <c r="D220" s="54"/>
      <c r="E220" s="55"/>
      <c r="F220" s="56"/>
      <c r="G220" s="56"/>
      <c r="H220" s="57"/>
      <c r="I220" s="58"/>
      <c r="J220" s="58"/>
      <c r="K220" s="55"/>
      <c r="L220" s="59"/>
      <c r="M220" s="59"/>
      <c r="N220" s="59"/>
      <c r="O220" s="54"/>
      <c r="P220" s="60"/>
      <c r="Q220" s="66"/>
      <c r="R220" s="67"/>
      <c r="S220" s="56"/>
      <c r="T220" s="56"/>
      <c r="U220" s="63"/>
      <c r="V220" s="64"/>
      <c r="W220" s="55"/>
      <c r="X220" s="63"/>
      <c r="Y220" s="54"/>
      <c r="Z220" s="65"/>
      <c r="AA220" s="76"/>
      <c r="AB220" s="59"/>
      <c r="AC220" s="56"/>
      <c r="AD220" s="56"/>
      <c r="AE220" s="64"/>
      <c r="AF220" s="64"/>
      <c r="AG220" s="55"/>
      <c r="AH220" s="68"/>
      <c r="AI220" s="54"/>
      <c r="AJ220" s="69"/>
      <c r="AK220" s="61"/>
      <c r="AL220" s="62"/>
      <c r="AM220" s="56"/>
      <c r="AN220" s="56"/>
      <c r="AO220" s="64"/>
      <c r="AP220" s="64"/>
      <c r="AQ220" s="55"/>
      <c r="AR220" s="68"/>
      <c r="AS220" s="54"/>
      <c r="AT220" s="69"/>
      <c r="AU220" s="61"/>
      <c r="AV220" s="62"/>
      <c r="AW220" s="56"/>
      <c r="AX220" s="56"/>
      <c r="AY220" s="64"/>
      <c r="AZ220" s="64"/>
      <c r="BA220" s="55"/>
      <c r="BB220" s="72"/>
      <c r="BC220" s="68"/>
      <c r="BD220" s="69"/>
      <c r="BE220" s="66"/>
      <c r="BF220" s="67"/>
      <c r="BG220" s="56"/>
      <c r="BH220" s="56"/>
      <c r="BI220" s="64"/>
      <c r="BJ220" s="64"/>
      <c r="BK220" s="57"/>
      <c r="BL220" s="73"/>
      <c r="BM220" s="76"/>
      <c r="BN220" s="74"/>
      <c r="BO220" s="75"/>
      <c r="BP220" s="66"/>
      <c r="BQ220" s="74"/>
    </row>
    <row r="221" spans="1:69" s="44" customFormat="1" ht="22.35" customHeight="1" x14ac:dyDescent="0.2">
      <c r="A221" s="100"/>
      <c r="B221" s="100"/>
      <c r="C221" s="100"/>
      <c r="D221" s="54"/>
      <c r="E221" s="55"/>
      <c r="F221" s="56"/>
      <c r="G221" s="56"/>
      <c r="H221" s="57"/>
      <c r="I221" s="58"/>
      <c r="J221" s="58"/>
      <c r="K221" s="55"/>
      <c r="L221" s="59"/>
      <c r="M221" s="59"/>
      <c r="N221" s="59"/>
      <c r="O221" s="54"/>
      <c r="P221" s="60"/>
      <c r="Q221" s="66"/>
      <c r="R221" s="67"/>
      <c r="S221" s="56"/>
      <c r="T221" s="56"/>
      <c r="U221" s="63"/>
      <c r="V221" s="64"/>
      <c r="W221" s="55"/>
      <c r="X221" s="63"/>
      <c r="Y221" s="54"/>
      <c r="Z221" s="65"/>
      <c r="AA221" s="61"/>
      <c r="AB221" s="62"/>
      <c r="AC221" s="56"/>
      <c r="AD221" s="56"/>
      <c r="AE221" s="64"/>
      <c r="AF221" s="64"/>
      <c r="AG221" s="55"/>
      <c r="AH221" s="68"/>
      <c r="AI221" s="54"/>
      <c r="AJ221" s="69"/>
      <c r="AK221" s="61"/>
      <c r="AL221" s="62"/>
      <c r="AM221" s="56"/>
      <c r="AN221" s="56"/>
      <c r="AO221" s="64"/>
      <c r="AP221" s="64"/>
      <c r="AQ221" s="55"/>
      <c r="AR221" s="68"/>
      <c r="AS221" s="54"/>
      <c r="AT221" s="69"/>
      <c r="AU221" s="61"/>
      <c r="AV221" s="62"/>
      <c r="AW221" s="56"/>
      <c r="AX221" s="56"/>
      <c r="AY221" s="64"/>
      <c r="AZ221" s="64"/>
      <c r="BA221" s="55"/>
      <c r="BB221" s="72"/>
      <c r="BC221" s="68"/>
      <c r="BD221" s="69"/>
      <c r="BE221" s="70"/>
      <c r="BF221" s="71"/>
      <c r="BG221" s="56"/>
      <c r="BH221" s="56"/>
      <c r="BI221" s="64"/>
      <c r="BJ221" s="64"/>
      <c r="BK221" s="57"/>
      <c r="BL221" s="73"/>
      <c r="BM221" s="70"/>
      <c r="BN221" s="74"/>
      <c r="BO221" s="75"/>
      <c r="BP221" s="66"/>
      <c r="BQ221" s="74"/>
    </row>
    <row r="222" spans="1:69" s="44" customFormat="1" ht="22.35" customHeight="1" x14ac:dyDescent="0.2">
      <c r="A222" s="100"/>
      <c r="B222" s="100"/>
      <c r="C222" s="100"/>
      <c r="D222" s="54"/>
      <c r="E222" s="55"/>
      <c r="F222" s="56"/>
      <c r="G222" s="56"/>
      <c r="H222" s="57"/>
      <c r="I222" s="58"/>
      <c r="J222" s="58"/>
      <c r="K222" s="55"/>
      <c r="L222" s="59"/>
      <c r="M222" s="59"/>
      <c r="N222" s="59"/>
      <c r="O222" s="54"/>
      <c r="P222" s="60"/>
      <c r="Q222" s="66"/>
      <c r="R222" s="67"/>
      <c r="S222" s="56"/>
      <c r="T222" s="56"/>
      <c r="U222" s="63"/>
      <c r="V222" s="64"/>
      <c r="W222" s="55"/>
      <c r="X222" s="63"/>
      <c r="Y222" s="54"/>
      <c r="Z222" s="65"/>
      <c r="AA222" s="76"/>
      <c r="AB222" s="59"/>
      <c r="AC222" s="56"/>
      <c r="AD222" s="56"/>
      <c r="AE222" s="64"/>
      <c r="AF222" s="64"/>
      <c r="AG222" s="55"/>
      <c r="AH222" s="68"/>
      <c r="AI222" s="54"/>
      <c r="AJ222" s="69"/>
      <c r="AK222" s="61"/>
      <c r="AL222" s="62"/>
      <c r="AM222" s="56"/>
      <c r="AN222" s="56"/>
      <c r="AO222" s="64"/>
      <c r="AP222" s="64"/>
      <c r="AQ222" s="55"/>
      <c r="AR222" s="68"/>
      <c r="AS222" s="54"/>
      <c r="AT222" s="69"/>
      <c r="AU222" s="61"/>
      <c r="AV222" s="62"/>
      <c r="AW222" s="56"/>
      <c r="AX222" s="56"/>
      <c r="AY222" s="64"/>
      <c r="AZ222" s="64"/>
      <c r="BA222" s="55"/>
      <c r="BB222" s="72"/>
      <c r="BC222" s="68"/>
      <c r="BD222" s="69"/>
      <c r="BE222" s="70"/>
      <c r="BF222" s="71"/>
      <c r="BG222" s="56"/>
      <c r="BH222" s="56"/>
      <c r="BI222" s="64"/>
      <c r="BJ222" s="64"/>
      <c r="BK222" s="57"/>
      <c r="BL222" s="73"/>
      <c r="BM222" s="61"/>
      <c r="BN222" s="74"/>
      <c r="BO222" s="75"/>
      <c r="BP222" s="66"/>
      <c r="BQ222" s="74"/>
    </row>
    <row r="223" spans="1:69" s="44" customFormat="1" ht="22.35" customHeight="1" x14ac:dyDescent="0.2">
      <c r="A223" s="100"/>
      <c r="B223" s="100"/>
      <c r="C223" s="100"/>
      <c r="D223" s="54"/>
      <c r="E223" s="55"/>
      <c r="F223" s="56"/>
      <c r="G223" s="56"/>
      <c r="H223" s="57"/>
      <c r="I223" s="58"/>
      <c r="J223" s="58"/>
      <c r="K223" s="55"/>
      <c r="L223" s="59"/>
      <c r="M223" s="59"/>
      <c r="N223" s="59"/>
      <c r="O223" s="54"/>
      <c r="P223" s="60"/>
      <c r="Q223" s="66"/>
      <c r="R223" s="67"/>
      <c r="S223" s="56"/>
      <c r="T223" s="56"/>
      <c r="U223" s="63"/>
      <c r="V223" s="64"/>
      <c r="W223" s="55"/>
      <c r="X223" s="63"/>
      <c r="Y223" s="54"/>
      <c r="Z223" s="65"/>
      <c r="AA223" s="70"/>
      <c r="AB223" s="71"/>
      <c r="AC223" s="56"/>
      <c r="AD223" s="56"/>
      <c r="AE223" s="64"/>
      <c r="AF223" s="64"/>
      <c r="AG223" s="55"/>
      <c r="AH223" s="68"/>
      <c r="AI223" s="54"/>
      <c r="AJ223" s="69"/>
      <c r="AK223" s="76"/>
      <c r="AL223" s="59"/>
      <c r="AM223" s="56"/>
      <c r="AN223" s="56"/>
      <c r="AO223" s="64"/>
      <c r="AP223" s="64"/>
      <c r="AQ223" s="55"/>
      <c r="AR223" s="68"/>
      <c r="AS223" s="54"/>
      <c r="AT223" s="69"/>
      <c r="AU223" s="66"/>
      <c r="AV223" s="67"/>
      <c r="AW223" s="56"/>
      <c r="AX223" s="56"/>
      <c r="AY223" s="64"/>
      <c r="AZ223" s="64"/>
      <c r="BA223" s="55"/>
      <c r="BB223" s="72"/>
      <c r="BC223" s="68"/>
      <c r="BD223" s="69"/>
      <c r="BE223" s="66"/>
      <c r="BF223" s="67"/>
      <c r="BG223" s="56"/>
      <c r="BH223" s="56"/>
      <c r="BI223" s="64"/>
      <c r="BJ223" s="64"/>
      <c r="BK223" s="57"/>
      <c r="BL223" s="73"/>
      <c r="BM223" s="70"/>
      <c r="BN223" s="74"/>
      <c r="BO223" s="75"/>
      <c r="BP223" s="66"/>
      <c r="BQ223" s="74"/>
    </row>
    <row r="224" spans="1:69" s="44" customFormat="1" ht="22.35" customHeight="1" x14ac:dyDescent="0.2">
      <c r="A224" s="100"/>
      <c r="B224" s="100"/>
      <c r="C224" s="100"/>
      <c r="D224" s="54"/>
      <c r="E224" s="55"/>
      <c r="F224" s="56"/>
      <c r="G224" s="56"/>
      <c r="H224" s="57"/>
      <c r="I224" s="58"/>
      <c r="J224" s="58"/>
      <c r="K224" s="55"/>
      <c r="L224" s="59"/>
      <c r="M224" s="59"/>
      <c r="N224" s="59"/>
      <c r="O224" s="54"/>
      <c r="P224" s="60"/>
      <c r="Q224" s="66"/>
      <c r="R224" s="67"/>
      <c r="S224" s="56"/>
      <c r="T224" s="56"/>
      <c r="U224" s="63"/>
      <c r="V224" s="64"/>
      <c r="W224" s="55"/>
      <c r="X224" s="63"/>
      <c r="Y224" s="54"/>
      <c r="Z224" s="65"/>
      <c r="AA224" s="76"/>
      <c r="AB224" s="59"/>
      <c r="AC224" s="56"/>
      <c r="AD224" s="56"/>
      <c r="AE224" s="64"/>
      <c r="AF224" s="64"/>
      <c r="AG224" s="55"/>
      <c r="AH224" s="68"/>
      <c r="AI224" s="54"/>
      <c r="AJ224" s="69"/>
      <c r="AK224" s="70"/>
      <c r="AL224" s="71"/>
      <c r="AM224" s="56"/>
      <c r="AN224" s="56"/>
      <c r="AO224" s="64"/>
      <c r="AP224" s="64"/>
      <c r="AQ224" s="55"/>
      <c r="AR224" s="68"/>
      <c r="AS224" s="54"/>
      <c r="AT224" s="69"/>
      <c r="AU224" s="61"/>
      <c r="AV224" s="62"/>
      <c r="AW224" s="56"/>
      <c r="AX224" s="56"/>
      <c r="AY224" s="64"/>
      <c r="AZ224" s="64"/>
      <c r="BA224" s="55"/>
      <c r="BB224" s="72"/>
      <c r="BC224" s="68"/>
      <c r="BD224" s="69"/>
      <c r="BE224" s="66"/>
      <c r="BF224" s="67"/>
      <c r="BG224" s="56"/>
      <c r="BH224" s="56"/>
      <c r="BI224" s="64"/>
      <c r="BJ224" s="64"/>
      <c r="BK224" s="57"/>
      <c r="BL224" s="73"/>
      <c r="BM224" s="76"/>
      <c r="BN224" s="74"/>
      <c r="BO224" s="75"/>
      <c r="BP224" s="66"/>
      <c r="BQ224" s="74"/>
    </row>
    <row r="225" spans="1:69" s="44" customFormat="1" ht="22.35" customHeight="1" x14ac:dyDescent="0.2">
      <c r="A225" s="100"/>
      <c r="B225" s="100"/>
      <c r="C225" s="100"/>
      <c r="D225" s="54"/>
      <c r="E225" s="55"/>
      <c r="F225" s="56"/>
      <c r="G225" s="56"/>
      <c r="H225" s="57"/>
      <c r="I225" s="58"/>
      <c r="J225" s="58"/>
      <c r="K225" s="55"/>
      <c r="L225" s="59"/>
      <c r="M225" s="59"/>
      <c r="N225" s="59"/>
      <c r="O225" s="54"/>
      <c r="P225" s="60"/>
      <c r="Q225" s="66"/>
      <c r="R225" s="67"/>
      <c r="S225" s="56"/>
      <c r="T225" s="56"/>
      <c r="U225" s="63"/>
      <c r="V225" s="64"/>
      <c r="W225" s="55"/>
      <c r="X225" s="63"/>
      <c r="Y225" s="54"/>
      <c r="Z225" s="65"/>
      <c r="AA225" s="70"/>
      <c r="AB225" s="71"/>
      <c r="AC225" s="56"/>
      <c r="AD225" s="56"/>
      <c r="AE225" s="64"/>
      <c r="AF225" s="64"/>
      <c r="AG225" s="55"/>
      <c r="AH225" s="68"/>
      <c r="AI225" s="54"/>
      <c r="AJ225" s="69"/>
      <c r="AK225" s="61"/>
      <c r="AL225" s="62"/>
      <c r="AM225" s="56"/>
      <c r="AN225" s="56"/>
      <c r="AO225" s="64"/>
      <c r="AP225" s="64"/>
      <c r="AQ225" s="55"/>
      <c r="AR225" s="68"/>
      <c r="AS225" s="54"/>
      <c r="AT225" s="69"/>
      <c r="AU225" s="70"/>
      <c r="AV225" s="71"/>
      <c r="AW225" s="56"/>
      <c r="AX225" s="56"/>
      <c r="AY225" s="64"/>
      <c r="AZ225" s="64"/>
      <c r="BA225" s="55"/>
      <c r="BB225" s="72"/>
      <c r="BC225" s="68"/>
      <c r="BD225" s="69"/>
      <c r="BE225" s="66"/>
      <c r="BF225" s="67"/>
      <c r="BG225" s="56"/>
      <c r="BH225" s="56"/>
      <c r="BI225" s="64"/>
      <c r="BJ225" s="64"/>
      <c r="BK225" s="57"/>
      <c r="BL225" s="73"/>
      <c r="BM225" s="76"/>
      <c r="BN225" s="74"/>
      <c r="BO225" s="75"/>
      <c r="BP225" s="66"/>
      <c r="BQ225" s="74"/>
    </row>
    <row r="226" spans="1:69" s="44" customFormat="1" ht="22.35" customHeight="1" x14ac:dyDescent="0.2">
      <c r="A226" s="100"/>
      <c r="B226" s="100"/>
      <c r="C226" s="100"/>
      <c r="D226" s="54"/>
      <c r="E226" s="55"/>
      <c r="F226" s="56"/>
      <c r="G226" s="56"/>
      <c r="H226" s="57"/>
      <c r="I226" s="58"/>
      <c r="J226" s="58"/>
      <c r="K226" s="55"/>
      <c r="L226" s="59"/>
      <c r="M226" s="59"/>
      <c r="N226" s="59"/>
      <c r="O226" s="54"/>
      <c r="P226" s="60"/>
      <c r="Q226" s="66"/>
      <c r="R226" s="67"/>
      <c r="S226" s="56"/>
      <c r="T226" s="56"/>
      <c r="U226" s="63"/>
      <c r="V226" s="64"/>
      <c r="W226" s="55"/>
      <c r="X226" s="63"/>
      <c r="Y226" s="54"/>
      <c r="Z226" s="65"/>
      <c r="AA226" s="70"/>
      <c r="AB226" s="71"/>
      <c r="AC226" s="56"/>
      <c r="AD226" s="56"/>
      <c r="AE226" s="64"/>
      <c r="AF226" s="64"/>
      <c r="AG226" s="55"/>
      <c r="AH226" s="68"/>
      <c r="AI226" s="54"/>
      <c r="AJ226" s="69"/>
      <c r="AK226" s="61"/>
      <c r="AL226" s="62"/>
      <c r="AM226" s="56"/>
      <c r="AN226" s="56"/>
      <c r="AO226" s="64"/>
      <c r="AP226" s="64"/>
      <c r="AQ226" s="55"/>
      <c r="AR226" s="68"/>
      <c r="AS226" s="54"/>
      <c r="AT226" s="69"/>
      <c r="AU226" s="61"/>
      <c r="AV226" s="62"/>
      <c r="AW226" s="56"/>
      <c r="AX226" s="56"/>
      <c r="AY226" s="64"/>
      <c r="AZ226" s="64"/>
      <c r="BA226" s="55"/>
      <c r="BB226" s="72"/>
      <c r="BC226" s="68"/>
      <c r="BD226" s="69"/>
      <c r="BE226" s="76"/>
      <c r="BF226" s="59"/>
      <c r="BG226" s="56"/>
      <c r="BH226" s="56"/>
      <c r="BI226" s="64"/>
      <c r="BJ226" s="64"/>
      <c r="BK226" s="57"/>
      <c r="BL226" s="73"/>
      <c r="BM226" s="70"/>
      <c r="BN226" s="74"/>
      <c r="BO226" s="75"/>
      <c r="BP226" s="66"/>
      <c r="BQ226" s="74"/>
    </row>
    <row r="227" spans="1:69" s="44" customFormat="1" ht="22.35" customHeight="1" x14ac:dyDescent="0.2">
      <c r="A227" s="100"/>
      <c r="B227" s="100"/>
      <c r="C227" s="100"/>
      <c r="D227" s="54"/>
      <c r="E227" s="55"/>
      <c r="F227" s="56"/>
      <c r="G227" s="56"/>
      <c r="H227" s="57"/>
      <c r="I227" s="58"/>
      <c r="J227" s="58"/>
      <c r="K227" s="55"/>
      <c r="L227" s="59"/>
      <c r="M227" s="59"/>
      <c r="N227" s="59"/>
      <c r="O227" s="54"/>
      <c r="P227" s="60"/>
      <c r="Q227" s="66"/>
      <c r="R227" s="67"/>
      <c r="S227" s="56"/>
      <c r="T227" s="56"/>
      <c r="U227" s="63"/>
      <c r="V227" s="64"/>
      <c r="W227" s="55"/>
      <c r="X227" s="63"/>
      <c r="Y227" s="54"/>
      <c r="Z227" s="65"/>
      <c r="AA227" s="66"/>
      <c r="AB227" s="67"/>
      <c r="AC227" s="56"/>
      <c r="AD227" s="56"/>
      <c r="AE227" s="64"/>
      <c r="AF227" s="64"/>
      <c r="AG227" s="55"/>
      <c r="AH227" s="68"/>
      <c r="AI227" s="54"/>
      <c r="AJ227" s="69"/>
      <c r="AK227" s="61"/>
      <c r="AL227" s="62"/>
      <c r="AM227" s="56"/>
      <c r="AN227" s="56"/>
      <c r="AO227" s="64"/>
      <c r="AP227" s="64"/>
      <c r="AQ227" s="55"/>
      <c r="AR227" s="68"/>
      <c r="AS227" s="54"/>
      <c r="AT227" s="69"/>
      <c r="AU227" s="61"/>
      <c r="AV227" s="62"/>
      <c r="AW227" s="56"/>
      <c r="AX227" s="56"/>
      <c r="AY227" s="64"/>
      <c r="AZ227" s="64"/>
      <c r="BA227" s="55"/>
      <c r="BB227" s="72"/>
      <c r="BC227" s="68"/>
      <c r="BD227" s="69"/>
      <c r="BE227" s="70"/>
      <c r="BF227" s="71"/>
      <c r="BG227" s="56"/>
      <c r="BH227" s="56"/>
      <c r="BI227" s="64"/>
      <c r="BJ227" s="64"/>
      <c r="BK227" s="57"/>
      <c r="BL227" s="73"/>
      <c r="BM227" s="70"/>
      <c r="BN227" s="74"/>
      <c r="BO227" s="75"/>
      <c r="BP227" s="66"/>
      <c r="BQ227" s="74"/>
    </row>
    <row r="228" spans="1:69" s="44" customFormat="1" ht="22.35" customHeight="1" x14ac:dyDescent="0.2">
      <c r="A228" s="100"/>
      <c r="B228" s="100"/>
      <c r="C228" s="100"/>
      <c r="D228" s="54"/>
      <c r="E228" s="55"/>
      <c r="F228" s="56"/>
      <c r="G228" s="56"/>
      <c r="H228" s="57"/>
      <c r="I228" s="58"/>
      <c r="J228" s="58"/>
      <c r="K228" s="55"/>
      <c r="L228" s="59"/>
      <c r="M228" s="59"/>
      <c r="N228" s="59"/>
      <c r="O228" s="54"/>
      <c r="P228" s="60"/>
      <c r="Q228" s="66"/>
      <c r="R228" s="67"/>
      <c r="S228" s="56"/>
      <c r="T228" s="56"/>
      <c r="U228" s="63"/>
      <c r="V228" s="64"/>
      <c r="W228" s="55"/>
      <c r="X228" s="63"/>
      <c r="Y228" s="54"/>
      <c r="Z228" s="65"/>
      <c r="AA228" s="76"/>
      <c r="AB228" s="59"/>
      <c r="AC228" s="56"/>
      <c r="AD228" s="56"/>
      <c r="AE228" s="64"/>
      <c r="AF228" s="64"/>
      <c r="AG228" s="55"/>
      <c r="AH228" s="68"/>
      <c r="AI228" s="54"/>
      <c r="AJ228" s="69"/>
      <c r="AK228" s="76"/>
      <c r="AL228" s="59"/>
      <c r="AM228" s="56"/>
      <c r="AN228" s="56"/>
      <c r="AO228" s="64"/>
      <c r="AP228" s="64"/>
      <c r="AQ228" s="55"/>
      <c r="AR228" s="68"/>
      <c r="AS228" s="54"/>
      <c r="AT228" s="69"/>
      <c r="AU228" s="61"/>
      <c r="AV228" s="62"/>
      <c r="AW228" s="56"/>
      <c r="AX228" s="56"/>
      <c r="AY228" s="64"/>
      <c r="AZ228" s="64"/>
      <c r="BA228" s="55"/>
      <c r="BB228" s="72"/>
      <c r="BC228" s="68"/>
      <c r="BD228" s="69"/>
      <c r="BE228" s="70"/>
      <c r="BF228" s="71"/>
      <c r="BG228" s="56"/>
      <c r="BH228" s="56"/>
      <c r="BI228" s="64"/>
      <c r="BJ228" s="64"/>
      <c r="BK228" s="57"/>
      <c r="BL228" s="73"/>
      <c r="BM228" s="70"/>
      <c r="BN228" s="74"/>
      <c r="BO228" s="75"/>
      <c r="BP228" s="66"/>
      <c r="BQ228" s="74"/>
    </row>
    <row r="229" spans="1:69" s="44" customFormat="1" ht="22.35" customHeight="1" x14ac:dyDescent="0.2">
      <c r="A229" s="100"/>
      <c r="B229" s="100"/>
      <c r="C229" s="100"/>
      <c r="D229" s="54"/>
      <c r="E229" s="55"/>
      <c r="F229" s="56"/>
      <c r="G229" s="56"/>
      <c r="H229" s="57"/>
      <c r="I229" s="58"/>
      <c r="J229" s="58"/>
      <c r="K229" s="55"/>
      <c r="L229" s="59"/>
      <c r="M229" s="59"/>
      <c r="N229" s="59"/>
      <c r="O229" s="54"/>
      <c r="P229" s="60"/>
      <c r="Q229" s="66"/>
      <c r="R229" s="67"/>
      <c r="S229" s="56"/>
      <c r="T229" s="56"/>
      <c r="U229" s="63"/>
      <c r="V229" s="64"/>
      <c r="W229" s="55"/>
      <c r="X229" s="63"/>
      <c r="Y229" s="54"/>
      <c r="Z229" s="65"/>
      <c r="AA229" s="76"/>
      <c r="AB229" s="59"/>
      <c r="AC229" s="56"/>
      <c r="AD229" s="56"/>
      <c r="AE229" s="64"/>
      <c r="AF229" s="64"/>
      <c r="AG229" s="55"/>
      <c r="AH229" s="68"/>
      <c r="AI229" s="54"/>
      <c r="AJ229" s="69"/>
      <c r="AK229" s="61"/>
      <c r="AL229" s="62"/>
      <c r="AM229" s="56"/>
      <c r="AN229" s="56"/>
      <c r="AO229" s="64"/>
      <c r="AP229" s="64"/>
      <c r="AQ229" s="55"/>
      <c r="AR229" s="68"/>
      <c r="AS229" s="54"/>
      <c r="AT229" s="69"/>
      <c r="AU229" s="61"/>
      <c r="AV229" s="62"/>
      <c r="AW229" s="56"/>
      <c r="AX229" s="56"/>
      <c r="AY229" s="64"/>
      <c r="AZ229" s="64"/>
      <c r="BA229" s="55"/>
      <c r="BB229" s="72"/>
      <c r="BC229" s="68"/>
      <c r="BD229" s="69"/>
      <c r="BE229" s="76"/>
      <c r="BF229" s="59"/>
      <c r="BG229" s="56"/>
      <c r="BH229" s="56"/>
      <c r="BI229" s="64"/>
      <c r="BJ229" s="64"/>
      <c r="BK229" s="57"/>
      <c r="BL229" s="73"/>
      <c r="BM229" s="76"/>
      <c r="BN229" s="74"/>
      <c r="BO229" s="75"/>
      <c r="BP229" s="66"/>
      <c r="BQ229" s="74"/>
    </row>
    <row r="230" spans="1:69" s="44" customFormat="1" ht="22.35" customHeight="1" x14ac:dyDescent="0.2">
      <c r="A230" s="100"/>
      <c r="B230" s="100"/>
      <c r="C230" s="100"/>
      <c r="D230" s="54"/>
      <c r="E230" s="55"/>
      <c r="F230" s="56"/>
      <c r="G230" s="56"/>
      <c r="H230" s="57"/>
      <c r="I230" s="58"/>
      <c r="J230" s="58"/>
      <c r="K230" s="55"/>
      <c r="L230" s="59"/>
      <c r="M230" s="59"/>
      <c r="N230" s="59"/>
      <c r="O230" s="54"/>
      <c r="P230" s="60"/>
      <c r="Q230" s="66"/>
      <c r="R230" s="67"/>
      <c r="S230" s="56"/>
      <c r="T230" s="56"/>
      <c r="U230" s="63"/>
      <c r="V230" s="64"/>
      <c r="W230" s="55"/>
      <c r="X230" s="63"/>
      <c r="Y230" s="54"/>
      <c r="Z230" s="65"/>
      <c r="AA230" s="70"/>
      <c r="AB230" s="71"/>
      <c r="AC230" s="56"/>
      <c r="AD230" s="56"/>
      <c r="AE230" s="64"/>
      <c r="AF230" s="64"/>
      <c r="AG230" s="55"/>
      <c r="AH230" s="68"/>
      <c r="AI230" s="54"/>
      <c r="AJ230" s="69"/>
      <c r="AK230" s="76"/>
      <c r="AL230" s="59"/>
      <c r="AM230" s="56"/>
      <c r="AN230" s="56"/>
      <c r="AO230" s="64"/>
      <c r="AP230" s="64"/>
      <c r="AQ230" s="55"/>
      <c r="AR230" s="68"/>
      <c r="AS230" s="54"/>
      <c r="AT230" s="69"/>
      <c r="AU230" s="61"/>
      <c r="AV230" s="62"/>
      <c r="AW230" s="56"/>
      <c r="AX230" s="56"/>
      <c r="AY230" s="64"/>
      <c r="AZ230" s="64"/>
      <c r="BA230" s="55"/>
      <c r="BB230" s="72"/>
      <c r="BC230" s="68"/>
      <c r="BD230" s="69"/>
      <c r="BE230" s="66"/>
      <c r="BF230" s="67"/>
      <c r="BG230" s="56"/>
      <c r="BH230" s="56"/>
      <c r="BI230" s="64"/>
      <c r="BJ230" s="64"/>
      <c r="BK230" s="57"/>
      <c r="BL230" s="73"/>
      <c r="BM230" s="70"/>
      <c r="BN230" s="74"/>
      <c r="BO230" s="75"/>
      <c r="BP230" s="66"/>
      <c r="BQ230" s="74"/>
    </row>
    <row r="231" spans="1:69" s="44" customFormat="1" ht="22.35" customHeight="1" x14ac:dyDescent="0.2">
      <c r="A231" s="100"/>
      <c r="B231" s="100"/>
      <c r="C231" s="100"/>
      <c r="D231" s="54"/>
      <c r="E231" s="55"/>
      <c r="F231" s="56"/>
      <c r="G231" s="56"/>
      <c r="H231" s="57"/>
      <c r="I231" s="58"/>
      <c r="J231" s="58"/>
      <c r="K231" s="55"/>
      <c r="L231" s="59"/>
      <c r="M231" s="59"/>
      <c r="N231" s="59"/>
      <c r="O231" s="54"/>
      <c r="P231" s="60"/>
      <c r="Q231" s="66"/>
      <c r="R231" s="67"/>
      <c r="S231" s="56"/>
      <c r="T231" s="56"/>
      <c r="U231" s="63"/>
      <c r="V231" s="64"/>
      <c r="W231" s="55"/>
      <c r="X231" s="63"/>
      <c r="Y231" s="54"/>
      <c r="Z231" s="65"/>
      <c r="AA231" s="76"/>
      <c r="AB231" s="59"/>
      <c r="AC231" s="56"/>
      <c r="AD231" s="56"/>
      <c r="AE231" s="64"/>
      <c r="AF231" s="64"/>
      <c r="AG231" s="55"/>
      <c r="AH231" s="68"/>
      <c r="AI231" s="54"/>
      <c r="AJ231" s="69"/>
      <c r="AK231" s="76"/>
      <c r="AL231" s="59"/>
      <c r="AM231" s="56"/>
      <c r="AN231" s="56"/>
      <c r="AO231" s="64"/>
      <c r="AP231" s="64"/>
      <c r="AQ231" s="55"/>
      <c r="AR231" s="68"/>
      <c r="AS231" s="54"/>
      <c r="AT231" s="69"/>
      <c r="AU231" s="61"/>
      <c r="AV231" s="62"/>
      <c r="AW231" s="56"/>
      <c r="AX231" s="56"/>
      <c r="AY231" s="64"/>
      <c r="AZ231" s="64"/>
      <c r="BA231" s="55"/>
      <c r="BB231" s="72"/>
      <c r="BC231" s="68"/>
      <c r="BD231" s="69"/>
      <c r="BE231" s="66"/>
      <c r="BF231" s="67"/>
      <c r="BG231" s="56"/>
      <c r="BH231" s="56"/>
      <c r="BI231" s="64"/>
      <c r="BJ231" s="64"/>
      <c r="BK231" s="57"/>
      <c r="BL231" s="73"/>
      <c r="BM231" s="76"/>
      <c r="BN231" s="74"/>
      <c r="BO231" s="75"/>
      <c r="BP231" s="66"/>
      <c r="BQ231" s="74"/>
    </row>
    <row r="232" spans="1:69" s="44" customFormat="1" ht="22.35" customHeight="1" x14ac:dyDescent="0.2">
      <c r="A232" s="100"/>
      <c r="B232" s="100"/>
      <c r="C232" s="100"/>
      <c r="D232" s="54"/>
      <c r="E232" s="55"/>
      <c r="F232" s="56"/>
      <c r="G232" s="56"/>
      <c r="H232" s="57"/>
      <c r="I232" s="58"/>
      <c r="J232" s="58"/>
      <c r="K232" s="55"/>
      <c r="L232" s="59"/>
      <c r="M232" s="59"/>
      <c r="N232" s="59"/>
      <c r="O232" s="54"/>
      <c r="P232" s="60"/>
      <c r="Q232" s="66"/>
      <c r="R232" s="67"/>
      <c r="S232" s="56"/>
      <c r="T232" s="56"/>
      <c r="U232" s="63"/>
      <c r="V232" s="64"/>
      <c r="W232" s="55"/>
      <c r="X232" s="63"/>
      <c r="Y232" s="54"/>
      <c r="Z232" s="65"/>
      <c r="AA232" s="66"/>
      <c r="AB232" s="67"/>
      <c r="AC232" s="56"/>
      <c r="AD232" s="56"/>
      <c r="AE232" s="64"/>
      <c r="AF232" s="64"/>
      <c r="AG232" s="55"/>
      <c r="AH232" s="68"/>
      <c r="AI232" s="54"/>
      <c r="AJ232" s="69"/>
      <c r="AK232" s="70"/>
      <c r="AL232" s="71"/>
      <c r="AM232" s="56"/>
      <c r="AN232" s="56"/>
      <c r="AO232" s="64"/>
      <c r="AP232" s="64"/>
      <c r="AQ232" s="55"/>
      <c r="AR232" s="68"/>
      <c r="AS232" s="54"/>
      <c r="AT232" s="69"/>
      <c r="AU232" s="61"/>
      <c r="AV232" s="62"/>
      <c r="AW232" s="56"/>
      <c r="AX232" s="56"/>
      <c r="AY232" s="64"/>
      <c r="AZ232" s="64"/>
      <c r="BA232" s="55"/>
      <c r="BB232" s="72"/>
      <c r="BC232" s="68"/>
      <c r="BD232" s="69"/>
      <c r="BE232" s="66"/>
      <c r="BF232" s="67"/>
      <c r="BG232" s="56"/>
      <c r="BH232" s="56"/>
      <c r="BI232" s="64"/>
      <c r="BJ232" s="64"/>
      <c r="BK232" s="57"/>
      <c r="BL232" s="73"/>
      <c r="BM232" s="70"/>
      <c r="BN232" s="74"/>
      <c r="BO232" s="75"/>
      <c r="BP232" s="66"/>
      <c r="BQ232" s="74"/>
    </row>
    <row r="233" spans="1:69" s="44" customFormat="1" ht="22.35" customHeight="1" x14ac:dyDescent="0.2">
      <c r="A233" s="100"/>
      <c r="B233" s="100"/>
      <c r="C233" s="100"/>
      <c r="D233" s="54"/>
      <c r="E233" s="55"/>
      <c r="F233" s="56"/>
      <c r="G233" s="56"/>
      <c r="H233" s="57"/>
      <c r="I233" s="58"/>
      <c r="J233" s="58"/>
      <c r="K233" s="55"/>
      <c r="L233" s="59"/>
      <c r="M233" s="59"/>
      <c r="N233" s="59"/>
      <c r="O233" s="54"/>
      <c r="P233" s="60"/>
      <c r="Q233" s="66"/>
      <c r="R233" s="67"/>
      <c r="S233" s="56"/>
      <c r="T233" s="56"/>
      <c r="U233" s="63"/>
      <c r="V233" s="64"/>
      <c r="W233" s="55"/>
      <c r="X233" s="63"/>
      <c r="Y233" s="54"/>
      <c r="Z233" s="65"/>
      <c r="AA233" s="70"/>
      <c r="AB233" s="71"/>
      <c r="AC233" s="56"/>
      <c r="AD233" s="56"/>
      <c r="AE233" s="64"/>
      <c r="AF233" s="64"/>
      <c r="AG233" s="55"/>
      <c r="AH233" s="68"/>
      <c r="AI233" s="54"/>
      <c r="AJ233" s="69"/>
      <c r="AK233" s="76"/>
      <c r="AL233" s="59"/>
      <c r="AM233" s="56"/>
      <c r="AN233" s="56"/>
      <c r="AO233" s="64"/>
      <c r="AP233" s="64"/>
      <c r="AQ233" s="55"/>
      <c r="AR233" s="68"/>
      <c r="AS233" s="54"/>
      <c r="AT233" s="69"/>
      <c r="AU233" s="61"/>
      <c r="AV233" s="62"/>
      <c r="AW233" s="56"/>
      <c r="AX233" s="56"/>
      <c r="AY233" s="64"/>
      <c r="AZ233" s="64"/>
      <c r="BA233" s="55"/>
      <c r="BB233" s="72"/>
      <c r="BC233" s="68"/>
      <c r="BD233" s="69"/>
      <c r="BE233" s="66"/>
      <c r="BF233" s="67"/>
      <c r="BG233" s="56"/>
      <c r="BH233" s="56"/>
      <c r="BI233" s="64"/>
      <c r="BJ233" s="64"/>
      <c r="BK233" s="57"/>
      <c r="BL233" s="73"/>
      <c r="BM233" s="76"/>
      <c r="BN233" s="74"/>
      <c r="BO233" s="75"/>
      <c r="BP233" s="66"/>
      <c r="BQ233" s="74"/>
    </row>
    <row r="234" spans="1:69" s="44" customFormat="1" ht="22.35" customHeight="1" x14ac:dyDescent="0.2">
      <c r="A234" s="100"/>
      <c r="B234" s="100"/>
      <c r="C234" s="100"/>
      <c r="D234" s="54"/>
      <c r="E234" s="55"/>
      <c r="F234" s="56"/>
      <c r="G234" s="56"/>
      <c r="H234" s="57"/>
      <c r="I234" s="58"/>
      <c r="J234" s="58"/>
      <c r="K234" s="55"/>
      <c r="L234" s="59"/>
      <c r="M234" s="59"/>
      <c r="N234" s="59"/>
      <c r="O234" s="54"/>
      <c r="P234" s="60"/>
      <c r="Q234" s="66"/>
      <c r="R234" s="67"/>
      <c r="S234" s="56"/>
      <c r="T234" s="56"/>
      <c r="U234" s="63"/>
      <c r="V234" s="64"/>
      <c r="W234" s="55"/>
      <c r="X234" s="63"/>
      <c r="Y234" s="54"/>
      <c r="Z234" s="65"/>
      <c r="AA234" s="66"/>
      <c r="AB234" s="67"/>
      <c r="AC234" s="56"/>
      <c r="AD234" s="56"/>
      <c r="AE234" s="64"/>
      <c r="AF234" s="64"/>
      <c r="AG234" s="55"/>
      <c r="AH234" s="68"/>
      <c r="AI234" s="54"/>
      <c r="AJ234" s="69"/>
      <c r="AK234" s="76"/>
      <c r="AL234" s="59"/>
      <c r="AM234" s="56"/>
      <c r="AN234" s="56"/>
      <c r="AO234" s="64"/>
      <c r="AP234" s="64"/>
      <c r="AQ234" s="55"/>
      <c r="AR234" s="68"/>
      <c r="AS234" s="54"/>
      <c r="AT234" s="69"/>
      <c r="AU234" s="61"/>
      <c r="AV234" s="62"/>
      <c r="AW234" s="56"/>
      <c r="AX234" s="56"/>
      <c r="AY234" s="64"/>
      <c r="AZ234" s="64"/>
      <c r="BA234" s="55"/>
      <c r="BB234" s="72"/>
      <c r="BC234" s="68"/>
      <c r="BD234" s="69"/>
      <c r="BE234" s="70"/>
      <c r="BF234" s="71"/>
      <c r="BG234" s="56"/>
      <c r="BH234" s="56"/>
      <c r="BI234" s="64"/>
      <c r="BJ234" s="64"/>
      <c r="BK234" s="57"/>
      <c r="BL234" s="73"/>
      <c r="BM234" s="70"/>
      <c r="BN234" s="74"/>
      <c r="BO234" s="75"/>
      <c r="BP234" s="66"/>
      <c r="BQ234" s="74"/>
    </row>
    <row r="235" spans="1:69" s="44" customFormat="1" ht="22.35" customHeight="1" x14ac:dyDescent="0.2">
      <c r="A235" s="100"/>
      <c r="B235" s="100"/>
      <c r="C235" s="100"/>
      <c r="D235" s="54"/>
      <c r="E235" s="55"/>
      <c r="F235" s="56"/>
      <c r="G235" s="56"/>
      <c r="H235" s="57"/>
      <c r="I235" s="58"/>
      <c r="J235" s="58"/>
      <c r="K235" s="55"/>
      <c r="L235" s="59"/>
      <c r="M235" s="59"/>
      <c r="N235" s="59"/>
      <c r="O235" s="54"/>
      <c r="P235" s="60"/>
      <c r="Q235" s="66"/>
      <c r="R235" s="67"/>
      <c r="S235" s="56"/>
      <c r="T235" s="56"/>
      <c r="U235" s="63"/>
      <c r="V235" s="64"/>
      <c r="W235" s="55"/>
      <c r="X235" s="63"/>
      <c r="Y235" s="54"/>
      <c r="Z235" s="65"/>
      <c r="AA235" s="66"/>
      <c r="AB235" s="67"/>
      <c r="AC235" s="56"/>
      <c r="AD235" s="56"/>
      <c r="AE235" s="64"/>
      <c r="AF235" s="64"/>
      <c r="AG235" s="55"/>
      <c r="AH235" s="68"/>
      <c r="AI235" s="54"/>
      <c r="AJ235" s="69"/>
      <c r="AK235" s="66"/>
      <c r="AL235" s="67"/>
      <c r="AM235" s="56"/>
      <c r="AN235" s="56"/>
      <c r="AO235" s="64"/>
      <c r="AP235" s="64"/>
      <c r="AQ235" s="55"/>
      <c r="AR235" s="68"/>
      <c r="AS235" s="54"/>
      <c r="AT235" s="69"/>
      <c r="AU235" s="61"/>
      <c r="AV235" s="62"/>
      <c r="AW235" s="56"/>
      <c r="AX235" s="56"/>
      <c r="AY235" s="64"/>
      <c r="AZ235" s="64"/>
      <c r="BA235" s="55"/>
      <c r="BB235" s="72"/>
      <c r="BC235" s="68"/>
      <c r="BD235" s="69"/>
      <c r="BE235" s="66"/>
      <c r="BF235" s="67"/>
      <c r="BG235" s="56"/>
      <c r="BH235" s="56"/>
      <c r="BI235" s="64"/>
      <c r="BJ235" s="64"/>
      <c r="BK235" s="57"/>
      <c r="BL235" s="73"/>
      <c r="BM235" s="76"/>
      <c r="BN235" s="74"/>
      <c r="BO235" s="75"/>
      <c r="BP235" s="66"/>
      <c r="BQ235" s="74"/>
    </row>
    <row r="236" spans="1:69" s="44" customFormat="1" ht="22.35" customHeight="1" x14ac:dyDescent="0.2">
      <c r="A236" s="100"/>
      <c r="B236" s="100"/>
      <c r="C236" s="100"/>
      <c r="D236" s="54"/>
      <c r="E236" s="55"/>
      <c r="F236" s="56"/>
      <c r="G236" s="56"/>
      <c r="H236" s="57"/>
      <c r="I236" s="58"/>
      <c r="J236" s="58"/>
      <c r="K236" s="55"/>
      <c r="L236" s="59"/>
      <c r="M236" s="59"/>
      <c r="N236" s="59"/>
      <c r="O236" s="54"/>
      <c r="P236" s="60"/>
      <c r="Q236" s="66"/>
      <c r="R236" s="67"/>
      <c r="S236" s="56"/>
      <c r="T236" s="56"/>
      <c r="U236" s="63"/>
      <c r="V236" s="64"/>
      <c r="W236" s="55"/>
      <c r="X236" s="63"/>
      <c r="Y236" s="54"/>
      <c r="Z236" s="65"/>
      <c r="AA236" s="61"/>
      <c r="AB236" s="62"/>
      <c r="AC236" s="56"/>
      <c r="AD236" s="56"/>
      <c r="AE236" s="64"/>
      <c r="AF236" s="64"/>
      <c r="AG236" s="55"/>
      <c r="AH236" s="68"/>
      <c r="AI236" s="54"/>
      <c r="AJ236" s="69"/>
      <c r="AK236" s="61"/>
      <c r="AL236" s="62"/>
      <c r="AM236" s="56"/>
      <c r="AN236" s="56"/>
      <c r="AO236" s="64"/>
      <c r="AP236" s="64"/>
      <c r="AQ236" s="55"/>
      <c r="AR236" s="68"/>
      <c r="AS236" s="54"/>
      <c r="AT236" s="69"/>
      <c r="AU236" s="61"/>
      <c r="AV236" s="62"/>
      <c r="AW236" s="56"/>
      <c r="AX236" s="56"/>
      <c r="AY236" s="64"/>
      <c r="AZ236" s="64"/>
      <c r="BA236" s="55"/>
      <c r="BB236" s="72"/>
      <c r="BC236" s="68"/>
      <c r="BD236" s="69"/>
      <c r="BE236" s="76"/>
      <c r="BF236" s="59"/>
      <c r="BG236" s="56"/>
      <c r="BH236" s="56"/>
      <c r="BI236" s="64"/>
      <c r="BJ236" s="64"/>
      <c r="BK236" s="57"/>
      <c r="BL236" s="73"/>
      <c r="BM236" s="76"/>
      <c r="BN236" s="74"/>
      <c r="BO236" s="75"/>
      <c r="BP236" s="66"/>
      <c r="BQ236" s="74"/>
    </row>
    <row r="237" spans="1:69" s="44" customFormat="1" ht="22.35" customHeight="1" x14ac:dyDescent="0.2">
      <c r="A237" s="100"/>
      <c r="B237" s="100"/>
      <c r="C237" s="100"/>
      <c r="D237" s="54"/>
      <c r="E237" s="55"/>
      <c r="F237" s="56"/>
      <c r="G237" s="56"/>
      <c r="H237" s="57"/>
      <c r="I237" s="58"/>
      <c r="J237" s="58"/>
      <c r="K237" s="55"/>
      <c r="L237" s="59"/>
      <c r="M237" s="59"/>
      <c r="N237" s="59"/>
      <c r="O237" s="54"/>
      <c r="P237" s="60"/>
      <c r="Q237" s="66"/>
      <c r="R237" s="67"/>
      <c r="S237" s="56"/>
      <c r="T237" s="56"/>
      <c r="U237" s="63"/>
      <c r="V237" s="64"/>
      <c r="W237" s="55"/>
      <c r="X237" s="63"/>
      <c r="Y237" s="54"/>
      <c r="Z237" s="65"/>
      <c r="AA237" s="70"/>
      <c r="AB237" s="71"/>
      <c r="AC237" s="56"/>
      <c r="AD237" s="56"/>
      <c r="AE237" s="64"/>
      <c r="AF237" s="64"/>
      <c r="AG237" s="55"/>
      <c r="AH237" s="68"/>
      <c r="AI237" s="54"/>
      <c r="AJ237" s="69"/>
      <c r="AK237" s="70"/>
      <c r="AL237" s="71"/>
      <c r="AM237" s="56"/>
      <c r="AN237" s="56"/>
      <c r="AO237" s="64"/>
      <c r="AP237" s="64"/>
      <c r="AQ237" s="55"/>
      <c r="AR237" s="68"/>
      <c r="AS237" s="54"/>
      <c r="AT237" s="69"/>
      <c r="AU237" s="66"/>
      <c r="AV237" s="67"/>
      <c r="AW237" s="56"/>
      <c r="AX237" s="56"/>
      <c r="AY237" s="64"/>
      <c r="AZ237" s="64"/>
      <c r="BA237" s="55"/>
      <c r="BB237" s="72"/>
      <c r="BC237" s="68"/>
      <c r="BD237" s="69"/>
      <c r="BE237" s="66"/>
      <c r="BF237" s="67"/>
      <c r="BG237" s="56"/>
      <c r="BH237" s="56"/>
      <c r="BI237" s="64"/>
      <c r="BJ237" s="64"/>
      <c r="BK237" s="57"/>
      <c r="BL237" s="73"/>
      <c r="BM237" s="70"/>
      <c r="BN237" s="74"/>
      <c r="BO237" s="75"/>
      <c r="BP237" s="66"/>
      <c r="BQ237" s="74"/>
    </row>
    <row r="238" spans="1:69" s="44" customFormat="1" ht="22.35" customHeight="1" x14ac:dyDescent="0.2">
      <c r="A238" s="100"/>
      <c r="B238" s="100"/>
      <c r="C238" s="100"/>
      <c r="D238" s="54"/>
      <c r="E238" s="55"/>
      <c r="F238" s="56"/>
      <c r="G238" s="56"/>
      <c r="H238" s="57"/>
      <c r="I238" s="58"/>
      <c r="J238" s="58"/>
      <c r="K238" s="55"/>
      <c r="L238" s="59"/>
      <c r="M238" s="59"/>
      <c r="N238" s="59"/>
      <c r="O238" s="54"/>
      <c r="P238" s="60"/>
      <c r="Q238" s="66"/>
      <c r="R238" s="67"/>
      <c r="S238" s="56"/>
      <c r="T238" s="56"/>
      <c r="U238" s="63"/>
      <c r="V238" s="64"/>
      <c r="W238" s="55"/>
      <c r="X238" s="63"/>
      <c r="Y238" s="54"/>
      <c r="Z238" s="65"/>
      <c r="AA238" s="70"/>
      <c r="AB238" s="71"/>
      <c r="AC238" s="56"/>
      <c r="AD238" s="56"/>
      <c r="AE238" s="64"/>
      <c r="AF238" s="64"/>
      <c r="AG238" s="55"/>
      <c r="AH238" s="68"/>
      <c r="AI238" s="54"/>
      <c r="AJ238" s="69"/>
      <c r="AK238" s="76"/>
      <c r="AL238" s="59"/>
      <c r="AM238" s="56"/>
      <c r="AN238" s="56"/>
      <c r="AO238" s="64"/>
      <c r="AP238" s="64"/>
      <c r="AQ238" s="55"/>
      <c r="AR238" s="68"/>
      <c r="AS238" s="54"/>
      <c r="AT238" s="69"/>
      <c r="AU238" s="61"/>
      <c r="AV238" s="62"/>
      <c r="AW238" s="56"/>
      <c r="AX238" s="56"/>
      <c r="AY238" s="64"/>
      <c r="AZ238" s="64"/>
      <c r="BA238" s="55"/>
      <c r="BB238" s="72"/>
      <c r="BC238" s="68"/>
      <c r="BD238" s="69"/>
      <c r="BE238" s="66"/>
      <c r="BF238" s="67"/>
      <c r="BG238" s="56"/>
      <c r="BH238" s="56"/>
      <c r="BI238" s="64"/>
      <c r="BJ238" s="64"/>
      <c r="BK238" s="57"/>
      <c r="BL238" s="73"/>
      <c r="BM238" s="76"/>
      <c r="BN238" s="74"/>
      <c r="BO238" s="75"/>
      <c r="BP238" s="66"/>
      <c r="BQ238" s="74"/>
    </row>
    <row r="239" spans="1:69" s="44" customFormat="1" ht="22.35" customHeight="1" x14ac:dyDescent="0.2">
      <c r="A239" s="100"/>
      <c r="B239" s="100"/>
      <c r="C239" s="100"/>
      <c r="D239" s="54"/>
      <c r="E239" s="55"/>
      <c r="F239" s="56"/>
      <c r="G239" s="56"/>
      <c r="H239" s="57"/>
      <c r="I239" s="58"/>
      <c r="J239" s="58"/>
      <c r="K239" s="55"/>
      <c r="L239" s="59"/>
      <c r="M239" s="59"/>
      <c r="N239" s="59"/>
      <c r="O239" s="54"/>
      <c r="P239" s="60"/>
      <c r="Q239" s="66"/>
      <c r="R239" s="67"/>
      <c r="S239" s="56"/>
      <c r="T239" s="56"/>
      <c r="U239" s="63"/>
      <c r="V239" s="64"/>
      <c r="W239" s="55"/>
      <c r="X239" s="63"/>
      <c r="Y239" s="54"/>
      <c r="Z239" s="65"/>
      <c r="AA239" s="66"/>
      <c r="AB239" s="67"/>
      <c r="AC239" s="56"/>
      <c r="AD239" s="56"/>
      <c r="AE239" s="64"/>
      <c r="AF239" s="64"/>
      <c r="AG239" s="55"/>
      <c r="AH239" s="68"/>
      <c r="AI239" s="54"/>
      <c r="AJ239" s="69"/>
      <c r="AK239" s="61"/>
      <c r="AL239" s="62"/>
      <c r="AM239" s="56"/>
      <c r="AN239" s="56"/>
      <c r="AO239" s="64"/>
      <c r="AP239" s="64"/>
      <c r="AQ239" s="55"/>
      <c r="AR239" s="68"/>
      <c r="AS239" s="54"/>
      <c r="AT239" s="69"/>
      <c r="AU239" s="61"/>
      <c r="AV239" s="62"/>
      <c r="AW239" s="56"/>
      <c r="AX239" s="56"/>
      <c r="AY239" s="64"/>
      <c r="AZ239" s="64"/>
      <c r="BA239" s="55"/>
      <c r="BB239" s="72"/>
      <c r="BC239" s="68"/>
      <c r="BD239" s="69"/>
      <c r="BE239" s="66"/>
      <c r="BF239" s="67"/>
      <c r="BG239" s="56"/>
      <c r="BH239" s="56"/>
      <c r="BI239" s="64"/>
      <c r="BJ239" s="64"/>
      <c r="BK239" s="57"/>
      <c r="BL239" s="73"/>
      <c r="BM239" s="76"/>
      <c r="BN239" s="74"/>
      <c r="BO239" s="75"/>
      <c r="BP239" s="66"/>
      <c r="BQ239" s="74"/>
    </row>
    <row r="240" spans="1:69" s="44" customFormat="1" ht="22.35" customHeight="1" x14ac:dyDescent="0.2">
      <c r="A240" s="100"/>
      <c r="B240" s="100"/>
      <c r="C240" s="100"/>
      <c r="D240" s="54"/>
      <c r="E240" s="55"/>
      <c r="F240" s="56"/>
      <c r="G240" s="56"/>
      <c r="H240" s="57"/>
      <c r="I240" s="58"/>
      <c r="J240" s="58"/>
      <c r="K240" s="55"/>
      <c r="L240" s="59"/>
      <c r="M240" s="59"/>
      <c r="N240" s="59"/>
      <c r="O240" s="54"/>
      <c r="P240" s="60"/>
      <c r="Q240" s="61"/>
      <c r="R240" s="62"/>
      <c r="S240" s="56"/>
      <c r="T240" s="56"/>
      <c r="U240" s="63"/>
      <c r="V240" s="64"/>
      <c r="W240" s="55"/>
      <c r="X240" s="63"/>
      <c r="Y240" s="54"/>
      <c r="Z240" s="65"/>
      <c r="AA240" s="76"/>
      <c r="AB240" s="59"/>
      <c r="AC240" s="56"/>
      <c r="AD240" s="56"/>
      <c r="AE240" s="64"/>
      <c r="AF240" s="64"/>
      <c r="AG240" s="55"/>
      <c r="AH240" s="68"/>
      <c r="AI240" s="54"/>
      <c r="AJ240" s="69"/>
      <c r="AK240" s="61"/>
      <c r="AL240" s="62"/>
      <c r="AM240" s="56"/>
      <c r="AN240" s="56"/>
      <c r="AO240" s="64"/>
      <c r="AP240" s="64"/>
      <c r="AQ240" s="55"/>
      <c r="AR240" s="68"/>
      <c r="AS240" s="54"/>
      <c r="AT240" s="69"/>
      <c r="AU240" s="61"/>
      <c r="AV240" s="62"/>
      <c r="AW240" s="56"/>
      <c r="AX240" s="56"/>
      <c r="AY240" s="64"/>
      <c r="AZ240" s="64"/>
      <c r="BA240" s="55"/>
      <c r="BB240" s="72"/>
      <c r="BC240" s="68"/>
      <c r="BD240" s="69"/>
      <c r="BE240" s="76"/>
      <c r="BF240" s="59"/>
      <c r="BG240" s="56"/>
      <c r="BH240" s="56"/>
      <c r="BI240" s="64"/>
      <c r="BJ240" s="64"/>
      <c r="BK240" s="57"/>
      <c r="BL240" s="73"/>
      <c r="BM240" s="61"/>
      <c r="BN240" s="74"/>
      <c r="BO240" s="75"/>
      <c r="BP240" s="66"/>
      <c r="BQ240" s="74"/>
    </row>
    <row r="241" spans="1:69" s="44" customFormat="1" ht="22.35" customHeight="1" x14ac:dyDescent="0.2">
      <c r="A241" s="100"/>
      <c r="B241" s="100"/>
      <c r="C241" s="100"/>
      <c r="D241" s="54"/>
      <c r="E241" s="55"/>
      <c r="F241" s="56"/>
      <c r="G241" s="56"/>
      <c r="H241" s="57"/>
      <c r="I241" s="58"/>
      <c r="J241" s="58"/>
      <c r="K241" s="55"/>
      <c r="L241" s="59"/>
      <c r="M241" s="59"/>
      <c r="N241" s="59"/>
      <c r="O241" s="54"/>
      <c r="P241" s="60"/>
      <c r="Q241" s="66"/>
      <c r="R241" s="67"/>
      <c r="S241" s="56"/>
      <c r="T241" s="56"/>
      <c r="U241" s="63"/>
      <c r="V241" s="64"/>
      <c r="W241" s="55"/>
      <c r="X241" s="63"/>
      <c r="Y241" s="54"/>
      <c r="Z241" s="65"/>
      <c r="AA241" s="76"/>
      <c r="AB241" s="59"/>
      <c r="AC241" s="56"/>
      <c r="AD241" s="56"/>
      <c r="AE241" s="64"/>
      <c r="AF241" s="64"/>
      <c r="AG241" s="55"/>
      <c r="AH241" s="68"/>
      <c r="AI241" s="54"/>
      <c r="AJ241" s="69"/>
      <c r="AK241" s="70"/>
      <c r="AL241" s="71"/>
      <c r="AM241" s="56"/>
      <c r="AN241" s="56"/>
      <c r="AO241" s="64"/>
      <c r="AP241" s="64"/>
      <c r="AQ241" s="55"/>
      <c r="AR241" s="68"/>
      <c r="AS241" s="54"/>
      <c r="AT241" s="69"/>
      <c r="AU241" s="61"/>
      <c r="AV241" s="62"/>
      <c r="AW241" s="56"/>
      <c r="AX241" s="56"/>
      <c r="AY241" s="64"/>
      <c r="AZ241" s="64"/>
      <c r="BA241" s="55"/>
      <c r="BB241" s="72"/>
      <c r="BC241" s="68"/>
      <c r="BD241" s="69"/>
      <c r="BE241" s="66"/>
      <c r="BF241" s="67"/>
      <c r="BG241" s="56"/>
      <c r="BH241" s="56"/>
      <c r="BI241" s="64"/>
      <c r="BJ241" s="64"/>
      <c r="BK241" s="57"/>
      <c r="BL241" s="73"/>
      <c r="BM241" s="76"/>
      <c r="BN241" s="74"/>
      <c r="BO241" s="75"/>
      <c r="BP241" s="66"/>
      <c r="BQ241" s="74"/>
    </row>
    <row r="242" spans="1:69" s="44" customFormat="1" ht="22.35" customHeight="1" x14ac:dyDescent="0.2">
      <c r="A242" s="100"/>
      <c r="B242" s="100"/>
      <c r="C242" s="100"/>
      <c r="D242" s="54"/>
      <c r="E242" s="55"/>
      <c r="F242" s="56"/>
      <c r="G242" s="56"/>
      <c r="H242" s="57"/>
      <c r="I242" s="58"/>
      <c r="J242" s="58"/>
      <c r="K242" s="55"/>
      <c r="L242" s="59"/>
      <c r="M242" s="59"/>
      <c r="N242" s="59"/>
      <c r="O242" s="54"/>
      <c r="P242" s="60"/>
      <c r="Q242" s="66"/>
      <c r="R242" s="67"/>
      <c r="S242" s="56"/>
      <c r="T242" s="56"/>
      <c r="U242" s="63"/>
      <c r="V242" s="64"/>
      <c r="W242" s="55"/>
      <c r="X242" s="63"/>
      <c r="Y242" s="54"/>
      <c r="Z242" s="65"/>
      <c r="AA242" s="70"/>
      <c r="AB242" s="71"/>
      <c r="AC242" s="56"/>
      <c r="AD242" s="56"/>
      <c r="AE242" s="64"/>
      <c r="AF242" s="64"/>
      <c r="AG242" s="55"/>
      <c r="AH242" s="68"/>
      <c r="AI242" s="54"/>
      <c r="AJ242" s="69"/>
      <c r="AK242" s="70"/>
      <c r="AL242" s="71"/>
      <c r="AM242" s="56"/>
      <c r="AN242" s="56"/>
      <c r="AO242" s="64"/>
      <c r="AP242" s="64"/>
      <c r="AQ242" s="55"/>
      <c r="AR242" s="68"/>
      <c r="AS242" s="54"/>
      <c r="AT242" s="69"/>
      <c r="AU242" s="76"/>
      <c r="AV242" s="59"/>
      <c r="AW242" s="56"/>
      <c r="AX242" s="56"/>
      <c r="AY242" s="64"/>
      <c r="AZ242" s="64"/>
      <c r="BA242" s="55"/>
      <c r="BB242" s="72"/>
      <c r="BC242" s="68"/>
      <c r="BD242" s="69"/>
      <c r="BE242" s="66"/>
      <c r="BF242" s="67"/>
      <c r="BG242" s="56"/>
      <c r="BH242" s="56"/>
      <c r="BI242" s="64"/>
      <c r="BJ242" s="64"/>
      <c r="BK242" s="57"/>
      <c r="BL242" s="73"/>
      <c r="BM242" s="76"/>
      <c r="BN242" s="74"/>
      <c r="BO242" s="75"/>
      <c r="BP242" s="66"/>
      <c r="BQ242" s="74"/>
    </row>
    <row r="243" spans="1:69" s="44" customFormat="1" ht="22.35" customHeight="1" x14ac:dyDescent="0.2">
      <c r="A243" s="100"/>
      <c r="B243" s="100"/>
      <c r="C243" s="100"/>
      <c r="D243" s="54"/>
      <c r="E243" s="55"/>
      <c r="F243" s="56"/>
      <c r="G243" s="56"/>
      <c r="H243" s="57"/>
      <c r="I243" s="58"/>
      <c r="J243" s="58"/>
      <c r="K243" s="55"/>
      <c r="L243" s="59"/>
      <c r="M243" s="59"/>
      <c r="N243" s="59"/>
      <c r="O243" s="54"/>
      <c r="P243" s="60"/>
      <c r="Q243" s="66"/>
      <c r="R243" s="67"/>
      <c r="S243" s="56"/>
      <c r="T243" s="56"/>
      <c r="U243" s="63"/>
      <c r="V243" s="64"/>
      <c r="W243" s="55"/>
      <c r="X243" s="63"/>
      <c r="Y243" s="54"/>
      <c r="Z243" s="65"/>
      <c r="AA243" s="66"/>
      <c r="AB243" s="67"/>
      <c r="AC243" s="56"/>
      <c r="AD243" s="56"/>
      <c r="AE243" s="64"/>
      <c r="AF243" s="64"/>
      <c r="AG243" s="55"/>
      <c r="AH243" s="68"/>
      <c r="AI243" s="54"/>
      <c r="AJ243" s="69"/>
      <c r="AK243" s="61"/>
      <c r="AL243" s="62"/>
      <c r="AM243" s="56"/>
      <c r="AN243" s="56"/>
      <c r="AO243" s="64"/>
      <c r="AP243" s="64"/>
      <c r="AQ243" s="55"/>
      <c r="AR243" s="68"/>
      <c r="AS243" s="54"/>
      <c r="AT243" s="69"/>
      <c r="AU243" s="61"/>
      <c r="AV243" s="62"/>
      <c r="AW243" s="56"/>
      <c r="AX243" s="56"/>
      <c r="AY243" s="64"/>
      <c r="AZ243" s="64"/>
      <c r="BA243" s="55"/>
      <c r="BB243" s="72"/>
      <c r="BC243" s="68"/>
      <c r="BD243" s="69"/>
      <c r="BE243" s="70"/>
      <c r="BF243" s="71"/>
      <c r="BG243" s="56"/>
      <c r="BH243" s="56"/>
      <c r="BI243" s="64"/>
      <c r="BJ243" s="64"/>
      <c r="BK243" s="57"/>
      <c r="BL243" s="73"/>
      <c r="BM243" s="70"/>
      <c r="BN243" s="74"/>
      <c r="BO243" s="75"/>
      <c r="BP243" s="66"/>
      <c r="BQ243" s="74"/>
    </row>
    <row r="244" spans="1:69" s="44" customFormat="1" ht="22.35" customHeight="1" x14ac:dyDescent="0.2">
      <c r="A244" s="100"/>
      <c r="B244" s="100"/>
      <c r="C244" s="100"/>
      <c r="D244" s="54"/>
      <c r="E244" s="55"/>
      <c r="F244" s="56"/>
      <c r="G244" s="56"/>
      <c r="H244" s="57"/>
      <c r="I244" s="58"/>
      <c r="J244" s="58"/>
      <c r="K244" s="55"/>
      <c r="L244" s="59"/>
      <c r="M244" s="59"/>
      <c r="N244" s="59"/>
      <c r="O244" s="54"/>
      <c r="P244" s="60"/>
      <c r="Q244" s="66"/>
      <c r="R244" s="67"/>
      <c r="S244" s="56"/>
      <c r="T244" s="56"/>
      <c r="U244" s="63"/>
      <c r="V244" s="64"/>
      <c r="W244" s="55"/>
      <c r="X244" s="63"/>
      <c r="Y244" s="54"/>
      <c r="Z244" s="65"/>
      <c r="AA244" s="70"/>
      <c r="AB244" s="71"/>
      <c r="AC244" s="56"/>
      <c r="AD244" s="56"/>
      <c r="AE244" s="64"/>
      <c r="AF244" s="64"/>
      <c r="AG244" s="55"/>
      <c r="AH244" s="68"/>
      <c r="AI244" s="54"/>
      <c r="AJ244" s="69"/>
      <c r="AK244" s="76"/>
      <c r="AL244" s="59"/>
      <c r="AM244" s="56"/>
      <c r="AN244" s="56"/>
      <c r="AO244" s="64"/>
      <c r="AP244" s="64"/>
      <c r="AQ244" s="55"/>
      <c r="AR244" s="68"/>
      <c r="AS244" s="54"/>
      <c r="AT244" s="69"/>
      <c r="AU244" s="61"/>
      <c r="AV244" s="62"/>
      <c r="AW244" s="56"/>
      <c r="AX244" s="56"/>
      <c r="AY244" s="64"/>
      <c r="AZ244" s="64"/>
      <c r="BA244" s="55"/>
      <c r="BB244" s="72"/>
      <c r="BC244" s="68"/>
      <c r="BD244" s="69"/>
      <c r="BE244" s="70"/>
      <c r="BF244" s="71"/>
      <c r="BG244" s="56"/>
      <c r="BH244" s="56"/>
      <c r="BI244" s="64"/>
      <c r="BJ244" s="64"/>
      <c r="BK244" s="57"/>
      <c r="BL244" s="73"/>
      <c r="BM244" s="76"/>
      <c r="BN244" s="74"/>
      <c r="BO244" s="75"/>
      <c r="BP244" s="66"/>
      <c r="BQ244" s="74"/>
    </row>
    <row r="245" spans="1:69" s="44" customFormat="1" ht="22.35" customHeight="1" x14ac:dyDescent="0.2">
      <c r="A245" s="100"/>
      <c r="B245" s="100"/>
      <c r="C245" s="100"/>
      <c r="D245" s="54"/>
      <c r="E245" s="55"/>
      <c r="F245" s="56"/>
      <c r="G245" s="56"/>
      <c r="H245" s="57"/>
      <c r="I245" s="58"/>
      <c r="J245" s="58"/>
      <c r="K245" s="55"/>
      <c r="L245" s="59"/>
      <c r="M245" s="59"/>
      <c r="N245" s="59"/>
      <c r="O245" s="54"/>
      <c r="P245" s="60"/>
      <c r="Q245" s="61"/>
      <c r="R245" s="62"/>
      <c r="S245" s="56"/>
      <c r="T245" s="56"/>
      <c r="U245" s="63"/>
      <c r="V245" s="64"/>
      <c r="W245" s="55"/>
      <c r="X245" s="63"/>
      <c r="Y245" s="54"/>
      <c r="Z245" s="65"/>
      <c r="AA245" s="61"/>
      <c r="AB245" s="62"/>
      <c r="AC245" s="56"/>
      <c r="AD245" s="56"/>
      <c r="AE245" s="64"/>
      <c r="AF245" s="64"/>
      <c r="AG245" s="55"/>
      <c r="AH245" s="68"/>
      <c r="AI245" s="54"/>
      <c r="AJ245" s="69"/>
      <c r="AK245" s="61"/>
      <c r="AL245" s="62"/>
      <c r="AM245" s="56"/>
      <c r="AN245" s="56"/>
      <c r="AO245" s="64"/>
      <c r="AP245" s="64"/>
      <c r="AQ245" s="55"/>
      <c r="AR245" s="68"/>
      <c r="AS245" s="54"/>
      <c r="AT245" s="69"/>
      <c r="AU245" s="61"/>
      <c r="AV245" s="62"/>
      <c r="AW245" s="56"/>
      <c r="AX245" s="56"/>
      <c r="AY245" s="64"/>
      <c r="AZ245" s="64"/>
      <c r="BA245" s="55"/>
      <c r="BB245" s="72"/>
      <c r="BC245" s="68"/>
      <c r="BD245" s="69"/>
      <c r="BE245" s="70"/>
      <c r="BF245" s="71"/>
      <c r="BG245" s="56"/>
      <c r="BH245" s="56"/>
      <c r="BI245" s="64"/>
      <c r="BJ245" s="64"/>
      <c r="BK245" s="57"/>
      <c r="BL245" s="73"/>
      <c r="BM245" s="70"/>
      <c r="BN245" s="74"/>
      <c r="BO245" s="75"/>
      <c r="BP245" s="66"/>
      <c r="BQ245" s="74"/>
    </row>
    <row r="246" spans="1:69" s="44" customFormat="1" ht="22.35" customHeight="1" x14ac:dyDescent="0.2">
      <c r="A246" s="100"/>
      <c r="B246" s="100"/>
      <c r="C246" s="100"/>
      <c r="D246" s="54"/>
      <c r="E246" s="55"/>
      <c r="F246" s="56"/>
      <c r="G246" s="56"/>
      <c r="H246" s="57"/>
      <c r="I246" s="58"/>
      <c r="J246" s="58"/>
      <c r="K246" s="55"/>
      <c r="L246" s="59"/>
      <c r="M246" s="59"/>
      <c r="N246" s="59"/>
      <c r="O246" s="54"/>
      <c r="P246" s="60"/>
      <c r="Q246" s="66"/>
      <c r="R246" s="67"/>
      <c r="S246" s="56"/>
      <c r="T246" s="56"/>
      <c r="U246" s="63"/>
      <c r="V246" s="64"/>
      <c r="W246" s="55"/>
      <c r="X246" s="63"/>
      <c r="Y246" s="54"/>
      <c r="Z246" s="65"/>
      <c r="AA246" s="70"/>
      <c r="AB246" s="71"/>
      <c r="AC246" s="56"/>
      <c r="AD246" s="56"/>
      <c r="AE246" s="64"/>
      <c r="AF246" s="64"/>
      <c r="AG246" s="55"/>
      <c r="AH246" s="68"/>
      <c r="AI246" s="54"/>
      <c r="AJ246" s="69"/>
      <c r="AK246" s="76"/>
      <c r="AL246" s="59"/>
      <c r="AM246" s="56"/>
      <c r="AN246" s="56"/>
      <c r="AO246" s="64"/>
      <c r="AP246" s="64"/>
      <c r="AQ246" s="55"/>
      <c r="AR246" s="68"/>
      <c r="AS246" s="54"/>
      <c r="AT246" s="69"/>
      <c r="AU246" s="61"/>
      <c r="AV246" s="62"/>
      <c r="AW246" s="56"/>
      <c r="AX246" s="56"/>
      <c r="AY246" s="64"/>
      <c r="AZ246" s="64"/>
      <c r="BA246" s="55"/>
      <c r="BB246" s="72"/>
      <c r="BC246" s="68"/>
      <c r="BD246" s="69"/>
      <c r="BE246" s="66"/>
      <c r="BF246" s="67"/>
      <c r="BG246" s="56"/>
      <c r="BH246" s="56"/>
      <c r="BI246" s="64"/>
      <c r="BJ246" s="64"/>
      <c r="BK246" s="57"/>
      <c r="BL246" s="73"/>
      <c r="BM246" s="70"/>
      <c r="BN246" s="74"/>
      <c r="BO246" s="75"/>
      <c r="BP246" s="66"/>
      <c r="BQ246" s="74"/>
    </row>
    <row r="247" spans="1:69" s="44" customFormat="1" ht="22.35" customHeight="1" x14ac:dyDescent="0.2">
      <c r="A247" s="100"/>
      <c r="B247" s="100"/>
      <c r="C247" s="100"/>
      <c r="D247" s="54"/>
      <c r="E247" s="55"/>
      <c r="F247" s="56"/>
      <c r="G247" s="56"/>
      <c r="H247" s="57"/>
      <c r="I247" s="58"/>
      <c r="J247" s="58"/>
      <c r="K247" s="55"/>
      <c r="L247" s="59"/>
      <c r="M247" s="59"/>
      <c r="N247" s="59"/>
      <c r="O247" s="54"/>
      <c r="P247" s="60"/>
      <c r="Q247" s="66"/>
      <c r="R247" s="67"/>
      <c r="S247" s="56"/>
      <c r="T247" s="56"/>
      <c r="U247" s="63"/>
      <c r="V247" s="64"/>
      <c r="W247" s="55"/>
      <c r="X247" s="63"/>
      <c r="Y247" s="54"/>
      <c r="Z247" s="65"/>
      <c r="AA247" s="70"/>
      <c r="AB247" s="71"/>
      <c r="AC247" s="56"/>
      <c r="AD247" s="56"/>
      <c r="AE247" s="64"/>
      <c r="AF247" s="64"/>
      <c r="AG247" s="55"/>
      <c r="AH247" s="68"/>
      <c r="AI247" s="54"/>
      <c r="AJ247" s="69"/>
      <c r="AK247" s="61"/>
      <c r="AL247" s="62"/>
      <c r="AM247" s="56"/>
      <c r="AN247" s="56"/>
      <c r="AO247" s="64"/>
      <c r="AP247" s="64"/>
      <c r="AQ247" s="55"/>
      <c r="AR247" s="68"/>
      <c r="AS247" s="54"/>
      <c r="AT247" s="69"/>
      <c r="AU247" s="61"/>
      <c r="AV247" s="62"/>
      <c r="AW247" s="56"/>
      <c r="AX247" s="56"/>
      <c r="AY247" s="64"/>
      <c r="AZ247" s="64"/>
      <c r="BA247" s="55"/>
      <c r="BB247" s="72"/>
      <c r="BC247" s="68"/>
      <c r="BD247" s="69"/>
      <c r="BE247" s="76"/>
      <c r="BF247" s="59"/>
      <c r="BG247" s="56"/>
      <c r="BH247" s="56"/>
      <c r="BI247" s="64"/>
      <c r="BJ247" s="64"/>
      <c r="BK247" s="57"/>
      <c r="BL247" s="73"/>
      <c r="BM247" s="76"/>
      <c r="BN247" s="74"/>
      <c r="BO247" s="75"/>
      <c r="BP247" s="66"/>
      <c r="BQ247" s="74"/>
    </row>
    <row r="248" spans="1:69" s="44" customFormat="1" ht="22.35" customHeight="1" x14ac:dyDescent="0.2">
      <c r="A248" s="100"/>
      <c r="B248" s="100"/>
      <c r="C248" s="100"/>
      <c r="D248" s="54"/>
      <c r="E248" s="55"/>
      <c r="F248" s="56"/>
      <c r="G248" s="56"/>
      <c r="H248" s="57"/>
      <c r="I248" s="58"/>
      <c r="J248" s="58"/>
      <c r="K248" s="55"/>
      <c r="L248" s="59"/>
      <c r="M248" s="59"/>
      <c r="N248" s="59"/>
      <c r="O248" s="54"/>
      <c r="P248" s="60"/>
      <c r="Q248" s="66"/>
      <c r="R248" s="67"/>
      <c r="S248" s="56"/>
      <c r="T248" s="56"/>
      <c r="U248" s="63"/>
      <c r="V248" s="64"/>
      <c r="W248" s="55"/>
      <c r="X248" s="63"/>
      <c r="Y248" s="54"/>
      <c r="Z248" s="65"/>
      <c r="AA248" s="76"/>
      <c r="AB248" s="59"/>
      <c r="AC248" s="56"/>
      <c r="AD248" s="56"/>
      <c r="AE248" s="64"/>
      <c r="AF248" s="64"/>
      <c r="AG248" s="55"/>
      <c r="AH248" s="68"/>
      <c r="AI248" s="54"/>
      <c r="AJ248" s="69"/>
      <c r="AK248" s="61"/>
      <c r="AL248" s="62"/>
      <c r="AM248" s="56"/>
      <c r="AN248" s="56"/>
      <c r="AO248" s="64"/>
      <c r="AP248" s="64"/>
      <c r="AQ248" s="55"/>
      <c r="AR248" s="68"/>
      <c r="AS248" s="54"/>
      <c r="AT248" s="69"/>
      <c r="AU248" s="61"/>
      <c r="AV248" s="62"/>
      <c r="AW248" s="56"/>
      <c r="AX248" s="56"/>
      <c r="AY248" s="64"/>
      <c r="AZ248" s="64"/>
      <c r="BA248" s="55"/>
      <c r="BB248" s="72"/>
      <c r="BC248" s="68"/>
      <c r="BD248" s="69"/>
      <c r="BE248" s="76"/>
      <c r="BF248" s="59"/>
      <c r="BG248" s="56"/>
      <c r="BH248" s="56"/>
      <c r="BI248" s="64"/>
      <c r="BJ248" s="64"/>
      <c r="BK248" s="57"/>
      <c r="BL248" s="73"/>
      <c r="BM248" s="76"/>
      <c r="BN248" s="74"/>
      <c r="BO248" s="75"/>
      <c r="BP248" s="66"/>
      <c r="BQ248" s="74"/>
    </row>
    <row r="249" spans="1:69" s="44" customFormat="1" ht="22.35" customHeight="1" x14ac:dyDescent="0.2">
      <c r="A249" s="100"/>
      <c r="B249" s="100"/>
      <c r="C249" s="100"/>
      <c r="D249" s="54"/>
      <c r="E249" s="55"/>
      <c r="F249" s="56"/>
      <c r="G249" s="56"/>
      <c r="H249" s="57"/>
      <c r="I249" s="58"/>
      <c r="J249" s="58"/>
      <c r="K249" s="55"/>
      <c r="L249" s="59"/>
      <c r="M249" s="59"/>
      <c r="N249" s="59"/>
      <c r="O249" s="54"/>
      <c r="P249" s="60"/>
      <c r="Q249" s="66"/>
      <c r="R249" s="67"/>
      <c r="S249" s="56"/>
      <c r="T249" s="56"/>
      <c r="U249" s="63"/>
      <c r="V249" s="64"/>
      <c r="W249" s="55"/>
      <c r="X249" s="63"/>
      <c r="Y249" s="54"/>
      <c r="Z249" s="65"/>
      <c r="AA249" s="70"/>
      <c r="AB249" s="71"/>
      <c r="AC249" s="56"/>
      <c r="AD249" s="56"/>
      <c r="AE249" s="64"/>
      <c r="AF249" s="64"/>
      <c r="AG249" s="55"/>
      <c r="AH249" s="68"/>
      <c r="AI249" s="54"/>
      <c r="AJ249" s="69"/>
      <c r="AK249" s="61"/>
      <c r="AL249" s="62"/>
      <c r="AM249" s="56"/>
      <c r="AN249" s="56"/>
      <c r="AO249" s="64"/>
      <c r="AP249" s="64"/>
      <c r="AQ249" s="55"/>
      <c r="AR249" s="68"/>
      <c r="AS249" s="54"/>
      <c r="AT249" s="69"/>
      <c r="AU249" s="61"/>
      <c r="AV249" s="62"/>
      <c r="AW249" s="56"/>
      <c r="AX249" s="56"/>
      <c r="AY249" s="64"/>
      <c r="AZ249" s="64"/>
      <c r="BA249" s="55"/>
      <c r="BB249" s="72"/>
      <c r="BC249" s="68"/>
      <c r="BD249" s="69"/>
      <c r="BE249" s="70"/>
      <c r="BF249" s="71"/>
      <c r="BG249" s="56"/>
      <c r="BH249" s="56"/>
      <c r="BI249" s="64"/>
      <c r="BJ249" s="64"/>
      <c r="BK249" s="57"/>
      <c r="BL249" s="73"/>
      <c r="BM249" s="70"/>
      <c r="BN249" s="74"/>
      <c r="BO249" s="75"/>
      <c r="BP249" s="66"/>
      <c r="BQ249" s="74"/>
    </row>
    <row r="250" spans="1:69" s="44" customFormat="1" ht="22.35" customHeight="1" x14ac:dyDescent="0.2">
      <c r="A250" s="100"/>
      <c r="B250" s="100"/>
      <c r="C250" s="100"/>
      <c r="D250" s="54"/>
      <c r="E250" s="55"/>
      <c r="F250" s="56"/>
      <c r="G250" s="56"/>
      <c r="H250" s="57"/>
      <c r="I250" s="58"/>
      <c r="J250" s="58"/>
      <c r="K250" s="55"/>
      <c r="L250" s="59"/>
      <c r="M250" s="59"/>
      <c r="N250" s="59"/>
      <c r="O250" s="54"/>
      <c r="P250" s="60"/>
      <c r="Q250" s="66"/>
      <c r="R250" s="67"/>
      <c r="S250" s="56"/>
      <c r="T250" s="56"/>
      <c r="U250" s="63"/>
      <c r="V250" s="64"/>
      <c r="W250" s="55"/>
      <c r="X250" s="63"/>
      <c r="Y250" s="54"/>
      <c r="Z250" s="65"/>
      <c r="AA250" s="66"/>
      <c r="AB250" s="67"/>
      <c r="AC250" s="56"/>
      <c r="AD250" s="56"/>
      <c r="AE250" s="64"/>
      <c r="AF250" s="64"/>
      <c r="AG250" s="55"/>
      <c r="AH250" s="68"/>
      <c r="AI250" s="54"/>
      <c r="AJ250" s="69"/>
      <c r="AK250" s="66"/>
      <c r="AL250" s="67"/>
      <c r="AM250" s="56"/>
      <c r="AN250" s="56"/>
      <c r="AO250" s="64"/>
      <c r="AP250" s="64"/>
      <c r="AQ250" s="55"/>
      <c r="AR250" s="68"/>
      <c r="AS250" s="54"/>
      <c r="AT250" s="69"/>
      <c r="AU250" s="61"/>
      <c r="AV250" s="62"/>
      <c r="AW250" s="56"/>
      <c r="AX250" s="56"/>
      <c r="AY250" s="64"/>
      <c r="AZ250" s="64"/>
      <c r="BA250" s="55"/>
      <c r="BB250" s="72"/>
      <c r="BC250" s="68"/>
      <c r="BD250" s="69"/>
      <c r="BE250" s="66"/>
      <c r="BF250" s="67"/>
      <c r="BG250" s="56"/>
      <c r="BH250" s="56"/>
      <c r="BI250" s="64"/>
      <c r="BJ250" s="64"/>
      <c r="BK250" s="57"/>
      <c r="BL250" s="73"/>
      <c r="BM250" s="76"/>
      <c r="BN250" s="74"/>
      <c r="BO250" s="75"/>
      <c r="BP250" s="66"/>
      <c r="BQ250" s="74"/>
    </row>
    <row r="251" spans="1:69" s="44" customFormat="1" ht="22.35" customHeight="1" x14ac:dyDescent="0.2">
      <c r="A251" s="100"/>
      <c r="B251" s="100"/>
      <c r="C251" s="100"/>
      <c r="D251" s="54"/>
      <c r="E251" s="55"/>
      <c r="F251" s="56"/>
      <c r="G251" s="56"/>
      <c r="H251" s="57"/>
      <c r="I251" s="58"/>
      <c r="J251" s="58"/>
      <c r="K251" s="55"/>
      <c r="L251" s="59"/>
      <c r="M251" s="59"/>
      <c r="N251" s="59"/>
      <c r="O251" s="54"/>
      <c r="P251" s="60"/>
      <c r="Q251" s="66"/>
      <c r="R251" s="67"/>
      <c r="S251" s="56"/>
      <c r="T251" s="56"/>
      <c r="U251" s="63"/>
      <c r="V251" s="64"/>
      <c r="W251" s="55"/>
      <c r="X251" s="63"/>
      <c r="Y251" s="54"/>
      <c r="Z251" s="65"/>
      <c r="AA251" s="76"/>
      <c r="AB251" s="59"/>
      <c r="AC251" s="56"/>
      <c r="AD251" s="56"/>
      <c r="AE251" s="64"/>
      <c r="AF251" s="64"/>
      <c r="AG251" s="55"/>
      <c r="AH251" s="68"/>
      <c r="AI251" s="54"/>
      <c r="AJ251" s="69"/>
      <c r="AK251" s="61"/>
      <c r="AL251" s="62"/>
      <c r="AM251" s="56"/>
      <c r="AN251" s="56"/>
      <c r="AO251" s="64"/>
      <c r="AP251" s="64"/>
      <c r="AQ251" s="55"/>
      <c r="AR251" s="68"/>
      <c r="AS251" s="54"/>
      <c r="AT251" s="69"/>
      <c r="AU251" s="61"/>
      <c r="AV251" s="62"/>
      <c r="AW251" s="56"/>
      <c r="AX251" s="56"/>
      <c r="AY251" s="64"/>
      <c r="AZ251" s="64"/>
      <c r="BA251" s="55"/>
      <c r="BB251" s="72"/>
      <c r="BC251" s="68"/>
      <c r="BD251" s="69"/>
      <c r="BE251" s="76"/>
      <c r="BF251" s="59"/>
      <c r="BG251" s="56"/>
      <c r="BH251" s="56"/>
      <c r="BI251" s="64"/>
      <c r="BJ251" s="64"/>
      <c r="BK251" s="57"/>
      <c r="BL251" s="73"/>
      <c r="BM251" s="70"/>
      <c r="BN251" s="74"/>
      <c r="BO251" s="75"/>
      <c r="BP251" s="66"/>
      <c r="BQ251" s="74"/>
    </row>
    <row r="252" spans="1:69" s="44" customFormat="1" ht="22.35" customHeight="1" x14ac:dyDescent="0.2">
      <c r="A252" s="100"/>
      <c r="B252" s="100"/>
      <c r="C252" s="100"/>
      <c r="D252" s="54"/>
      <c r="E252" s="55"/>
      <c r="F252" s="56"/>
      <c r="G252" s="56"/>
      <c r="H252" s="57"/>
      <c r="I252" s="58"/>
      <c r="J252" s="58"/>
      <c r="K252" s="55"/>
      <c r="L252" s="59"/>
      <c r="M252" s="59"/>
      <c r="N252" s="59"/>
      <c r="O252" s="54"/>
      <c r="P252" s="60"/>
      <c r="Q252" s="66"/>
      <c r="R252" s="67"/>
      <c r="S252" s="56"/>
      <c r="T252" s="56"/>
      <c r="U252" s="63"/>
      <c r="V252" s="64"/>
      <c r="W252" s="55"/>
      <c r="X252" s="63"/>
      <c r="Y252" s="54"/>
      <c r="Z252" s="65"/>
      <c r="AA252" s="61"/>
      <c r="AB252" s="62"/>
      <c r="AC252" s="56"/>
      <c r="AD252" s="56"/>
      <c r="AE252" s="64"/>
      <c r="AF252" s="64"/>
      <c r="AG252" s="55"/>
      <c r="AH252" s="68"/>
      <c r="AI252" s="54"/>
      <c r="AJ252" s="69"/>
      <c r="AK252" s="61"/>
      <c r="AL252" s="62"/>
      <c r="AM252" s="56"/>
      <c r="AN252" s="56"/>
      <c r="AO252" s="64"/>
      <c r="AP252" s="64"/>
      <c r="AQ252" s="55"/>
      <c r="AR252" s="68"/>
      <c r="AS252" s="54"/>
      <c r="AT252" s="69"/>
      <c r="AU252" s="61"/>
      <c r="AV252" s="62"/>
      <c r="AW252" s="56"/>
      <c r="AX252" s="56"/>
      <c r="AY252" s="64"/>
      <c r="AZ252" s="64"/>
      <c r="BA252" s="55"/>
      <c r="BB252" s="72"/>
      <c r="BC252" s="68"/>
      <c r="BD252" s="69"/>
      <c r="BE252" s="61"/>
      <c r="BF252" s="62"/>
      <c r="BG252" s="56"/>
      <c r="BH252" s="56"/>
      <c r="BI252" s="64"/>
      <c r="BJ252" s="64"/>
      <c r="BK252" s="57"/>
      <c r="BL252" s="73"/>
      <c r="BM252" s="70"/>
      <c r="BN252" s="74"/>
      <c r="BO252" s="75"/>
      <c r="BP252" s="66"/>
      <c r="BQ252" s="74"/>
    </row>
    <row r="253" spans="1:69" s="44" customFormat="1" ht="22.35" customHeight="1" x14ac:dyDescent="0.2">
      <c r="A253" s="100"/>
      <c r="B253" s="100"/>
      <c r="C253" s="100"/>
      <c r="D253" s="54"/>
      <c r="E253" s="55"/>
      <c r="F253" s="56"/>
      <c r="G253" s="56"/>
      <c r="H253" s="57"/>
      <c r="I253" s="58"/>
      <c r="J253" s="58"/>
      <c r="K253" s="55"/>
      <c r="L253" s="59"/>
      <c r="M253" s="59"/>
      <c r="N253" s="59"/>
      <c r="O253" s="54"/>
      <c r="P253" s="60"/>
      <c r="Q253" s="66"/>
      <c r="R253" s="67"/>
      <c r="S253" s="56"/>
      <c r="T253" s="56"/>
      <c r="U253" s="63"/>
      <c r="V253" s="64"/>
      <c r="W253" s="55"/>
      <c r="X253" s="63"/>
      <c r="Y253" s="54"/>
      <c r="Z253" s="65"/>
      <c r="AA253" s="66"/>
      <c r="AB253" s="67"/>
      <c r="AC253" s="56"/>
      <c r="AD253" s="56"/>
      <c r="AE253" s="64"/>
      <c r="AF253" s="64"/>
      <c r="AG253" s="55"/>
      <c r="AH253" s="68"/>
      <c r="AI253" s="54"/>
      <c r="AJ253" s="69"/>
      <c r="AK253" s="70"/>
      <c r="AL253" s="71"/>
      <c r="AM253" s="56"/>
      <c r="AN253" s="56"/>
      <c r="AO253" s="64"/>
      <c r="AP253" s="64"/>
      <c r="AQ253" s="55"/>
      <c r="AR253" s="68"/>
      <c r="AS253" s="54"/>
      <c r="AT253" s="69"/>
      <c r="AU253" s="61"/>
      <c r="AV253" s="62"/>
      <c r="AW253" s="56"/>
      <c r="AX253" s="56"/>
      <c r="AY253" s="64"/>
      <c r="AZ253" s="64"/>
      <c r="BA253" s="55"/>
      <c r="BB253" s="72"/>
      <c r="BC253" s="68"/>
      <c r="BD253" s="69"/>
      <c r="BE253" s="70"/>
      <c r="BF253" s="71"/>
      <c r="BG253" s="56"/>
      <c r="BH253" s="56"/>
      <c r="BI253" s="64"/>
      <c r="BJ253" s="64"/>
      <c r="BK253" s="57"/>
      <c r="BL253" s="73"/>
      <c r="BM253" s="70"/>
      <c r="BN253" s="74"/>
      <c r="BO253" s="75"/>
      <c r="BP253" s="66"/>
      <c r="BQ253" s="74"/>
    </row>
    <row r="254" spans="1:69" s="44" customFormat="1" ht="22.35" customHeight="1" x14ac:dyDescent="0.2">
      <c r="A254" s="100"/>
      <c r="B254" s="100"/>
      <c r="C254" s="100"/>
      <c r="D254" s="54"/>
      <c r="E254" s="55"/>
      <c r="F254" s="56"/>
      <c r="G254" s="56"/>
      <c r="H254" s="57"/>
      <c r="I254" s="58"/>
      <c r="J254" s="58"/>
      <c r="K254" s="55"/>
      <c r="L254" s="59"/>
      <c r="M254" s="59"/>
      <c r="N254" s="59"/>
      <c r="O254" s="54"/>
      <c r="P254" s="60"/>
      <c r="Q254" s="66"/>
      <c r="R254" s="67"/>
      <c r="S254" s="56"/>
      <c r="T254" s="56"/>
      <c r="U254" s="63"/>
      <c r="V254" s="64"/>
      <c r="W254" s="55"/>
      <c r="X254" s="63"/>
      <c r="Y254" s="54"/>
      <c r="Z254" s="65"/>
      <c r="AA254" s="66"/>
      <c r="AB254" s="67"/>
      <c r="AC254" s="56"/>
      <c r="AD254" s="56"/>
      <c r="AE254" s="64"/>
      <c r="AF254" s="64"/>
      <c r="AG254" s="55"/>
      <c r="AH254" s="68"/>
      <c r="AI254" s="54"/>
      <c r="AJ254" s="69"/>
      <c r="AK254" s="61"/>
      <c r="AL254" s="62"/>
      <c r="AM254" s="56"/>
      <c r="AN254" s="56"/>
      <c r="AO254" s="64"/>
      <c r="AP254" s="64"/>
      <c r="AQ254" s="55"/>
      <c r="AR254" s="68"/>
      <c r="AS254" s="54"/>
      <c r="AT254" s="69"/>
      <c r="AU254" s="61"/>
      <c r="AV254" s="62"/>
      <c r="AW254" s="56"/>
      <c r="AX254" s="56"/>
      <c r="AY254" s="64"/>
      <c r="AZ254" s="64"/>
      <c r="BA254" s="55"/>
      <c r="BB254" s="72"/>
      <c r="BC254" s="68"/>
      <c r="BD254" s="69"/>
      <c r="BE254" s="66"/>
      <c r="BF254" s="67"/>
      <c r="BG254" s="56"/>
      <c r="BH254" s="56"/>
      <c r="BI254" s="64"/>
      <c r="BJ254" s="64"/>
      <c r="BK254" s="57"/>
      <c r="BL254" s="73"/>
      <c r="BM254" s="76"/>
      <c r="BN254" s="74"/>
      <c r="BO254" s="75"/>
      <c r="BP254" s="66"/>
      <c r="BQ254" s="74"/>
    </row>
    <row r="255" spans="1:69" s="44" customFormat="1" ht="22.35" customHeight="1" x14ac:dyDescent="0.2">
      <c r="A255" s="100"/>
      <c r="B255" s="100"/>
      <c r="C255" s="100"/>
      <c r="D255" s="54"/>
      <c r="E255" s="55"/>
      <c r="F255" s="56"/>
      <c r="G255" s="56"/>
      <c r="H255" s="57"/>
      <c r="I255" s="58"/>
      <c r="J255" s="58"/>
      <c r="K255" s="55"/>
      <c r="L255" s="59"/>
      <c r="M255" s="59"/>
      <c r="N255" s="59"/>
      <c r="O255" s="54"/>
      <c r="P255" s="60"/>
      <c r="Q255" s="66"/>
      <c r="R255" s="67"/>
      <c r="S255" s="56"/>
      <c r="T255" s="56"/>
      <c r="U255" s="63"/>
      <c r="V255" s="64"/>
      <c r="W255" s="55"/>
      <c r="X255" s="63"/>
      <c r="Y255" s="54"/>
      <c r="Z255" s="65"/>
      <c r="AA255" s="66"/>
      <c r="AB255" s="67"/>
      <c r="AC255" s="56"/>
      <c r="AD255" s="56"/>
      <c r="AE255" s="64"/>
      <c r="AF255" s="64"/>
      <c r="AG255" s="55"/>
      <c r="AH255" s="68"/>
      <c r="AI255" s="54"/>
      <c r="AJ255" s="69"/>
      <c r="AK255" s="66"/>
      <c r="AL255" s="67"/>
      <c r="AM255" s="56"/>
      <c r="AN255" s="56"/>
      <c r="AO255" s="64"/>
      <c r="AP255" s="64"/>
      <c r="AQ255" s="55"/>
      <c r="AR255" s="68"/>
      <c r="AS255" s="54"/>
      <c r="AT255" s="69"/>
      <c r="AU255" s="66"/>
      <c r="AV255" s="67"/>
      <c r="AW255" s="56"/>
      <c r="AX255" s="56"/>
      <c r="AY255" s="64"/>
      <c r="AZ255" s="64"/>
      <c r="BA255" s="55"/>
      <c r="BB255" s="72"/>
      <c r="BC255" s="68"/>
      <c r="BD255" s="69"/>
      <c r="BE255" s="66"/>
      <c r="BF255" s="67"/>
      <c r="BG255" s="56"/>
      <c r="BH255" s="56"/>
      <c r="BI255" s="64"/>
      <c r="BJ255" s="64"/>
      <c r="BK255" s="57"/>
      <c r="BL255" s="73"/>
      <c r="BM255" s="76"/>
      <c r="BN255" s="74"/>
      <c r="BO255" s="75"/>
      <c r="BP255" s="66"/>
      <c r="BQ255" s="74"/>
    </row>
    <row r="256" spans="1:69" s="44" customFormat="1" ht="22.35" customHeight="1" x14ac:dyDescent="0.2">
      <c r="A256" s="100"/>
      <c r="B256" s="100"/>
      <c r="C256" s="100"/>
      <c r="D256" s="54"/>
      <c r="E256" s="55"/>
      <c r="F256" s="56"/>
      <c r="G256" s="56"/>
      <c r="H256" s="57"/>
      <c r="I256" s="58"/>
      <c r="J256" s="58"/>
      <c r="K256" s="55"/>
      <c r="L256" s="59"/>
      <c r="M256" s="59"/>
      <c r="N256" s="59"/>
      <c r="O256" s="54"/>
      <c r="P256" s="60"/>
      <c r="Q256" s="66"/>
      <c r="R256" s="67"/>
      <c r="S256" s="56"/>
      <c r="T256" s="56"/>
      <c r="U256" s="63"/>
      <c r="V256" s="64"/>
      <c r="W256" s="55"/>
      <c r="X256" s="63"/>
      <c r="Y256" s="54"/>
      <c r="Z256" s="65"/>
      <c r="AA256" s="70"/>
      <c r="AB256" s="71"/>
      <c r="AC256" s="56"/>
      <c r="AD256" s="56"/>
      <c r="AE256" s="64"/>
      <c r="AF256" s="64"/>
      <c r="AG256" s="55"/>
      <c r="AH256" s="68"/>
      <c r="AI256" s="54"/>
      <c r="AJ256" s="69"/>
      <c r="AK256" s="61"/>
      <c r="AL256" s="62"/>
      <c r="AM256" s="56"/>
      <c r="AN256" s="56"/>
      <c r="AO256" s="64"/>
      <c r="AP256" s="64"/>
      <c r="AQ256" s="55"/>
      <c r="AR256" s="68"/>
      <c r="AS256" s="54"/>
      <c r="AT256" s="69"/>
      <c r="AU256" s="61"/>
      <c r="AV256" s="62"/>
      <c r="AW256" s="56"/>
      <c r="AX256" s="56"/>
      <c r="AY256" s="64"/>
      <c r="AZ256" s="64"/>
      <c r="BA256" s="55"/>
      <c r="BB256" s="72"/>
      <c r="BC256" s="68"/>
      <c r="BD256" s="69"/>
      <c r="BE256" s="70"/>
      <c r="BF256" s="71"/>
      <c r="BG256" s="56"/>
      <c r="BH256" s="56"/>
      <c r="BI256" s="64"/>
      <c r="BJ256" s="64"/>
      <c r="BK256" s="57"/>
      <c r="BL256" s="73"/>
      <c r="BM256" s="70"/>
      <c r="BN256" s="74"/>
      <c r="BO256" s="75"/>
      <c r="BP256" s="66"/>
      <c r="BQ256" s="74"/>
    </row>
    <row r="257" spans="1:69" s="44" customFormat="1" ht="22.35" customHeight="1" x14ac:dyDescent="0.2">
      <c r="A257" s="100"/>
      <c r="B257" s="100"/>
      <c r="C257" s="100"/>
      <c r="D257" s="54"/>
      <c r="E257" s="55"/>
      <c r="F257" s="56"/>
      <c r="G257" s="56"/>
      <c r="H257" s="57"/>
      <c r="I257" s="58"/>
      <c r="J257" s="58"/>
      <c r="K257" s="55"/>
      <c r="L257" s="59"/>
      <c r="M257" s="59"/>
      <c r="N257" s="59"/>
      <c r="O257" s="54"/>
      <c r="P257" s="60"/>
      <c r="Q257" s="66"/>
      <c r="R257" s="67"/>
      <c r="S257" s="56"/>
      <c r="T257" s="56"/>
      <c r="U257" s="63"/>
      <c r="V257" s="64"/>
      <c r="W257" s="55"/>
      <c r="X257" s="63"/>
      <c r="Y257" s="54"/>
      <c r="Z257" s="65"/>
      <c r="AA257" s="66"/>
      <c r="AB257" s="67"/>
      <c r="AC257" s="56"/>
      <c r="AD257" s="56"/>
      <c r="AE257" s="64"/>
      <c r="AF257" s="64"/>
      <c r="AG257" s="55"/>
      <c r="AH257" s="68"/>
      <c r="AI257" s="54"/>
      <c r="AJ257" s="69"/>
      <c r="AK257" s="76"/>
      <c r="AL257" s="59"/>
      <c r="AM257" s="56"/>
      <c r="AN257" s="56"/>
      <c r="AO257" s="64"/>
      <c r="AP257" s="64"/>
      <c r="AQ257" s="55"/>
      <c r="AR257" s="68"/>
      <c r="AS257" s="54"/>
      <c r="AT257" s="69"/>
      <c r="AU257" s="61"/>
      <c r="AV257" s="62"/>
      <c r="AW257" s="56"/>
      <c r="AX257" s="56"/>
      <c r="AY257" s="64"/>
      <c r="AZ257" s="64"/>
      <c r="BA257" s="55"/>
      <c r="BB257" s="72"/>
      <c r="BC257" s="68"/>
      <c r="BD257" s="69"/>
      <c r="BE257" s="66"/>
      <c r="BF257" s="67"/>
      <c r="BG257" s="56"/>
      <c r="BH257" s="56"/>
      <c r="BI257" s="64"/>
      <c r="BJ257" s="64"/>
      <c r="BK257" s="57"/>
      <c r="BL257" s="73"/>
      <c r="BM257" s="70"/>
      <c r="BN257" s="74"/>
      <c r="BO257" s="75"/>
      <c r="BP257" s="66"/>
      <c r="BQ257" s="74"/>
    </row>
    <row r="258" spans="1:69" s="44" customFormat="1" ht="22.35" customHeight="1" x14ac:dyDescent="0.2">
      <c r="A258" s="100"/>
      <c r="B258" s="100"/>
      <c r="C258" s="100"/>
      <c r="D258" s="54"/>
      <c r="E258" s="55"/>
      <c r="F258" s="56"/>
      <c r="G258" s="56"/>
      <c r="H258" s="57"/>
      <c r="I258" s="58"/>
      <c r="J258" s="58"/>
      <c r="K258" s="55"/>
      <c r="L258" s="59"/>
      <c r="M258" s="59"/>
      <c r="N258" s="59"/>
      <c r="O258" s="54"/>
      <c r="P258" s="60"/>
      <c r="Q258" s="66"/>
      <c r="R258" s="67"/>
      <c r="S258" s="56"/>
      <c r="T258" s="56"/>
      <c r="U258" s="63"/>
      <c r="V258" s="64"/>
      <c r="W258" s="55"/>
      <c r="X258" s="63"/>
      <c r="Y258" s="54"/>
      <c r="Z258" s="65"/>
      <c r="AA258" s="70"/>
      <c r="AB258" s="71"/>
      <c r="AC258" s="56"/>
      <c r="AD258" s="56"/>
      <c r="AE258" s="64"/>
      <c r="AF258" s="64"/>
      <c r="AG258" s="55"/>
      <c r="AH258" s="68"/>
      <c r="AI258" s="54"/>
      <c r="AJ258" s="69"/>
      <c r="AK258" s="76"/>
      <c r="AL258" s="59"/>
      <c r="AM258" s="56"/>
      <c r="AN258" s="56"/>
      <c r="AO258" s="64"/>
      <c r="AP258" s="64"/>
      <c r="AQ258" s="55"/>
      <c r="AR258" s="68"/>
      <c r="AS258" s="54"/>
      <c r="AT258" s="69"/>
      <c r="AU258" s="61"/>
      <c r="AV258" s="62"/>
      <c r="AW258" s="56"/>
      <c r="AX258" s="56"/>
      <c r="AY258" s="64"/>
      <c r="AZ258" s="64"/>
      <c r="BA258" s="55"/>
      <c r="BB258" s="72"/>
      <c r="BC258" s="68"/>
      <c r="BD258" s="69"/>
      <c r="BE258" s="70"/>
      <c r="BF258" s="71"/>
      <c r="BG258" s="56"/>
      <c r="BH258" s="56"/>
      <c r="BI258" s="64"/>
      <c r="BJ258" s="64"/>
      <c r="BK258" s="57"/>
      <c r="BL258" s="73"/>
      <c r="BM258" s="70"/>
      <c r="BN258" s="74"/>
      <c r="BO258" s="75"/>
      <c r="BP258" s="66"/>
      <c r="BQ258" s="74"/>
    </row>
    <row r="259" spans="1:69" s="44" customFormat="1" ht="22.35" customHeight="1" x14ac:dyDescent="0.2">
      <c r="A259" s="100"/>
      <c r="B259" s="100"/>
      <c r="C259" s="100"/>
      <c r="D259" s="54"/>
      <c r="E259" s="55"/>
      <c r="F259" s="56"/>
      <c r="G259" s="56"/>
      <c r="H259" s="57"/>
      <c r="I259" s="58"/>
      <c r="J259" s="58"/>
      <c r="K259" s="55"/>
      <c r="L259" s="59"/>
      <c r="M259" s="59"/>
      <c r="N259" s="59"/>
      <c r="O259" s="54"/>
      <c r="P259" s="60"/>
      <c r="Q259" s="70"/>
      <c r="R259" s="71"/>
      <c r="S259" s="56"/>
      <c r="T259" s="56"/>
      <c r="U259" s="63"/>
      <c r="V259" s="64"/>
      <c r="W259" s="55"/>
      <c r="X259" s="63"/>
      <c r="Y259" s="54"/>
      <c r="Z259" s="65"/>
      <c r="AA259" s="61"/>
      <c r="AB259" s="62"/>
      <c r="AC259" s="56"/>
      <c r="AD259" s="56"/>
      <c r="AE259" s="64"/>
      <c r="AF259" s="64"/>
      <c r="AG259" s="55"/>
      <c r="AH259" s="68"/>
      <c r="AI259" s="54"/>
      <c r="AJ259" s="69"/>
      <c r="AK259" s="76"/>
      <c r="AL259" s="59"/>
      <c r="AM259" s="56"/>
      <c r="AN259" s="56"/>
      <c r="AO259" s="64"/>
      <c r="AP259" s="64"/>
      <c r="AQ259" s="55"/>
      <c r="AR259" s="68"/>
      <c r="AS259" s="54"/>
      <c r="AT259" s="69"/>
      <c r="AU259" s="61"/>
      <c r="AV259" s="62"/>
      <c r="AW259" s="56"/>
      <c r="AX259" s="56"/>
      <c r="AY259" s="64"/>
      <c r="AZ259" s="64"/>
      <c r="BA259" s="55"/>
      <c r="BB259" s="72"/>
      <c r="BC259" s="68"/>
      <c r="BD259" s="69"/>
      <c r="BE259" s="70"/>
      <c r="BF259" s="71"/>
      <c r="BG259" s="56"/>
      <c r="BH259" s="56"/>
      <c r="BI259" s="64"/>
      <c r="BJ259" s="64"/>
      <c r="BK259" s="57"/>
      <c r="BL259" s="73"/>
      <c r="BM259" s="76"/>
      <c r="BN259" s="74"/>
      <c r="BO259" s="75"/>
      <c r="BP259" s="66"/>
      <c r="BQ259" s="74"/>
    </row>
    <row r="260" spans="1:69" s="44" customFormat="1" ht="22.35" customHeight="1" x14ac:dyDescent="0.2">
      <c r="A260" s="100"/>
      <c r="B260" s="100"/>
      <c r="C260" s="100"/>
      <c r="D260" s="54"/>
      <c r="E260" s="55"/>
      <c r="F260" s="56"/>
      <c r="G260" s="56"/>
      <c r="H260" s="57"/>
      <c r="I260" s="58"/>
      <c r="J260" s="58"/>
      <c r="K260" s="55"/>
      <c r="L260" s="59"/>
      <c r="M260" s="59"/>
      <c r="N260" s="59"/>
      <c r="O260" s="54"/>
      <c r="P260" s="60"/>
      <c r="Q260" s="66"/>
      <c r="R260" s="67"/>
      <c r="S260" s="56"/>
      <c r="T260" s="56"/>
      <c r="U260" s="63"/>
      <c r="V260" s="64"/>
      <c r="W260" s="55"/>
      <c r="X260" s="63"/>
      <c r="Y260" s="54"/>
      <c r="Z260" s="65"/>
      <c r="AA260" s="66"/>
      <c r="AB260" s="67"/>
      <c r="AC260" s="56"/>
      <c r="AD260" s="56"/>
      <c r="AE260" s="64"/>
      <c r="AF260" s="64"/>
      <c r="AG260" s="55"/>
      <c r="AH260" s="68"/>
      <c r="AI260" s="54"/>
      <c r="AJ260" s="69"/>
      <c r="AK260" s="70"/>
      <c r="AL260" s="71"/>
      <c r="AM260" s="56"/>
      <c r="AN260" s="56"/>
      <c r="AO260" s="64"/>
      <c r="AP260" s="64"/>
      <c r="AQ260" s="55"/>
      <c r="AR260" s="68"/>
      <c r="AS260" s="54"/>
      <c r="AT260" s="69"/>
      <c r="AU260" s="61"/>
      <c r="AV260" s="62"/>
      <c r="AW260" s="56"/>
      <c r="AX260" s="56"/>
      <c r="AY260" s="64"/>
      <c r="AZ260" s="64"/>
      <c r="BA260" s="55"/>
      <c r="BB260" s="72"/>
      <c r="BC260" s="68"/>
      <c r="BD260" s="69"/>
      <c r="BE260" s="66"/>
      <c r="BF260" s="67"/>
      <c r="BG260" s="56"/>
      <c r="BH260" s="56"/>
      <c r="BI260" s="64"/>
      <c r="BJ260" s="64"/>
      <c r="BK260" s="57"/>
      <c r="BL260" s="73"/>
      <c r="BM260" s="76"/>
      <c r="BN260" s="74"/>
      <c r="BO260" s="75"/>
      <c r="BP260" s="66"/>
      <c r="BQ260" s="74"/>
    </row>
    <row r="261" spans="1:69" s="44" customFormat="1" ht="22.35" customHeight="1" x14ac:dyDescent="0.2">
      <c r="A261" s="100"/>
      <c r="B261" s="100"/>
      <c r="C261" s="100"/>
      <c r="D261" s="54"/>
      <c r="E261" s="55"/>
      <c r="F261" s="56"/>
      <c r="G261" s="56"/>
      <c r="H261" s="57"/>
      <c r="I261" s="58"/>
      <c r="J261" s="58"/>
      <c r="K261" s="55"/>
      <c r="L261" s="59"/>
      <c r="M261" s="59"/>
      <c r="N261" s="59"/>
      <c r="O261" s="54"/>
      <c r="P261" s="60"/>
      <c r="Q261" s="66"/>
      <c r="R261" s="67"/>
      <c r="S261" s="56"/>
      <c r="T261" s="56"/>
      <c r="U261" s="63"/>
      <c r="V261" s="64"/>
      <c r="W261" s="55"/>
      <c r="X261" s="63"/>
      <c r="Y261" s="54"/>
      <c r="Z261" s="65"/>
      <c r="AA261" s="76"/>
      <c r="AB261" s="59"/>
      <c r="AC261" s="56"/>
      <c r="AD261" s="56"/>
      <c r="AE261" s="64"/>
      <c r="AF261" s="64"/>
      <c r="AG261" s="55"/>
      <c r="AH261" s="68"/>
      <c r="AI261" s="54"/>
      <c r="AJ261" s="69"/>
      <c r="AK261" s="70"/>
      <c r="AL261" s="71"/>
      <c r="AM261" s="56"/>
      <c r="AN261" s="56"/>
      <c r="AO261" s="64"/>
      <c r="AP261" s="64"/>
      <c r="AQ261" s="55"/>
      <c r="AR261" s="68"/>
      <c r="AS261" s="54"/>
      <c r="AT261" s="69"/>
      <c r="AU261" s="61"/>
      <c r="AV261" s="62"/>
      <c r="AW261" s="56"/>
      <c r="AX261" s="56"/>
      <c r="AY261" s="64"/>
      <c r="AZ261" s="64"/>
      <c r="BA261" s="55"/>
      <c r="BB261" s="72"/>
      <c r="BC261" s="68"/>
      <c r="BD261" s="69"/>
      <c r="BE261" s="66"/>
      <c r="BF261" s="67"/>
      <c r="BG261" s="56"/>
      <c r="BH261" s="56"/>
      <c r="BI261" s="64"/>
      <c r="BJ261" s="64"/>
      <c r="BK261" s="57"/>
      <c r="BL261" s="73"/>
      <c r="BM261" s="70"/>
      <c r="BN261" s="74"/>
      <c r="BO261" s="75"/>
      <c r="BP261" s="66"/>
      <c r="BQ261" s="74"/>
    </row>
    <row r="262" spans="1:69" s="44" customFormat="1" ht="22.35" customHeight="1" x14ac:dyDescent="0.2">
      <c r="A262" s="100"/>
      <c r="B262" s="100"/>
      <c r="C262" s="100"/>
      <c r="D262" s="54"/>
      <c r="E262" s="55"/>
      <c r="F262" s="56"/>
      <c r="G262" s="56"/>
      <c r="H262" s="57"/>
      <c r="I262" s="58"/>
      <c r="J262" s="58"/>
      <c r="K262" s="55"/>
      <c r="L262" s="59"/>
      <c r="M262" s="59"/>
      <c r="N262" s="59"/>
      <c r="O262" s="54"/>
      <c r="P262" s="60"/>
      <c r="Q262" s="66"/>
      <c r="R262" s="67"/>
      <c r="S262" s="56"/>
      <c r="T262" s="56"/>
      <c r="U262" s="63"/>
      <c r="V262" s="64"/>
      <c r="W262" s="55"/>
      <c r="X262" s="63"/>
      <c r="Y262" s="54"/>
      <c r="Z262" s="65"/>
      <c r="AA262" s="66"/>
      <c r="AB262" s="67"/>
      <c r="AC262" s="56"/>
      <c r="AD262" s="56"/>
      <c r="AE262" s="64"/>
      <c r="AF262" s="64"/>
      <c r="AG262" s="55"/>
      <c r="AH262" s="68"/>
      <c r="AI262" s="54"/>
      <c r="AJ262" s="69"/>
      <c r="AK262" s="66"/>
      <c r="AL262" s="67"/>
      <c r="AM262" s="56"/>
      <c r="AN262" s="56"/>
      <c r="AO262" s="64"/>
      <c r="AP262" s="64"/>
      <c r="AQ262" s="55"/>
      <c r="AR262" s="68"/>
      <c r="AS262" s="54"/>
      <c r="AT262" s="69"/>
      <c r="AU262" s="61"/>
      <c r="AV262" s="62"/>
      <c r="AW262" s="56"/>
      <c r="AX262" s="56"/>
      <c r="AY262" s="64"/>
      <c r="AZ262" s="64"/>
      <c r="BA262" s="55"/>
      <c r="BB262" s="72"/>
      <c r="BC262" s="68"/>
      <c r="BD262" s="69"/>
      <c r="BE262" s="66"/>
      <c r="BF262" s="67"/>
      <c r="BG262" s="56"/>
      <c r="BH262" s="56"/>
      <c r="BI262" s="64"/>
      <c r="BJ262" s="64"/>
      <c r="BK262" s="57"/>
      <c r="BL262" s="73"/>
      <c r="BM262" s="70"/>
      <c r="BN262" s="74"/>
      <c r="BO262" s="75"/>
      <c r="BP262" s="66"/>
      <c r="BQ262" s="74"/>
    </row>
    <row r="263" spans="1:69" s="44" customFormat="1" ht="22.35" customHeight="1" x14ac:dyDescent="0.2">
      <c r="A263" s="100"/>
      <c r="B263" s="100"/>
      <c r="C263" s="100"/>
      <c r="D263" s="54"/>
      <c r="E263" s="55"/>
      <c r="F263" s="56"/>
      <c r="G263" s="56"/>
      <c r="H263" s="57"/>
      <c r="I263" s="58"/>
      <c r="J263" s="58"/>
      <c r="K263" s="55"/>
      <c r="L263" s="59"/>
      <c r="M263" s="59"/>
      <c r="N263" s="59"/>
      <c r="O263" s="54"/>
      <c r="P263" s="60"/>
      <c r="Q263" s="66"/>
      <c r="R263" s="67"/>
      <c r="S263" s="56"/>
      <c r="T263" s="56"/>
      <c r="U263" s="63"/>
      <c r="V263" s="64"/>
      <c r="W263" s="55"/>
      <c r="X263" s="63"/>
      <c r="Y263" s="54"/>
      <c r="Z263" s="65"/>
      <c r="AA263" s="70"/>
      <c r="AB263" s="71"/>
      <c r="AC263" s="56"/>
      <c r="AD263" s="56"/>
      <c r="AE263" s="64"/>
      <c r="AF263" s="64"/>
      <c r="AG263" s="55"/>
      <c r="AH263" s="68"/>
      <c r="AI263" s="54"/>
      <c r="AJ263" s="69"/>
      <c r="AK263" s="61"/>
      <c r="AL263" s="62"/>
      <c r="AM263" s="56"/>
      <c r="AN263" s="56"/>
      <c r="AO263" s="64"/>
      <c r="AP263" s="64"/>
      <c r="AQ263" s="55"/>
      <c r="AR263" s="68"/>
      <c r="AS263" s="54"/>
      <c r="AT263" s="69"/>
      <c r="AU263" s="61"/>
      <c r="AV263" s="62"/>
      <c r="AW263" s="56"/>
      <c r="AX263" s="56"/>
      <c r="AY263" s="64"/>
      <c r="AZ263" s="64"/>
      <c r="BA263" s="55"/>
      <c r="BB263" s="72"/>
      <c r="BC263" s="68"/>
      <c r="BD263" s="69"/>
      <c r="BE263" s="70"/>
      <c r="BF263" s="71"/>
      <c r="BG263" s="56"/>
      <c r="BH263" s="56"/>
      <c r="BI263" s="64"/>
      <c r="BJ263" s="64"/>
      <c r="BK263" s="57"/>
      <c r="BL263" s="73"/>
      <c r="BM263" s="76"/>
      <c r="BN263" s="74"/>
      <c r="BO263" s="75"/>
      <c r="BP263" s="66"/>
      <c r="BQ263" s="74"/>
    </row>
    <row r="264" spans="1:69" s="44" customFormat="1" ht="22.35" customHeight="1" x14ac:dyDescent="0.2">
      <c r="A264" s="100"/>
      <c r="B264" s="100"/>
      <c r="C264" s="100"/>
      <c r="D264" s="54"/>
      <c r="E264" s="55"/>
      <c r="F264" s="56"/>
      <c r="G264" s="56"/>
      <c r="H264" s="57"/>
      <c r="I264" s="58"/>
      <c r="J264" s="58"/>
      <c r="K264" s="55"/>
      <c r="L264" s="59"/>
      <c r="M264" s="59"/>
      <c r="N264" s="59"/>
      <c r="O264" s="54"/>
      <c r="P264" s="60"/>
      <c r="Q264" s="66"/>
      <c r="R264" s="67"/>
      <c r="S264" s="56"/>
      <c r="T264" s="56"/>
      <c r="U264" s="63"/>
      <c r="V264" s="64"/>
      <c r="W264" s="55"/>
      <c r="X264" s="63"/>
      <c r="Y264" s="54"/>
      <c r="Z264" s="65"/>
      <c r="AA264" s="70"/>
      <c r="AB264" s="71"/>
      <c r="AC264" s="56"/>
      <c r="AD264" s="56"/>
      <c r="AE264" s="64"/>
      <c r="AF264" s="64"/>
      <c r="AG264" s="55"/>
      <c r="AH264" s="68"/>
      <c r="AI264" s="54"/>
      <c r="AJ264" s="69"/>
      <c r="AK264" s="61"/>
      <c r="AL264" s="62"/>
      <c r="AM264" s="56"/>
      <c r="AN264" s="56"/>
      <c r="AO264" s="64"/>
      <c r="AP264" s="64"/>
      <c r="AQ264" s="55"/>
      <c r="AR264" s="68"/>
      <c r="AS264" s="54"/>
      <c r="AT264" s="69"/>
      <c r="AU264" s="61"/>
      <c r="AV264" s="62"/>
      <c r="AW264" s="56"/>
      <c r="AX264" s="56"/>
      <c r="AY264" s="64"/>
      <c r="AZ264" s="64"/>
      <c r="BA264" s="55"/>
      <c r="BB264" s="72"/>
      <c r="BC264" s="68"/>
      <c r="BD264" s="69"/>
      <c r="BE264" s="76"/>
      <c r="BF264" s="59"/>
      <c r="BG264" s="56"/>
      <c r="BH264" s="56"/>
      <c r="BI264" s="64"/>
      <c r="BJ264" s="64"/>
      <c r="BK264" s="57"/>
      <c r="BL264" s="73"/>
      <c r="BM264" s="70"/>
      <c r="BN264" s="74"/>
      <c r="BO264" s="75"/>
      <c r="BP264" s="66"/>
      <c r="BQ264" s="74"/>
    </row>
    <row r="265" spans="1:69" s="44" customFormat="1" ht="22.35" customHeight="1" x14ac:dyDescent="0.2">
      <c r="A265" s="100"/>
      <c r="B265" s="100"/>
      <c r="C265" s="100"/>
      <c r="D265" s="54"/>
      <c r="E265" s="55"/>
      <c r="F265" s="56"/>
      <c r="G265" s="56"/>
      <c r="H265" s="57"/>
      <c r="I265" s="58"/>
      <c r="J265" s="58"/>
      <c r="K265" s="55"/>
      <c r="L265" s="59"/>
      <c r="M265" s="59"/>
      <c r="N265" s="59"/>
      <c r="O265" s="54"/>
      <c r="P265" s="60"/>
      <c r="Q265" s="66"/>
      <c r="R265" s="67"/>
      <c r="S265" s="56"/>
      <c r="T265" s="56"/>
      <c r="U265" s="63"/>
      <c r="V265" s="64"/>
      <c r="W265" s="55"/>
      <c r="X265" s="63"/>
      <c r="Y265" s="54"/>
      <c r="Z265" s="65"/>
      <c r="AA265" s="61"/>
      <c r="AB265" s="62"/>
      <c r="AC265" s="56"/>
      <c r="AD265" s="56"/>
      <c r="AE265" s="64"/>
      <c r="AF265" s="64"/>
      <c r="AG265" s="55"/>
      <c r="AH265" s="68"/>
      <c r="AI265" s="54"/>
      <c r="AJ265" s="69"/>
      <c r="AK265" s="76"/>
      <c r="AL265" s="59"/>
      <c r="AM265" s="56"/>
      <c r="AN265" s="56"/>
      <c r="AO265" s="64"/>
      <c r="AP265" s="64"/>
      <c r="AQ265" s="55"/>
      <c r="AR265" s="68"/>
      <c r="AS265" s="54"/>
      <c r="AT265" s="69"/>
      <c r="AU265" s="61"/>
      <c r="AV265" s="62"/>
      <c r="AW265" s="56"/>
      <c r="AX265" s="56"/>
      <c r="AY265" s="64"/>
      <c r="AZ265" s="64"/>
      <c r="BA265" s="55"/>
      <c r="BB265" s="72"/>
      <c r="BC265" s="68"/>
      <c r="BD265" s="69"/>
      <c r="BE265" s="70"/>
      <c r="BF265" s="71"/>
      <c r="BG265" s="56"/>
      <c r="BH265" s="56"/>
      <c r="BI265" s="64"/>
      <c r="BJ265" s="64"/>
      <c r="BK265" s="57"/>
      <c r="BL265" s="73"/>
      <c r="BM265" s="76"/>
      <c r="BN265" s="74"/>
      <c r="BO265" s="75"/>
      <c r="BP265" s="66"/>
      <c r="BQ265" s="74"/>
    </row>
    <row r="266" spans="1:69" s="44" customFormat="1" ht="22.35" customHeight="1" x14ac:dyDescent="0.2">
      <c r="A266" s="100"/>
      <c r="B266" s="100"/>
      <c r="C266" s="100"/>
      <c r="D266" s="54"/>
      <c r="E266" s="55"/>
      <c r="F266" s="56"/>
      <c r="G266" s="56"/>
      <c r="H266" s="57"/>
      <c r="I266" s="58"/>
      <c r="J266" s="58"/>
      <c r="K266" s="55"/>
      <c r="L266" s="59"/>
      <c r="M266" s="59"/>
      <c r="N266" s="59"/>
      <c r="O266" s="54"/>
      <c r="P266" s="60"/>
      <c r="Q266" s="66"/>
      <c r="R266" s="67"/>
      <c r="S266" s="56"/>
      <c r="T266" s="56"/>
      <c r="U266" s="63"/>
      <c r="V266" s="64"/>
      <c r="W266" s="55"/>
      <c r="X266" s="63"/>
      <c r="Y266" s="54"/>
      <c r="Z266" s="65"/>
      <c r="AA266" s="66"/>
      <c r="AB266" s="67"/>
      <c r="AC266" s="56"/>
      <c r="AD266" s="56"/>
      <c r="AE266" s="64"/>
      <c r="AF266" s="64"/>
      <c r="AG266" s="55"/>
      <c r="AH266" s="68"/>
      <c r="AI266" s="54"/>
      <c r="AJ266" s="69"/>
      <c r="AK266" s="66"/>
      <c r="AL266" s="67"/>
      <c r="AM266" s="56"/>
      <c r="AN266" s="56"/>
      <c r="AO266" s="64"/>
      <c r="AP266" s="64"/>
      <c r="AQ266" s="55"/>
      <c r="AR266" s="68"/>
      <c r="AS266" s="54"/>
      <c r="AT266" s="69"/>
      <c r="AU266" s="66"/>
      <c r="AV266" s="67"/>
      <c r="AW266" s="56"/>
      <c r="AX266" s="56"/>
      <c r="AY266" s="64"/>
      <c r="AZ266" s="64"/>
      <c r="BA266" s="55"/>
      <c r="BB266" s="72"/>
      <c r="BC266" s="68"/>
      <c r="BD266" s="69"/>
      <c r="BE266" s="66"/>
      <c r="BF266" s="67"/>
      <c r="BG266" s="56"/>
      <c r="BH266" s="56"/>
      <c r="BI266" s="64"/>
      <c r="BJ266" s="64"/>
      <c r="BK266" s="57"/>
      <c r="BL266" s="73"/>
      <c r="BM266" s="70"/>
      <c r="BN266" s="74"/>
      <c r="BO266" s="75"/>
      <c r="BP266" s="66"/>
      <c r="BQ266" s="74"/>
    </row>
    <row r="267" spans="1:69" s="44" customFormat="1" ht="22.35" customHeight="1" x14ac:dyDescent="0.2">
      <c r="A267" s="100"/>
      <c r="B267" s="100"/>
      <c r="C267" s="100"/>
      <c r="D267" s="54"/>
      <c r="E267" s="55"/>
      <c r="F267" s="56"/>
      <c r="G267" s="56"/>
      <c r="H267" s="57"/>
      <c r="I267" s="58"/>
      <c r="J267" s="58"/>
      <c r="K267" s="55"/>
      <c r="L267" s="59"/>
      <c r="M267" s="59"/>
      <c r="N267" s="59"/>
      <c r="O267" s="54"/>
      <c r="P267" s="60"/>
      <c r="Q267" s="61"/>
      <c r="R267" s="62"/>
      <c r="S267" s="56"/>
      <c r="T267" s="56"/>
      <c r="U267" s="63"/>
      <c r="V267" s="64"/>
      <c r="W267" s="55"/>
      <c r="X267" s="63"/>
      <c r="Y267" s="54"/>
      <c r="Z267" s="65"/>
      <c r="AA267" s="61"/>
      <c r="AB267" s="62"/>
      <c r="AC267" s="56"/>
      <c r="AD267" s="56"/>
      <c r="AE267" s="64"/>
      <c r="AF267" s="64"/>
      <c r="AG267" s="55"/>
      <c r="AH267" s="68"/>
      <c r="AI267" s="54"/>
      <c r="AJ267" s="69"/>
      <c r="AK267" s="61"/>
      <c r="AL267" s="62"/>
      <c r="AM267" s="56"/>
      <c r="AN267" s="56"/>
      <c r="AO267" s="64"/>
      <c r="AP267" s="64"/>
      <c r="AQ267" s="55"/>
      <c r="AR267" s="68"/>
      <c r="AS267" s="54"/>
      <c r="AT267" s="69"/>
      <c r="AU267" s="61"/>
      <c r="AV267" s="62"/>
      <c r="AW267" s="56"/>
      <c r="AX267" s="56"/>
      <c r="AY267" s="64"/>
      <c r="AZ267" s="64"/>
      <c r="BA267" s="55"/>
      <c r="BB267" s="72"/>
      <c r="BC267" s="68"/>
      <c r="BD267" s="69"/>
      <c r="BE267" s="61"/>
      <c r="BF267" s="62"/>
      <c r="BG267" s="56"/>
      <c r="BH267" s="56"/>
      <c r="BI267" s="64"/>
      <c r="BJ267" s="64"/>
      <c r="BK267" s="57"/>
      <c r="BL267" s="73"/>
      <c r="BM267" s="61"/>
      <c r="BN267" s="74"/>
      <c r="BO267" s="75"/>
      <c r="BP267" s="66"/>
      <c r="BQ267" s="74"/>
    </row>
    <row r="268" spans="1:69" s="44" customFormat="1" ht="22.35" customHeight="1" x14ac:dyDescent="0.2">
      <c r="A268" s="100"/>
      <c r="B268" s="100"/>
      <c r="C268" s="100"/>
      <c r="D268" s="54"/>
      <c r="E268" s="55"/>
      <c r="F268" s="56"/>
      <c r="G268" s="56"/>
      <c r="H268" s="57"/>
      <c r="I268" s="58"/>
      <c r="J268" s="58"/>
      <c r="K268" s="55"/>
      <c r="L268" s="59"/>
      <c r="M268" s="59"/>
      <c r="N268" s="59"/>
      <c r="O268" s="54"/>
      <c r="P268" s="60"/>
      <c r="Q268" s="66"/>
      <c r="R268" s="67"/>
      <c r="S268" s="56"/>
      <c r="T268" s="56"/>
      <c r="U268" s="63"/>
      <c r="V268" s="64"/>
      <c r="W268" s="55"/>
      <c r="X268" s="63"/>
      <c r="Y268" s="54"/>
      <c r="Z268" s="65"/>
      <c r="AA268" s="66"/>
      <c r="AB268" s="67"/>
      <c r="AC268" s="56"/>
      <c r="AD268" s="56"/>
      <c r="AE268" s="64"/>
      <c r="AF268" s="64"/>
      <c r="AG268" s="55"/>
      <c r="AH268" s="68"/>
      <c r="AI268" s="54"/>
      <c r="AJ268" s="69"/>
      <c r="AK268" s="66"/>
      <c r="AL268" s="67"/>
      <c r="AM268" s="56"/>
      <c r="AN268" s="56"/>
      <c r="AO268" s="64"/>
      <c r="AP268" s="64"/>
      <c r="AQ268" s="55"/>
      <c r="AR268" s="68"/>
      <c r="AS268" s="54"/>
      <c r="AT268" s="69"/>
      <c r="AU268" s="70"/>
      <c r="AV268" s="71"/>
      <c r="AW268" s="56"/>
      <c r="AX268" s="56"/>
      <c r="AY268" s="64"/>
      <c r="AZ268" s="64"/>
      <c r="BA268" s="55"/>
      <c r="BB268" s="72"/>
      <c r="BC268" s="68"/>
      <c r="BD268" s="69"/>
      <c r="BE268" s="66"/>
      <c r="BF268" s="67"/>
      <c r="BG268" s="56"/>
      <c r="BH268" s="56"/>
      <c r="BI268" s="64"/>
      <c r="BJ268" s="64"/>
      <c r="BK268" s="57"/>
      <c r="BL268" s="73"/>
      <c r="BM268" s="76"/>
      <c r="BN268" s="74"/>
      <c r="BO268" s="75"/>
      <c r="BP268" s="66"/>
      <c r="BQ268" s="74"/>
    </row>
    <row r="269" spans="1:69" s="44" customFormat="1" ht="22.35" customHeight="1" x14ac:dyDescent="0.2">
      <c r="A269" s="100"/>
      <c r="B269" s="100"/>
      <c r="C269" s="100"/>
      <c r="D269" s="54"/>
      <c r="E269" s="55"/>
      <c r="F269" s="56"/>
      <c r="G269" s="56"/>
      <c r="H269" s="57"/>
      <c r="I269" s="58"/>
      <c r="J269" s="58"/>
      <c r="K269" s="55"/>
      <c r="L269" s="59"/>
      <c r="M269" s="59"/>
      <c r="N269" s="59"/>
      <c r="O269" s="54"/>
      <c r="P269" s="60"/>
      <c r="Q269" s="66"/>
      <c r="R269" s="67"/>
      <c r="S269" s="56"/>
      <c r="T269" s="56"/>
      <c r="U269" s="63"/>
      <c r="V269" s="64"/>
      <c r="W269" s="55"/>
      <c r="X269" s="63"/>
      <c r="Y269" s="54"/>
      <c r="Z269" s="65"/>
      <c r="AA269" s="70"/>
      <c r="AB269" s="71"/>
      <c r="AC269" s="56"/>
      <c r="AD269" s="56"/>
      <c r="AE269" s="64"/>
      <c r="AF269" s="64"/>
      <c r="AG269" s="55"/>
      <c r="AH269" s="68"/>
      <c r="AI269" s="54"/>
      <c r="AJ269" s="69"/>
      <c r="AK269" s="76"/>
      <c r="AL269" s="59"/>
      <c r="AM269" s="56"/>
      <c r="AN269" s="56"/>
      <c r="AO269" s="64"/>
      <c r="AP269" s="64"/>
      <c r="AQ269" s="55"/>
      <c r="AR269" s="68"/>
      <c r="AS269" s="54"/>
      <c r="AT269" s="69"/>
      <c r="AU269" s="61"/>
      <c r="AV269" s="62"/>
      <c r="AW269" s="56"/>
      <c r="AX269" s="56"/>
      <c r="AY269" s="64"/>
      <c r="AZ269" s="64"/>
      <c r="BA269" s="55"/>
      <c r="BB269" s="72"/>
      <c r="BC269" s="68"/>
      <c r="BD269" s="69"/>
      <c r="BE269" s="70"/>
      <c r="BF269" s="71"/>
      <c r="BG269" s="56"/>
      <c r="BH269" s="56"/>
      <c r="BI269" s="64"/>
      <c r="BJ269" s="64"/>
      <c r="BK269" s="57"/>
      <c r="BL269" s="73"/>
      <c r="BM269" s="76"/>
      <c r="BN269" s="74"/>
      <c r="BO269" s="75"/>
      <c r="BP269" s="66"/>
      <c r="BQ269" s="74"/>
    </row>
    <row r="270" spans="1:69" s="44" customFormat="1" ht="22.35" customHeight="1" x14ac:dyDescent="0.2">
      <c r="A270" s="100"/>
      <c r="B270" s="100"/>
      <c r="C270" s="100"/>
      <c r="D270" s="54"/>
      <c r="E270" s="55"/>
      <c r="F270" s="56"/>
      <c r="G270" s="56"/>
      <c r="H270" s="57"/>
      <c r="I270" s="58"/>
      <c r="J270" s="58"/>
      <c r="K270" s="55"/>
      <c r="L270" s="59"/>
      <c r="M270" s="59"/>
      <c r="N270" s="59"/>
      <c r="O270" s="54"/>
      <c r="P270" s="60"/>
      <c r="Q270" s="66"/>
      <c r="R270" s="67"/>
      <c r="S270" s="56"/>
      <c r="T270" s="56"/>
      <c r="U270" s="63"/>
      <c r="V270" s="64"/>
      <c r="W270" s="55"/>
      <c r="X270" s="63"/>
      <c r="Y270" s="54"/>
      <c r="Z270" s="65"/>
      <c r="AA270" s="61"/>
      <c r="AB270" s="62"/>
      <c r="AC270" s="56"/>
      <c r="AD270" s="56"/>
      <c r="AE270" s="64"/>
      <c r="AF270" s="64"/>
      <c r="AG270" s="55"/>
      <c r="AH270" s="68"/>
      <c r="AI270" s="54"/>
      <c r="AJ270" s="69"/>
      <c r="AK270" s="61"/>
      <c r="AL270" s="62"/>
      <c r="AM270" s="56"/>
      <c r="AN270" s="56"/>
      <c r="AO270" s="64"/>
      <c r="AP270" s="64"/>
      <c r="AQ270" s="55"/>
      <c r="AR270" s="68"/>
      <c r="AS270" s="54"/>
      <c r="AT270" s="69"/>
      <c r="AU270" s="61"/>
      <c r="AV270" s="62"/>
      <c r="AW270" s="56"/>
      <c r="AX270" s="56"/>
      <c r="AY270" s="64"/>
      <c r="AZ270" s="64"/>
      <c r="BA270" s="55"/>
      <c r="BB270" s="72"/>
      <c r="BC270" s="68"/>
      <c r="BD270" s="69"/>
      <c r="BE270" s="76"/>
      <c r="BF270" s="59"/>
      <c r="BG270" s="56"/>
      <c r="BH270" s="56"/>
      <c r="BI270" s="64"/>
      <c r="BJ270" s="64"/>
      <c r="BK270" s="57"/>
      <c r="BL270" s="73"/>
      <c r="BM270" s="70"/>
      <c r="BN270" s="74"/>
      <c r="BO270" s="75"/>
      <c r="BP270" s="66"/>
      <c r="BQ270" s="74"/>
    </row>
    <row r="271" spans="1:69" s="44" customFormat="1" ht="22.35" customHeight="1" x14ac:dyDescent="0.2">
      <c r="A271" s="100"/>
      <c r="B271" s="100"/>
      <c r="C271" s="100"/>
      <c r="D271" s="54"/>
      <c r="E271" s="55"/>
      <c r="F271" s="56"/>
      <c r="G271" s="56"/>
      <c r="H271" s="57"/>
      <c r="I271" s="58"/>
      <c r="J271" s="58"/>
      <c r="K271" s="55"/>
      <c r="L271" s="59"/>
      <c r="M271" s="59"/>
      <c r="N271" s="59"/>
      <c r="O271" s="54"/>
      <c r="P271" s="60"/>
      <c r="Q271" s="66"/>
      <c r="R271" s="67"/>
      <c r="S271" s="56"/>
      <c r="T271" s="56"/>
      <c r="U271" s="63"/>
      <c r="V271" s="64"/>
      <c r="W271" s="55"/>
      <c r="X271" s="63"/>
      <c r="Y271" s="54"/>
      <c r="Z271" s="65"/>
      <c r="AA271" s="66"/>
      <c r="AB271" s="67"/>
      <c r="AC271" s="56"/>
      <c r="AD271" s="56"/>
      <c r="AE271" s="64"/>
      <c r="AF271" s="64"/>
      <c r="AG271" s="55"/>
      <c r="AH271" s="68"/>
      <c r="AI271" s="54"/>
      <c r="AJ271" s="69"/>
      <c r="AK271" s="76"/>
      <c r="AL271" s="59"/>
      <c r="AM271" s="56"/>
      <c r="AN271" s="56"/>
      <c r="AO271" s="64"/>
      <c r="AP271" s="64"/>
      <c r="AQ271" s="55"/>
      <c r="AR271" s="68"/>
      <c r="AS271" s="54"/>
      <c r="AT271" s="69"/>
      <c r="AU271" s="61"/>
      <c r="AV271" s="62"/>
      <c r="AW271" s="56"/>
      <c r="AX271" s="56"/>
      <c r="AY271" s="64"/>
      <c r="AZ271" s="64"/>
      <c r="BA271" s="55"/>
      <c r="BB271" s="72"/>
      <c r="BC271" s="68"/>
      <c r="BD271" s="69"/>
      <c r="BE271" s="66"/>
      <c r="BF271" s="67"/>
      <c r="BG271" s="56"/>
      <c r="BH271" s="56"/>
      <c r="BI271" s="64"/>
      <c r="BJ271" s="64"/>
      <c r="BK271" s="57"/>
      <c r="BL271" s="73"/>
      <c r="BM271" s="76"/>
      <c r="BN271" s="74"/>
      <c r="BO271" s="75"/>
      <c r="BP271" s="66"/>
      <c r="BQ271" s="74"/>
    </row>
    <row r="272" spans="1:69" s="44" customFormat="1" ht="22.35" customHeight="1" x14ac:dyDescent="0.2">
      <c r="A272" s="100"/>
      <c r="B272" s="100"/>
      <c r="C272" s="100"/>
      <c r="D272" s="54"/>
      <c r="E272" s="55"/>
      <c r="F272" s="56"/>
      <c r="G272" s="56"/>
      <c r="H272" s="57"/>
      <c r="I272" s="58"/>
      <c r="J272" s="58"/>
      <c r="K272" s="55"/>
      <c r="L272" s="59"/>
      <c r="M272" s="59"/>
      <c r="N272" s="59"/>
      <c r="O272" s="54"/>
      <c r="P272" s="60"/>
      <c r="Q272" s="66"/>
      <c r="R272" s="67"/>
      <c r="S272" s="56"/>
      <c r="T272" s="56"/>
      <c r="U272" s="63"/>
      <c r="V272" s="64"/>
      <c r="W272" s="55"/>
      <c r="X272" s="63"/>
      <c r="Y272" s="54"/>
      <c r="Z272" s="65"/>
      <c r="AA272" s="61"/>
      <c r="AB272" s="62"/>
      <c r="AC272" s="56"/>
      <c r="AD272" s="56"/>
      <c r="AE272" s="64"/>
      <c r="AF272" s="64"/>
      <c r="AG272" s="55"/>
      <c r="AH272" s="68"/>
      <c r="AI272" s="54"/>
      <c r="AJ272" s="69"/>
      <c r="AK272" s="76"/>
      <c r="AL272" s="59"/>
      <c r="AM272" s="56"/>
      <c r="AN272" s="56"/>
      <c r="AO272" s="64"/>
      <c r="AP272" s="64"/>
      <c r="AQ272" s="55"/>
      <c r="AR272" s="68"/>
      <c r="AS272" s="54"/>
      <c r="AT272" s="69"/>
      <c r="AU272" s="61"/>
      <c r="AV272" s="62"/>
      <c r="AW272" s="56"/>
      <c r="AX272" s="56"/>
      <c r="AY272" s="64"/>
      <c r="AZ272" s="64"/>
      <c r="BA272" s="55"/>
      <c r="BB272" s="72"/>
      <c r="BC272" s="68"/>
      <c r="BD272" s="69"/>
      <c r="BE272" s="66"/>
      <c r="BF272" s="67"/>
      <c r="BG272" s="56"/>
      <c r="BH272" s="56"/>
      <c r="BI272" s="64"/>
      <c r="BJ272" s="64"/>
      <c r="BK272" s="57"/>
      <c r="BL272" s="73"/>
      <c r="BM272" s="70"/>
      <c r="BN272" s="74"/>
      <c r="BO272" s="75"/>
      <c r="BP272" s="66"/>
      <c r="BQ272" s="74"/>
    </row>
    <row r="273" spans="1:69" s="44" customFormat="1" ht="22.35" customHeight="1" x14ac:dyDescent="0.2">
      <c r="A273" s="100"/>
      <c r="B273" s="100"/>
      <c r="C273" s="100"/>
      <c r="D273" s="54"/>
      <c r="E273" s="55"/>
      <c r="F273" s="56"/>
      <c r="G273" s="56"/>
      <c r="H273" s="57"/>
      <c r="I273" s="58"/>
      <c r="J273" s="58"/>
      <c r="K273" s="55"/>
      <c r="L273" s="59"/>
      <c r="M273" s="59"/>
      <c r="N273" s="59"/>
      <c r="O273" s="54"/>
      <c r="P273" s="60"/>
      <c r="Q273" s="61"/>
      <c r="R273" s="62"/>
      <c r="S273" s="56"/>
      <c r="T273" s="56"/>
      <c r="U273" s="63"/>
      <c r="V273" s="64"/>
      <c r="W273" s="55"/>
      <c r="X273" s="63"/>
      <c r="Y273" s="54"/>
      <c r="Z273" s="65"/>
      <c r="AA273" s="76"/>
      <c r="AB273" s="59"/>
      <c r="AC273" s="56"/>
      <c r="AD273" s="56"/>
      <c r="AE273" s="64"/>
      <c r="AF273" s="64"/>
      <c r="AG273" s="55"/>
      <c r="AH273" s="68"/>
      <c r="AI273" s="54"/>
      <c r="AJ273" s="69"/>
      <c r="AK273" s="61"/>
      <c r="AL273" s="62"/>
      <c r="AM273" s="56"/>
      <c r="AN273" s="56"/>
      <c r="AO273" s="64"/>
      <c r="AP273" s="64"/>
      <c r="AQ273" s="55"/>
      <c r="AR273" s="68"/>
      <c r="AS273" s="54"/>
      <c r="AT273" s="69"/>
      <c r="AU273" s="61"/>
      <c r="AV273" s="62"/>
      <c r="AW273" s="56"/>
      <c r="AX273" s="56"/>
      <c r="AY273" s="64"/>
      <c r="AZ273" s="64"/>
      <c r="BA273" s="55"/>
      <c r="BB273" s="72"/>
      <c r="BC273" s="68"/>
      <c r="BD273" s="69"/>
      <c r="BE273" s="61"/>
      <c r="BF273" s="62"/>
      <c r="BG273" s="56"/>
      <c r="BH273" s="56"/>
      <c r="BI273" s="64"/>
      <c r="BJ273" s="64"/>
      <c r="BK273" s="57"/>
      <c r="BL273" s="73"/>
      <c r="BM273" s="70"/>
      <c r="BN273" s="74"/>
      <c r="BO273" s="75"/>
      <c r="BP273" s="66"/>
      <c r="BQ273" s="74"/>
    </row>
    <row r="274" spans="1:69" s="44" customFormat="1" ht="22.35" customHeight="1" x14ac:dyDescent="0.2">
      <c r="A274" s="100"/>
      <c r="B274" s="100"/>
      <c r="C274" s="100"/>
      <c r="D274" s="54"/>
      <c r="E274" s="55"/>
      <c r="F274" s="56"/>
      <c r="G274" s="56"/>
      <c r="H274" s="57"/>
      <c r="I274" s="58"/>
      <c r="J274" s="58"/>
      <c r="K274" s="55"/>
      <c r="L274" s="59"/>
      <c r="M274" s="59"/>
      <c r="N274" s="59"/>
      <c r="O274" s="54"/>
      <c r="P274" s="60"/>
      <c r="Q274" s="66"/>
      <c r="R274" s="67"/>
      <c r="S274" s="56"/>
      <c r="T274" s="56"/>
      <c r="U274" s="63"/>
      <c r="V274" s="64"/>
      <c r="W274" s="55"/>
      <c r="X274" s="63"/>
      <c r="Y274" s="54"/>
      <c r="Z274" s="65"/>
      <c r="AA274" s="76"/>
      <c r="AB274" s="59"/>
      <c r="AC274" s="56"/>
      <c r="AD274" s="56"/>
      <c r="AE274" s="64"/>
      <c r="AF274" s="64"/>
      <c r="AG274" s="55"/>
      <c r="AH274" s="68"/>
      <c r="AI274" s="54"/>
      <c r="AJ274" s="69"/>
      <c r="AK274" s="61"/>
      <c r="AL274" s="62"/>
      <c r="AM274" s="56"/>
      <c r="AN274" s="56"/>
      <c r="AO274" s="64"/>
      <c r="AP274" s="64"/>
      <c r="AQ274" s="55"/>
      <c r="AR274" s="68"/>
      <c r="AS274" s="54"/>
      <c r="AT274" s="69"/>
      <c r="AU274" s="61"/>
      <c r="AV274" s="62"/>
      <c r="AW274" s="56"/>
      <c r="AX274" s="56"/>
      <c r="AY274" s="64"/>
      <c r="AZ274" s="64"/>
      <c r="BA274" s="55"/>
      <c r="BB274" s="72"/>
      <c r="BC274" s="68"/>
      <c r="BD274" s="69"/>
      <c r="BE274" s="76"/>
      <c r="BF274" s="59"/>
      <c r="BG274" s="56"/>
      <c r="BH274" s="56"/>
      <c r="BI274" s="64"/>
      <c r="BJ274" s="64"/>
      <c r="BK274" s="57"/>
      <c r="BL274" s="73"/>
      <c r="BM274" s="70"/>
      <c r="BN274" s="74"/>
      <c r="BO274" s="75"/>
      <c r="BP274" s="66"/>
      <c r="BQ274" s="74"/>
    </row>
    <row r="275" spans="1:69" s="44" customFormat="1" ht="22.35" customHeight="1" x14ac:dyDescent="0.2">
      <c r="A275" s="100"/>
      <c r="B275" s="100"/>
      <c r="C275" s="100"/>
      <c r="D275" s="54"/>
      <c r="E275" s="55"/>
      <c r="F275" s="56"/>
      <c r="G275" s="56"/>
      <c r="H275" s="57"/>
      <c r="I275" s="58"/>
      <c r="J275" s="58"/>
      <c r="K275" s="55"/>
      <c r="L275" s="59"/>
      <c r="M275" s="59"/>
      <c r="N275" s="59"/>
      <c r="O275" s="54"/>
      <c r="P275" s="60"/>
      <c r="Q275" s="66"/>
      <c r="R275" s="67"/>
      <c r="S275" s="56"/>
      <c r="T275" s="56"/>
      <c r="U275" s="63"/>
      <c r="V275" s="64"/>
      <c r="W275" s="55"/>
      <c r="X275" s="63"/>
      <c r="Y275" s="54"/>
      <c r="Z275" s="65"/>
      <c r="AA275" s="76"/>
      <c r="AB275" s="59"/>
      <c r="AC275" s="56"/>
      <c r="AD275" s="56"/>
      <c r="AE275" s="64"/>
      <c r="AF275" s="64"/>
      <c r="AG275" s="55"/>
      <c r="AH275" s="68"/>
      <c r="AI275" s="54"/>
      <c r="AJ275" s="69"/>
      <c r="AK275" s="76"/>
      <c r="AL275" s="59"/>
      <c r="AM275" s="56"/>
      <c r="AN275" s="56"/>
      <c r="AO275" s="64"/>
      <c r="AP275" s="64"/>
      <c r="AQ275" s="55"/>
      <c r="AR275" s="68"/>
      <c r="AS275" s="54"/>
      <c r="AT275" s="69"/>
      <c r="AU275" s="61"/>
      <c r="AV275" s="62"/>
      <c r="AW275" s="56"/>
      <c r="AX275" s="56"/>
      <c r="AY275" s="64"/>
      <c r="AZ275" s="64"/>
      <c r="BA275" s="55"/>
      <c r="BB275" s="72"/>
      <c r="BC275" s="68"/>
      <c r="BD275" s="69"/>
      <c r="BE275" s="66"/>
      <c r="BF275" s="67"/>
      <c r="BG275" s="56"/>
      <c r="BH275" s="56"/>
      <c r="BI275" s="64"/>
      <c r="BJ275" s="64"/>
      <c r="BK275" s="57"/>
      <c r="BL275" s="73"/>
      <c r="BM275" s="76"/>
      <c r="BN275" s="74"/>
      <c r="BO275" s="75"/>
      <c r="BP275" s="66"/>
      <c r="BQ275" s="74"/>
    </row>
    <row r="276" spans="1:69" s="44" customFormat="1" ht="22.35" customHeight="1" x14ac:dyDescent="0.2">
      <c r="A276" s="100"/>
      <c r="B276" s="100"/>
      <c r="C276" s="100"/>
      <c r="D276" s="54"/>
      <c r="E276" s="55"/>
      <c r="F276" s="56"/>
      <c r="G276" s="56"/>
      <c r="H276" s="57"/>
      <c r="I276" s="58"/>
      <c r="J276" s="58"/>
      <c r="K276" s="55"/>
      <c r="L276" s="59"/>
      <c r="M276" s="59"/>
      <c r="N276" s="59"/>
      <c r="O276" s="54"/>
      <c r="P276" s="60"/>
      <c r="Q276" s="66"/>
      <c r="R276" s="67"/>
      <c r="S276" s="56"/>
      <c r="T276" s="56"/>
      <c r="U276" s="63"/>
      <c r="V276" s="64"/>
      <c r="W276" s="55"/>
      <c r="X276" s="63"/>
      <c r="Y276" s="54"/>
      <c r="Z276" s="65"/>
      <c r="AA276" s="76"/>
      <c r="AB276" s="59"/>
      <c r="AC276" s="56"/>
      <c r="AD276" s="56"/>
      <c r="AE276" s="64"/>
      <c r="AF276" s="64"/>
      <c r="AG276" s="55"/>
      <c r="AH276" s="68"/>
      <c r="AI276" s="54"/>
      <c r="AJ276" s="69"/>
      <c r="AK276" s="76"/>
      <c r="AL276" s="59"/>
      <c r="AM276" s="56"/>
      <c r="AN276" s="56"/>
      <c r="AO276" s="64"/>
      <c r="AP276" s="64"/>
      <c r="AQ276" s="55"/>
      <c r="AR276" s="68"/>
      <c r="AS276" s="54"/>
      <c r="AT276" s="69"/>
      <c r="AU276" s="61"/>
      <c r="AV276" s="62"/>
      <c r="AW276" s="56"/>
      <c r="AX276" s="56"/>
      <c r="AY276" s="64"/>
      <c r="AZ276" s="64"/>
      <c r="BA276" s="55"/>
      <c r="BB276" s="72"/>
      <c r="BC276" s="68"/>
      <c r="BD276" s="69"/>
      <c r="BE276" s="66"/>
      <c r="BF276" s="67"/>
      <c r="BG276" s="56"/>
      <c r="BH276" s="56"/>
      <c r="BI276" s="64"/>
      <c r="BJ276" s="64"/>
      <c r="BK276" s="57"/>
      <c r="BL276" s="73"/>
      <c r="BM276" s="76"/>
      <c r="BN276" s="74"/>
      <c r="BO276" s="75"/>
      <c r="BP276" s="66"/>
      <c r="BQ276" s="74"/>
    </row>
    <row r="277" spans="1:69" s="44" customFormat="1" ht="22.35" customHeight="1" x14ac:dyDescent="0.2">
      <c r="A277" s="100"/>
      <c r="B277" s="100"/>
      <c r="C277" s="100"/>
      <c r="D277" s="54"/>
      <c r="E277" s="55"/>
      <c r="F277" s="56"/>
      <c r="G277" s="56"/>
      <c r="H277" s="57"/>
      <c r="I277" s="58"/>
      <c r="J277" s="58"/>
      <c r="K277" s="55"/>
      <c r="L277" s="59"/>
      <c r="M277" s="59"/>
      <c r="N277" s="59"/>
      <c r="O277" s="54"/>
      <c r="P277" s="60"/>
      <c r="Q277" s="66"/>
      <c r="R277" s="67"/>
      <c r="S277" s="56"/>
      <c r="T277" s="56"/>
      <c r="U277" s="63"/>
      <c r="V277" s="64"/>
      <c r="W277" s="55"/>
      <c r="X277" s="63"/>
      <c r="Y277" s="54"/>
      <c r="Z277" s="65"/>
      <c r="AA277" s="66"/>
      <c r="AB277" s="67"/>
      <c r="AC277" s="56"/>
      <c r="AD277" s="56"/>
      <c r="AE277" s="64"/>
      <c r="AF277" s="64"/>
      <c r="AG277" s="55"/>
      <c r="AH277" s="68"/>
      <c r="AI277" s="54"/>
      <c r="AJ277" s="69"/>
      <c r="AK277" s="66"/>
      <c r="AL277" s="67"/>
      <c r="AM277" s="56"/>
      <c r="AN277" s="56"/>
      <c r="AO277" s="64"/>
      <c r="AP277" s="64"/>
      <c r="AQ277" s="55"/>
      <c r="AR277" s="68"/>
      <c r="AS277" s="54"/>
      <c r="AT277" s="69"/>
      <c r="AU277" s="66"/>
      <c r="AV277" s="67"/>
      <c r="AW277" s="56"/>
      <c r="AX277" s="56"/>
      <c r="AY277" s="64"/>
      <c r="AZ277" s="64"/>
      <c r="BA277" s="55"/>
      <c r="BB277" s="72"/>
      <c r="BC277" s="68"/>
      <c r="BD277" s="69"/>
      <c r="BE277" s="66"/>
      <c r="BF277" s="67"/>
      <c r="BG277" s="56"/>
      <c r="BH277" s="56"/>
      <c r="BI277" s="64"/>
      <c r="BJ277" s="64"/>
      <c r="BK277" s="57"/>
      <c r="BL277" s="73"/>
      <c r="BM277" s="70"/>
      <c r="BN277" s="74"/>
      <c r="BO277" s="75"/>
      <c r="BP277" s="66"/>
      <c r="BQ277" s="74"/>
    </row>
    <row r="278" spans="1:69" s="44" customFormat="1" ht="22.35" customHeight="1" x14ac:dyDescent="0.2">
      <c r="A278" s="100"/>
      <c r="B278" s="100"/>
      <c r="C278" s="100"/>
      <c r="D278" s="54"/>
      <c r="E278" s="55"/>
      <c r="F278" s="56"/>
      <c r="G278" s="56"/>
      <c r="H278" s="57"/>
      <c r="I278" s="58"/>
      <c r="J278" s="58"/>
      <c r="K278" s="55"/>
      <c r="L278" s="59"/>
      <c r="M278" s="59"/>
      <c r="N278" s="59"/>
      <c r="O278" s="54"/>
      <c r="P278" s="60"/>
      <c r="Q278" s="66"/>
      <c r="R278" s="67"/>
      <c r="S278" s="56"/>
      <c r="T278" s="56"/>
      <c r="U278" s="63"/>
      <c r="V278" s="64"/>
      <c r="W278" s="55"/>
      <c r="X278" s="63"/>
      <c r="Y278" s="54"/>
      <c r="Z278" s="65"/>
      <c r="AA278" s="61"/>
      <c r="AB278" s="62"/>
      <c r="AC278" s="56"/>
      <c r="AD278" s="56"/>
      <c r="AE278" s="64"/>
      <c r="AF278" s="64"/>
      <c r="AG278" s="55"/>
      <c r="AH278" s="68"/>
      <c r="AI278" s="54"/>
      <c r="AJ278" s="69"/>
      <c r="AK278" s="61"/>
      <c r="AL278" s="62"/>
      <c r="AM278" s="56"/>
      <c r="AN278" s="56"/>
      <c r="AO278" s="64"/>
      <c r="AP278" s="64"/>
      <c r="AQ278" s="55"/>
      <c r="AR278" s="68"/>
      <c r="AS278" s="54"/>
      <c r="AT278" s="69"/>
      <c r="AU278" s="61"/>
      <c r="AV278" s="62"/>
      <c r="AW278" s="56"/>
      <c r="AX278" s="56"/>
      <c r="AY278" s="64"/>
      <c r="AZ278" s="64"/>
      <c r="BA278" s="55"/>
      <c r="BB278" s="72"/>
      <c r="BC278" s="68"/>
      <c r="BD278" s="69"/>
      <c r="BE278" s="70"/>
      <c r="BF278" s="71"/>
      <c r="BG278" s="56"/>
      <c r="BH278" s="56"/>
      <c r="BI278" s="64"/>
      <c r="BJ278" s="64"/>
      <c r="BK278" s="57"/>
      <c r="BL278" s="73"/>
      <c r="BM278" s="76"/>
      <c r="BN278" s="74"/>
      <c r="BO278" s="75"/>
      <c r="BP278" s="66"/>
      <c r="BQ278" s="74"/>
    </row>
    <row r="279" spans="1:69" s="44" customFormat="1" ht="22.35" customHeight="1" x14ac:dyDescent="0.2">
      <c r="A279" s="100"/>
      <c r="B279" s="100"/>
      <c r="C279" s="100"/>
      <c r="D279" s="54"/>
      <c r="E279" s="55"/>
      <c r="F279" s="56"/>
      <c r="G279" s="56"/>
      <c r="H279" s="57"/>
      <c r="I279" s="58"/>
      <c r="J279" s="58"/>
      <c r="K279" s="55"/>
      <c r="L279" s="59"/>
      <c r="M279" s="59"/>
      <c r="N279" s="59"/>
      <c r="O279" s="54"/>
      <c r="P279" s="60"/>
      <c r="Q279" s="66"/>
      <c r="R279" s="67"/>
      <c r="S279" s="56"/>
      <c r="T279" s="56"/>
      <c r="U279" s="63"/>
      <c r="V279" s="64"/>
      <c r="W279" s="55"/>
      <c r="X279" s="63"/>
      <c r="Y279" s="54"/>
      <c r="Z279" s="65"/>
      <c r="AA279" s="61"/>
      <c r="AB279" s="62"/>
      <c r="AC279" s="56"/>
      <c r="AD279" s="56"/>
      <c r="AE279" s="64"/>
      <c r="AF279" s="64"/>
      <c r="AG279" s="55"/>
      <c r="AH279" s="68"/>
      <c r="AI279" s="54"/>
      <c r="AJ279" s="69"/>
      <c r="AK279" s="76"/>
      <c r="AL279" s="59"/>
      <c r="AM279" s="56"/>
      <c r="AN279" s="56"/>
      <c r="AO279" s="64"/>
      <c r="AP279" s="64"/>
      <c r="AQ279" s="55"/>
      <c r="AR279" s="68"/>
      <c r="AS279" s="54"/>
      <c r="AT279" s="69"/>
      <c r="AU279" s="61"/>
      <c r="AV279" s="62"/>
      <c r="AW279" s="56"/>
      <c r="AX279" s="56"/>
      <c r="AY279" s="64"/>
      <c r="AZ279" s="64"/>
      <c r="BA279" s="55"/>
      <c r="BB279" s="72"/>
      <c r="BC279" s="68"/>
      <c r="BD279" s="69"/>
      <c r="BE279" s="76"/>
      <c r="BF279" s="59"/>
      <c r="BG279" s="56"/>
      <c r="BH279" s="56"/>
      <c r="BI279" s="64"/>
      <c r="BJ279" s="64"/>
      <c r="BK279" s="57"/>
      <c r="BL279" s="73"/>
      <c r="BM279" s="70"/>
      <c r="BN279" s="74"/>
      <c r="BO279" s="75"/>
      <c r="BP279" s="66"/>
      <c r="BQ279" s="74"/>
    </row>
    <row r="280" spans="1:69" s="44" customFormat="1" ht="22.35" customHeight="1" x14ac:dyDescent="0.2">
      <c r="A280" s="100"/>
      <c r="B280" s="100"/>
      <c r="C280" s="100"/>
      <c r="D280" s="54"/>
      <c r="E280" s="55"/>
      <c r="F280" s="56"/>
      <c r="G280" s="56"/>
      <c r="H280" s="57"/>
      <c r="I280" s="58"/>
      <c r="J280" s="58"/>
      <c r="K280" s="55"/>
      <c r="L280" s="59"/>
      <c r="M280" s="59"/>
      <c r="N280" s="59"/>
      <c r="O280" s="54"/>
      <c r="P280" s="60"/>
      <c r="Q280" s="61"/>
      <c r="R280" s="62"/>
      <c r="S280" s="56"/>
      <c r="T280" s="56"/>
      <c r="U280" s="63"/>
      <c r="V280" s="64"/>
      <c r="W280" s="55"/>
      <c r="X280" s="63"/>
      <c r="Y280" s="54"/>
      <c r="Z280" s="65"/>
      <c r="AA280" s="61"/>
      <c r="AB280" s="62"/>
      <c r="AC280" s="56"/>
      <c r="AD280" s="56"/>
      <c r="AE280" s="64"/>
      <c r="AF280" s="64"/>
      <c r="AG280" s="55"/>
      <c r="AH280" s="68"/>
      <c r="AI280" s="54"/>
      <c r="AJ280" s="69"/>
      <c r="AK280" s="76"/>
      <c r="AL280" s="59"/>
      <c r="AM280" s="56"/>
      <c r="AN280" s="56"/>
      <c r="AO280" s="64"/>
      <c r="AP280" s="64"/>
      <c r="AQ280" s="55"/>
      <c r="AR280" s="68"/>
      <c r="AS280" s="54"/>
      <c r="AT280" s="69"/>
      <c r="AU280" s="61"/>
      <c r="AV280" s="62"/>
      <c r="AW280" s="56"/>
      <c r="AX280" s="56"/>
      <c r="AY280" s="64"/>
      <c r="AZ280" s="64"/>
      <c r="BA280" s="55"/>
      <c r="BB280" s="72"/>
      <c r="BC280" s="68"/>
      <c r="BD280" s="69"/>
      <c r="BE280" s="76"/>
      <c r="BF280" s="59"/>
      <c r="BG280" s="56"/>
      <c r="BH280" s="56"/>
      <c r="BI280" s="64"/>
      <c r="BJ280" s="64"/>
      <c r="BK280" s="57"/>
      <c r="BL280" s="73"/>
      <c r="BM280" s="76"/>
      <c r="BN280" s="74"/>
      <c r="BO280" s="75"/>
      <c r="BP280" s="66"/>
      <c r="BQ280" s="74"/>
    </row>
    <row r="281" spans="1:69" s="44" customFormat="1" ht="22.35" customHeight="1" x14ac:dyDescent="0.2">
      <c r="A281" s="100"/>
      <c r="B281" s="100"/>
      <c r="C281" s="100"/>
      <c r="D281" s="54"/>
      <c r="E281" s="55"/>
      <c r="F281" s="56"/>
      <c r="G281" s="56"/>
      <c r="H281" s="57"/>
      <c r="I281" s="58"/>
      <c r="J281" s="58"/>
      <c r="K281" s="55"/>
      <c r="L281" s="59"/>
      <c r="M281" s="59"/>
      <c r="N281" s="59"/>
      <c r="O281" s="54"/>
      <c r="P281" s="60"/>
      <c r="Q281" s="66"/>
      <c r="R281" s="67"/>
      <c r="S281" s="56"/>
      <c r="T281" s="56"/>
      <c r="U281" s="63"/>
      <c r="V281" s="64"/>
      <c r="W281" s="55"/>
      <c r="X281" s="63"/>
      <c r="Y281" s="54"/>
      <c r="Z281" s="65"/>
      <c r="AA281" s="70"/>
      <c r="AB281" s="71"/>
      <c r="AC281" s="56"/>
      <c r="AD281" s="56"/>
      <c r="AE281" s="64"/>
      <c r="AF281" s="64"/>
      <c r="AG281" s="55"/>
      <c r="AH281" s="68"/>
      <c r="AI281" s="54"/>
      <c r="AJ281" s="69"/>
      <c r="AK281" s="61"/>
      <c r="AL281" s="62"/>
      <c r="AM281" s="56"/>
      <c r="AN281" s="56"/>
      <c r="AO281" s="64"/>
      <c r="AP281" s="64"/>
      <c r="AQ281" s="55"/>
      <c r="AR281" s="68"/>
      <c r="AS281" s="54"/>
      <c r="AT281" s="69"/>
      <c r="AU281" s="61"/>
      <c r="AV281" s="62"/>
      <c r="AW281" s="56"/>
      <c r="AX281" s="56"/>
      <c r="AY281" s="64"/>
      <c r="AZ281" s="64"/>
      <c r="BA281" s="55"/>
      <c r="BB281" s="72"/>
      <c r="BC281" s="68"/>
      <c r="BD281" s="69"/>
      <c r="BE281" s="70"/>
      <c r="BF281" s="71"/>
      <c r="BG281" s="56"/>
      <c r="BH281" s="56"/>
      <c r="BI281" s="64"/>
      <c r="BJ281" s="64"/>
      <c r="BK281" s="57"/>
      <c r="BL281" s="73"/>
      <c r="BM281" s="76"/>
      <c r="BN281" s="74"/>
      <c r="BO281" s="75"/>
      <c r="BP281" s="66"/>
      <c r="BQ281" s="74"/>
    </row>
    <row r="282" spans="1:69" s="44" customFormat="1" ht="22.35" customHeight="1" x14ac:dyDescent="0.2">
      <c r="A282" s="100"/>
      <c r="B282" s="100"/>
      <c r="C282" s="100"/>
      <c r="D282" s="54"/>
      <c r="E282" s="55"/>
      <c r="F282" s="56"/>
      <c r="G282" s="56"/>
      <c r="H282" s="57"/>
      <c r="I282" s="58"/>
      <c r="J282" s="58"/>
      <c r="K282" s="55"/>
      <c r="L282" s="59"/>
      <c r="M282" s="59"/>
      <c r="N282" s="59"/>
      <c r="O282" s="54"/>
      <c r="P282" s="60"/>
      <c r="Q282" s="66"/>
      <c r="R282" s="67"/>
      <c r="S282" s="56"/>
      <c r="T282" s="56"/>
      <c r="U282" s="63"/>
      <c r="V282" s="64"/>
      <c r="W282" s="55"/>
      <c r="X282" s="63"/>
      <c r="Y282" s="54"/>
      <c r="Z282" s="65"/>
      <c r="AA282" s="61"/>
      <c r="AB282" s="62"/>
      <c r="AC282" s="56"/>
      <c r="AD282" s="56"/>
      <c r="AE282" s="64"/>
      <c r="AF282" s="64"/>
      <c r="AG282" s="55"/>
      <c r="AH282" s="68"/>
      <c r="AI282" s="54"/>
      <c r="AJ282" s="69"/>
      <c r="AK282" s="61"/>
      <c r="AL282" s="62"/>
      <c r="AM282" s="56"/>
      <c r="AN282" s="56"/>
      <c r="AO282" s="64"/>
      <c r="AP282" s="64"/>
      <c r="AQ282" s="55"/>
      <c r="AR282" s="68"/>
      <c r="AS282" s="54"/>
      <c r="AT282" s="69"/>
      <c r="AU282" s="61"/>
      <c r="AV282" s="62"/>
      <c r="AW282" s="56"/>
      <c r="AX282" s="56"/>
      <c r="AY282" s="64"/>
      <c r="AZ282" s="64"/>
      <c r="BA282" s="55"/>
      <c r="BB282" s="72"/>
      <c r="BC282" s="68"/>
      <c r="BD282" s="69"/>
      <c r="BE282" s="66"/>
      <c r="BF282" s="67"/>
      <c r="BG282" s="56"/>
      <c r="BH282" s="56"/>
      <c r="BI282" s="64"/>
      <c r="BJ282" s="64"/>
      <c r="BK282" s="57"/>
      <c r="BL282" s="73"/>
      <c r="BM282" s="76"/>
      <c r="BN282" s="74"/>
      <c r="BO282" s="75"/>
      <c r="BP282" s="66"/>
      <c r="BQ282" s="74"/>
    </row>
    <row r="283" spans="1:69" s="44" customFormat="1" ht="22.35" customHeight="1" x14ac:dyDescent="0.2">
      <c r="A283" s="100"/>
      <c r="B283" s="100"/>
      <c r="C283" s="100"/>
      <c r="D283" s="54"/>
      <c r="E283" s="55"/>
      <c r="F283" s="56"/>
      <c r="G283" s="56"/>
      <c r="H283" s="57"/>
      <c r="I283" s="58"/>
      <c r="J283" s="58"/>
      <c r="K283" s="55"/>
      <c r="L283" s="59"/>
      <c r="M283" s="59"/>
      <c r="N283" s="59"/>
      <c r="O283" s="54"/>
      <c r="P283" s="60"/>
      <c r="Q283" s="66"/>
      <c r="R283" s="67"/>
      <c r="S283" s="56"/>
      <c r="T283" s="56"/>
      <c r="U283" s="63"/>
      <c r="V283" s="64"/>
      <c r="W283" s="55"/>
      <c r="X283" s="63"/>
      <c r="Y283" s="54"/>
      <c r="Z283" s="65"/>
      <c r="AA283" s="70"/>
      <c r="AB283" s="71"/>
      <c r="AC283" s="56"/>
      <c r="AD283" s="56"/>
      <c r="AE283" s="64"/>
      <c r="AF283" s="64"/>
      <c r="AG283" s="55"/>
      <c r="AH283" s="68"/>
      <c r="AI283" s="54"/>
      <c r="AJ283" s="69"/>
      <c r="AK283" s="61"/>
      <c r="AL283" s="62"/>
      <c r="AM283" s="56"/>
      <c r="AN283" s="56"/>
      <c r="AO283" s="64"/>
      <c r="AP283" s="64"/>
      <c r="AQ283" s="55"/>
      <c r="AR283" s="68"/>
      <c r="AS283" s="54"/>
      <c r="AT283" s="69"/>
      <c r="AU283" s="61"/>
      <c r="AV283" s="62"/>
      <c r="AW283" s="56"/>
      <c r="AX283" s="56"/>
      <c r="AY283" s="64"/>
      <c r="AZ283" s="64"/>
      <c r="BA283" s="55"/>
      <c r="BB283" s="72"/>
      <c r="BC283" s="68"/>
      <c r="BD283" s="69"/>
      <c r="BE283" s="66"/>
      <c r="BF283" s="67"/>
      <c r="BG283" s="56"/>
      <c r="BH283" s="56"/>
      <c r="BI283" s="64"/>
      <c r="BJ283" s="64"/>
      <c r="BK283" s="57"/>
      <c r="BL283" s="73"/>
      <c r="BM283" s="76"/>
      <c r="BN283" s="74"/>
      <c r="BO283" s="75"/>
      <c r="BP283" s="66"/>
      <c r="BQ283" s="74"/>
    </row>
    <row r="284" spans="1:69" s="44" customFormat="1" ht="22.35" customHeight="1" x14ac:dyDescent="0.2">
      <c r="A284" s="100"/>
      <c r="B284" s="100"/>
      <c r="C284" s="100"/>
      <c r="D284" s="54"/>
      <c r="E284" s="55"/>
      <c r="F284" s="56"/>
      <c r="G284" s="56"/>
      <c r="H284" s="57"/>
      <c r="I284" s="58"/>
      <c r="J284" s="58"/>
      <c r="K284" s="55"/>
      <c r="L284" s="59"/>
      <c r="M284" s="59"/>
      <c r="N284" s="59"/>
      <c r="O284" s="54"/>
      <c r="P284" s="60"/>
      <c r="Q284" s="66"/>
      <c r="R284" s="67"/>
      <c r="S284" s="56"/>
      <c r="T284" s="56"/>
      <c r="U284" s="63"/>
      <c r="V284" s="64"/>
      <c r="W284" s="55"/>
      <c r="X284" s="63"/>
      <c r="Y284" s="54"/>
      <c r="Z284" s="65"/>
      <c r="AA284" s="70"/>
      <c r="AB284" s="71"/>
      <c r="AC284" s="56"/>
      <c r="AD284" s="56"/>
      <c r="AE284" s="64"/>
      <c r="AF284" s="64"/>
      <c r="AG284" s="55"/>
      <c r="AH284" s="68"/>
      <c r="AI284" s="54"/>
      <c r="AJ284" s="69"/>
      <c r="AK284" s="70"/>
      <c r="AL284" s="71"/>
      <c r="AM284" s="56"/>
      <c r="AN284" s="56"/>
      <c r="AO284" s="64"/>
      <c r="AP284" s="64"/>
      <c r="AQ284" s="55"/>
      <c r="AR284" s="68"/>
      <c r="AS284" s="54"/>
      <c r="AT284" s="69"/>
      <c r="AU284" s="61"/>
      <c r="AV284" s="62"/>
      <c r="AW284" s="56"/>
      <c r="AX284" s="56"/>
      <c r="AY284" s="64"/>
      <c r="AZ284" s="64"/>
      <c r="BA284" s="55"/>
      <c r="BB284" s="72"/>
      <c r="BC284" s="68"/>
      <c r="BD284" s="69"/>
      <c r="BE284" s="66"/>
      <c r="BF284" s="67"/>
      <c r="BG284" s="56"/>
      <c r="BH284" s="56"/>
      <c r="BI284" s="64"/>
      <c r="BJ284" s="64"/>
      <c r="BK284" s="57"/>
      <c r="BL284" s="73"/>
      <c r="BM284" s="70"/>
      <c r="BN284" s="74"/>
      <c r="BO284" s="75"/>
      <c r="BP284" s="66"/>
      <c r="BQ284" s="74"/>
    </row>
    <row r="285" spans="1:69" s="44" customFormat="1" ht="22.35" customHeight="1" x14ac:dyDescent="0.2">
      <c r="A285" s="100"/>
      <c r="B285" s="100"/>
      <c r="C285" s="100"/>
      <c r="D285" s="54"/>
      <c r="E285" s="55"/>
      <c r="F285" s="56"/>
      <c r="G285" s="56"/>
      <c r="H285" s="57"/>
      <c r="I285" s="58"/>
      <c r="J285" s="58"/>
      <c r="K285" s="55"/>
      <c r="L285" s="59"/>
      <c r="M285" s="59"/>
      <c r="N285" s="59"/>
      <c r="O285" s="54"/>
      <c r="P285" s="60"/>
      <c r="Q285" s="66"/>
      <c r="R285" s="67"/>
      <c r="S285" s="56"/>
      <c r="T285" s="56"/>
      <c r="U285" s="63"/>
      <c r="V285" s="64"/>
      <c r="W285" s="55"/>
      <c r="X285" s="63"/>
      <c r="Y285" s="54"/>
      <c r="Z285" s="65"/>
      <c r="AA285" s="66"/>
      <c r="AB285" s="67"/>
      <c r="AC285" s="56"/>
      <c r="AD285" s="56"/>
      <c r="AE285" s="64"/>
      <c r="AF285" s="64"/>
      <c r="AG285" s="55"/>
      <c r="AH285" s="68"/>
      <c r="AI285" s="54"/>
      <c r="AJ285" s="69"/>
      <c r="AK285" s="70"/>
      <c r="AL285" s="71"/>
      <c r="AM285" s="56"/>
      <c r="AN285" s="56"/>
      <c r="AO285" s="64"/>
      <c r="AP285" s="64"/>
      <c r="AQ285" s="55"/>
      <c r="AR285" s="68"/>
      <c r="AS285" s="54"/>
      <c r="AT285" s="69"/>
      <c r="AU285" s="61"/>
      <c r="AV285" s="62"/>
      <c r="AW285" s="56"/>
      <c r="AX285" s="56"/>
      <c r="AY285" s="64"/>
      <c r="AZ285" s="64"/>
      <c r="BA285" s="55"/>
      <c r="BB285" s="72"/>
      <c r="BC285" s="68"/>
      <c r="BD285" s="69"/>
      <c r="BE285" s="66"/>
      <c r="BF285" s="67"/>
      <c r="BG285" s="56"/>
      <c r="BH285" s="56"/>
      <c r="BI285" s="64"/>
      <c r="BJ285" s="64"/>
      <c r="BK285" s="57"/>
      <c r="BL285" s="73"/>
      <c r="BM285" s="70"/>
      <c r="BN285" s="74"/>
      <c r="BO285" s="75"/>
      <c r="BP285" s="66"/>
      <c r="BQ285" s="74"/>
    </row>
    <row r="286" spans="1:69" s="44" customFormat="1" ht="22.35" customHeight="1" x14ac:dyDescent="0.2">
      <c r="A286" s="100"/>
      <c r="B286" s="100"/>
      <c r="C286" s="100"/>
      <c r="D286" s="54"/>
      <c r="E286" s="55"/>
      <c r="F286" s="56"/>
      <c r="G286" s="56"/>
      <c r="H286" s="57"/>
      <c r="I286" s="58"/>
      <c r="J286" s="58"/>
      <c r="K286" s="55"/>
      <c r="L286" s="59"/>
      <c r="M286" s="59"/>
      <c r="N286" s="59"/>
      <c r="O286" s="54"/>
      <c r="P286" s="60"/>
      <c r="Q286" s="66"/>
      <c r="R286" s="67"/>
      <c r="S286" s="56"/>
      <c r="T286" s="56"/>
      <c r="U286" s="63"/>
      <c r="V286" s="64"/>
      <c r="W286" s="55"/>
      <c r="X286" s="63"/>
      <c r="Y286" s="54"/>
      <c r="Z286" s="65"/>
      <c r="AA286" s="66"/>
      <c r="AB286" s="67"/>
      <c r="AC286" s="56"/>
      <c r="AD286" s="56"/>
      <c r="AE286" s="64"/>
      <c r="AF286" s="64"/>
      <c r="AG286" s="55"/>
      <c r="AH286" s="68"/>
      <c r="AI286" s="54"/>
      <c r="AJ286" s="69"/>
      <c r="AK286" s="66"/>
      <c r="AL286" s="67"/>
      <c r="AM286" s="56"/>
      <c r="AN286" s="56"/>
      <c r="AO286" s="64"/>
      <c r="AP286" s="64"/>
      <c r="AQ286" s="55"/>
      <c r="AR286" s="68"/>
      <c r="AS286" s="54"/>
      <c r="AT286" s="69"/>
      <c r="AU286" s="61"/>
      <c r="AV286" s="62"/>
      <c r="AW286" s="56"/>
      <c r="AX286" s="56"/>
      <c r="AY286" s="64"/>
      <c r="AZ286" s="64"/>
      <c r="BA286" s="55"/>
      <c r="BB286" s="72"/>
      <c r="BC286" s="68"/>
      <c r="BD286" s="69"/>
      <c r="BE286" s="66"/>
      <c r="BF286" s="67"/>
      <c r="BG286" s="56"/>
      <c r="BH286" s="56"/>
      <c r="BI286" s="64"/>
      <c r="BJ286" s="64"/>
      <c r="BK286" s="57"/>
      <c r="BL286" s="73"/>
      <c r="BM286" s="70"/>
      <c r="BN286" s="74"/>
      <c r="BO286" s="75"/>
      <c r="BP286" s="66"/>
      <c r="BQ286" s="74"/>
    </row>
    <row r="287" spans="1:69" s="44" customFormat="1" ht="22.35" customHeight="1" x14ac:dyDescent="0.2">
      <c r="A287" s="100"/>
      <c r="B287" s="100"/>
      <c r="C287" s="100"/>
      <c r="D287" s="54"/>
      <c r="E287" s="55"/>
      <c r="F287" s="56"/>
      <c r="G287" s="56"/>
      <c r="H287" s="57"/>
      <c r="I287" s="58"/>
      <c r="J287" s="58"/>
      <c r="K287" s="55"/>
      <c r="L287" s="59"/>
      <c r="M287" s="59"/>
      <c r="N287" s="59"/>
      <c r="O287" s="54"/>
      <c r="P287" s="60"/>
      <c r="Q287" s="66"/>
      <c r="R287" s="67"/>
      <c r="S287" s="56"/>
      <c r="T287" s="56"/>
      <c r="U287" s="63"/>
      <c r="V287" s="64"/>
      <c r="W287" s="55"/>
      <c r="X287" s="63"/>
      <c r="Y287" s="54"/>
      <c r="Z287" s="65"/>
      <c r="AA287" s="66"/>
      <c r="AB287" s="67"/>
      <c r="AC287" s="56"/>
      <c r="AD287" s="56"/>
      <c r="AE287" s="64"/>
      <c r="AF287" s="64"/>
      <c r="AG287" s="55"/>
      <c r="AH287" s="68"/>
      <c r="AI287" s="54"/>
      <c r="AJ287" s="69"/>
      <c r="AK287" s="70"/>
      <c r="AL287" s="71"/>
      <c r="AM287" s="56"/>
      <c r="AN287" s="56"/>
      <c r="AO287" s="64"/>
      <c r="AP287" s="64"/>
      <c r="AQ287" s="55"/>
      <c r="AR287" s="68"/>
      <c r="AS287" s="54"/>
      <c r="AT287" s="69"/>
      <c r="AU287" s="61"/>
      <c r="AV287" s="62"/>
      <c r="AW287" s="56"/>
      <c r="AX287" s="56"/>
      <c r="AY287" s="64"/>
      <c r="AZ287" s="64"/>
      <c r="BA287" s="55"/>
      <c r="BB287" s="72"/>
      <c r="BC287" s="68"/>
      <c r="BD287" s="69"/>
      <c r="BE287" s="66"/>
      <c r="BF287" s="67"/>
      <c r="BG287" s="56"/>
      <c r="BH287" s="56"/>
      <c r="BI287" s="64"/>
      <c r="BJ287" s="64"/>
      <c r="BK287" s="57"/>
      <c r="BL287" s="73"/>
      <c r="BM287" s="70"/>
      <c r="BN287" s="74"/>
      <c r="BO287" s="75"/>
      <c r="BP287" s="66"/>
      <c r="BQ287" s="74"/>
    </row>
    <row r="288" spans="1:69" s="44" customFormat="1" ht="22.35" customHeight="1" x14ac:dyDescent="0.2">
      <c r="A288" s="100"/>
      <c r="B288" s="100"/>
      <c r="C288" s="100"/>
      <c r="D288" s="54"/>
      <c r="E288" s="55"/>
      <c r="F288" s="56"/>
      <c r="G288" s="56"/>
      <c r="H288" s="57"/>
      <c r="I288" s="58"/>
      <c r="J288" s="58"/>
      <c r="K288" s="55"/>
      <c r="L288" s="59"/>
      <c r="M288" s="59"/>
      <c r="N288" s="59"/>
      <c r="O288" s="54"/>
      <c r="P288" s="60"/>
      <c r="Q288" s="66"/>
      <c r="R288" s="67"/>
      <c r="S288" s="56"/>
      <c r="T288" s="56"/>
      <c r="U288" s="63"/>
      <c r="V288" s="64"/>
      <c r="W288" s="55"/>
      <c r="X288" s="63"/>
      <c r="Y288" s="54"/>
      <c r="Z288" s="65"/>
      <c r="AA288" s="70"/>
      <c r="AB288" s="71"/>
      <c r="AC288" s="56"/>
      <c r="AD288" s="56"/>
      <c r="AE288" s="64"/>
      <c r="AF288" s="64"/>
      <c r="AG288" s="55"/>
      <c r="AH288" s="68"/>
      <c r="AI288" s="54"/>
      <c r="AJ288" s="69"/>
      <c r="AK288" s="76"/>
      <c r="AL288" s="59"/>
      <c r="AM288" s="56"/>
      <c r="AN288" s="56"/>
      <c r="AO288" s="64"/>
      <c r="AP288" s="64"/>
      <c r="AQ288" s="55"/>
      <c r="AR288" s="68"/>
      <c r="AS288" s="54"/>
      <c r="AT288" s="69"/>
      <c r="AU288" s="61"/>
      <c r="AV288" s="62"/>
      <c r="AW288" s="56"/>
      <c r="AX288" s="56"/>
      <c r="AY288" s="64"/>
      <c r="AZ288" s="64"/>
      <c r="BA288" s="55"/>
      <c r="BB288" s="72"/>
      <c r="BC288" s="68"/>
      <c r="BD288" s="69"/>
      <c r="BE288" s="70"/>
      <c r="BF288" s="71"/>
      <c r="BG288" s="56"/>
      <c r="BH288" s="56"/>
      <c r="BI288" s="64"/>
      <c r="BJ288" s="64"/>
      <c r="BK288" s="57"/>
      <c r="BL288" s="73"/>
      <c r="BM288" s="70"/>
      <c r="BN288" s="74"/>
      <c r="BO288" s="75"/>
      <c r="BP288" s="66"/>
      <c r="BQ288" s="74"/>
    </row>
    <row r="289" spans="1:69" s="44" customFormat="1" ht="22.35" customHeight="1" x14ac:dyDescent="0.2">
      <c r="A289" s="100"/>
      <c r="B289" s="100"/>
      <c r="C289" s="100"/>
      <c r="D289" s="54"/>
      <c r="E289" s="55"/>
      <c r="F289" s="56"/>
      <c r="G289" s="56"/>
      <c r="H289" s="57"/>
      <c r="I289" s="58"/>
      <c r="J289" s="58"/>
      <c r="K289" s="55"/>
      <c r="L289" s="59"/>
      <c r="M289" s="59"/>
      <c r="N289" s="59"/>
      <c r="O289" s="54"/>
      <c r="P289" s="60"/>
      <c r="Q289" s="66"/>
      <c r="R289" s="67"/>
      <c r="S289" s="56"/>
      <c r="T289" s="56"/>
      <c r="U289" s="63"/>
      <c r="V289" s="64"/>
      <c r="W289" s="55"/>
      <c r="X289" s="63"/>
      <c r="Y289" s="54"/>
      <c r="Z289" s="65"/>
      <c r="AA289" s="66"/>
      <c r="AB289" s="67"/>
      <c r="AC289" s="56"/>
      <c r="AD289" s="56"/>
      <c r="AE289" s="64"/>
      <c r="AF289" s="64"/>
      <c r="AG289" s="55"/>
      <c r="AH289" s="68"/>
      <c r="AI289" s="54"/>
      <c r="AJ289" s="69"/>
      <c r="AK289" s="70"/>
      <c r="AL289" s="71"/>
      <c r="AM289" s="56"/>
      <c r="AN289" s="56"/>
      <c r="AO289" s="64"/>
      <c r="AP289" s="64"/>
      <c r="AQ289" s="55"/>
      <c r="AR289" s="68"/>
      <c r="AS289" s="54"/>
      <c r="AT289" s="69"/>
      <c r="AU289" s="61"/>
      <c r="AV289" s="62"/>
      <c r="AW289" s="56"/>
      <c r="AX289" s="56"/>
      <c r="AY289" s="64"/>
      <c r="AZ289" s="64"/>
      <c r="BA289" s="55"/>
      <c r="BB289" s="72"/>
      <c r="BC289" s="68"/>
      <c r="BD289" s="69"/>
      <c r="BE289" s="66"/>
      <c r="BF289" s="67"/>
      <c r="BG289" s="56"/>
      <c r="BH289" s="56"/>
      <c r="BI289" s="64"/>
      <c r="BJ289" s="64"/>
      <c r="BK289" s="57"/>
      <c r="BL289" s="73"/>
      <c r="BM289" s="70"/>
      <c r="BN289" s="74"/>
      <c r="BO289" s="75"/>
      <c r="BP289" s="66"/>
      <c r="BQ289" s="74"/>
    </row>
    <row r="290" spans="1:69" s="44" customFormat="1" ht="22.35" customHeight="1" x14ac:dyDescent="0.2">
      <c r="A290" s="100"/>
      <c r="B290" s="100"/>
      <c r="C290" s="100"/>
      <c r="D290" s="54"/>
      <c r="E290" s="55"/>
      <c r="F290" s="56"/>
      <c r="G290" s="56"/>
      <c r="H290" s="57"/>
      <c r="I290" s="58"/>
      <c r="J290" s="58"/>
      <c r="K290" s="55"/>
      <c r="L290" s="59"/>
      <c r="M290" s="59"/>
      <c r="N290" s="59"/>
      <c r="O290" s="54"/>
      <c r="P290" s="60"/>
      <c r="Q290" s="66"/>
      <c r="R290" s="67"/>
      <c r="S290" s="56"/>
      <c r="T290" s="56"/>
      <c r="U290" s="63"/>
      <c r="V290" s="64"/>
      <c r="W290" s="55"/>
      <c r="X290" s="63"/>
      <c r="Y290" s="54"/>
      <c r="Z290" s="65"/>
      <c r="AA290" s="66"/>
      <c r="AB290" s="67"/>
      <c r="AC290" s="56"/>
      <c r="AD290" s="56"/>
      <c r="AE290" s="64"/>
      <c r="AF290" s="64"/>
      <c r="AG290" s="55"/>
      <c r="AH290" s="68"/>
      <c r="AI290" s="54"/>
      <c r="AJ290" s="69"/>
      <c r="AK290" s="66"/>
      <c r="AL290" s="67"/>
      <c r="AM290" s="56"/>
      <c r="AN290" s="56"/>
      <c r="AO290" s="64"/>
      <c r="AP290" s="64"/>
      <c r="AQ290" s="55"/>
      <c r="AR290" s="68"/>
      <c r="AS290" s="54"/>
      <c r="AT290" s="69"/>
      <c r="AU290" s="61"/>
      <c r="AV290" s="62"/>
      <c r="AW290" s="56"/>
      <c r="AX290" s="56"/>
      <c r="AY290" s="64"/>
      <c r="AZ290" s="64"/>
      <c r="BA290" s="55"/>
      <c r="BB290" s="72"/>
      <c r="BC290" s="68"/>
      <c r="BD290" s="69"/>
      <c r="BE290" s="66"/>
      <c r="BF290" s="67"/>
      <c r="BG290" s="56"/>
      <c r="BH290" s="56"/>
      <c r="BI290" s="64"/>
      <c r="BJ290" s="64"/>
      <c r="BK290" s="57"/>
      <c r="BL290" s="73"/>
      <c r="BM290" s="70"/>
      <c r="BN290" s="74"/>
      <c r="BO290" s="75"/>
      <c r="BP290" s="66"/>
      <c r="BQ290" s="74"/>
    </row>
    <row r="291" spans="1:69" s="44" customFormat="1" ht="22.35" customHeight="1" x14ac:dyDescent="0.2">
      <c r="A291" s="100"/>
      <c r="B291" s="100"/>
      <c r="C291" s="100"/>
      <c r="D291" s="54"/>
      <c r="E291" s="55"/>
      <c r="F291" s="56"/>
      <c r="G291" s="56"/>
      <c r="H291" s="57"/>
      <c r="I291" s="58"/>
      <c r="J291" s="58"/>
      <c r="K291" s="55"/>
      <c r="L291" s="59"/>
      <c r="M291" s="59"/>
      <c r="N291" s="59"/>
      <c r="O291" s="54"/>
      <c r="P291" s="60"/>
      <c r="Q291" s="66"/>
      <c r="R291" s="67"/>
      <c r="S291" s="56"/>
      <c r="T291" s="56"/>
      <c r="U291" s="63"/>
      <c r="V291" s="64"/>
      <c r="W291" s="55"/>
      <c r="X291" s="63"/>
      <c r="Y291" s="54"/>
      <c r="Z291" s="65"/>
      <c r="AA291" s="76"/>
      <c r="AB291" s="59"/>
      <c r="AC291" s="56"/>
      <c r="AD291" s="56"/>
      <c r="AE291" s="64"/>
      <c r="AF291" s="64"/>
      <c r="AG291" s="55"/>
      <c r="AH291" s="68"/>
      <c r="AI291" s="54"/>
      <c r="AJ291" s="69"/>
      <c r="AK291" s="61"/>
      <c r="AL291" s="62"/>
      <c r="AM291" s="56"/>
      <c r="AN291" s="56"/>
      <c r="AO291" s="64"/>
      <c r="AP291" s="64"/>
      <c r="AQ291" s="55"/>
      <c r="AR291" s="68"/>
      <c r="AS291" s="54"/>
      <c r="AT291" s="69"/>
      <c r="AU291" s="61"/>
      <c r="AV291" s="62"/>
      <c r="AW291" s="56"/>
      <c r="AX291" s="56"/>
      <c r="AY291" s="64"/>
      <c r="AZ291" s="64"/>
      <c r="BA291" s="55"/>
      <c r="BB291" s="72"/>
      <c r="BC291" s="68"/>
      <c r="BD291" s="69"/>
      <c r="BE291" s="76"/>
      <c r="BF291" s="59"/>
      <c r="BG291" s="56"/>
      <c r="BH291" s="56"/>
      <c r="BI291" s="64"/>
      <c r="BJ291" s="64"/>
      <c r="BK291" s="57"/>
      <c r="BL291" s="73"/>
      <c r="BM291" s="76"/>
      <c r="BN291" s="74"/>
      <c r="BO291" s="75"/>
      <c r="BP291" s="66"/>
      <c r="BQ291" s="74"/>
    </row>
    <row r="292" spans="1:69" s="44" customFormat="1" ht="22.35" customHeight="1" x14ac:dyDescent="0.2">
      <c r="A292" s="100"/>
      <c r="B292" s="100"/>
      <c r="C292" s="100"/>
      <c r="D292" s="54"/>
      <c r="E292" s="55"/>
      <c r="F292" s="56"/>
      <c r="G292" s="56"/>
      <c r="H292" s="57"/>
      <c r="I292" s="58"/>
      <c r="J292" s="58"/>
      <c r="K292" s="55"/>
      <c r="L292" s="59"/>
      <c r="M292" s="59"/>
      <c r="N292" s="59"/>
      <c r="O292" s="54"/>
      <c r="P292" s="60"/>
      <c r="Q292" s="66"/>
      <c r="R292" s="67"/>
      <c r="S292" s="56"/>
      <c r="T292" s="56"/>
      <c r="U292" s="63"/>
      <c r="V292" s="64"/>
      <c r="W292" s="55"/>
      <c r="X292" s="63"/>
      <c r="Y292" s="54"/>
      <c r="Z292" s="65"/>
      <c r="AA292" s="76"/>
      <c r="AB292" s="59"/>
      <c r="AC292" s="56"/>
      <c r="AD292" s="56"/>
      <c r="AE292" s="64"/>
      <c r="AF292" s="64"/>
      <c r="AG292" s="55"/>
      <c r="AH292" s="68"/>
      <c r="AI292" s="54"/>
      <c r="AJ292" s="69"/>
      <c r="AK292" s="61"/>
      <c r="AL292" s="62"/>
      <c r="AM292" s="56"/>
      <c r="AN292" s="56"/>
      <c r="AO292" s="64"/>
      <c r="AP292" s="64"/>
      <c r="AQ292" s="55"/>
      <c r="AR292" s="68"/>
      <c r="AS292" s="54"/>
      <c r="AT292" s="69"/>
      <c r="AU292" s="61"/>
      <c r="AV292" s="62"/>
      <c r="AW292" s="56"/>
      <c r="AX292" s="56"/>
      <c r="AY292" s="64"/>
      <c r="AZ292" s="64"/>
      <c r="BA292" s="55"/>
      <c r="BB292" s="72"/>
      <c r="BC292" s="68"/>
      <c r="BD292" s="69"/>
      <c r="BE292" s="61"/>
      <c r="BF292" s="62"/>
      <c r="BG292" s="56"/>
      <c r="BH292" s="56"/>
      <c r="BI292" s="64"/>
      <c r="BJ292" s="64"/>
      <c r="BK292" s="57"/>
      <c r="BL292" s="73"/>
      <c r="BM292" s="70"/>
      <c r="BN292" s="74"/>
      <c r="BO292" s="75"/>
      <c r="BP292" s="66"/>
      <c r="BQ292" s="74"/>
    </row>
    <row r="293" spans="1:69" s="44" customFormat="1" ht="22.35" customHeight="1" x14ac:dyDescent="0.2">
      <c r="A293" s="100"/>
      <c r="B293" s="100"/>
      <c r="C293" s="100"/>
      <c r="D293" s="54"/>
      <c r="E293" s="55"/>
      <c r="F293" s="56"/>
      <c r="G293" s="56"/>
      <c r="H293" s="57"/>
      <c r="I293" s="58"/>
      <c r="J293" s="58"/>
      <c r="K293" s="55"/>
      <c r="L293" s="59"/>
      <c r="M293" s="59"/>
      <c r="N293" s="59"/>
      <c r="O293" s="54"/>
      <c r="P293" s="60"/>
      <c r="Q293" s="66"/>
      <c r="R293" s="67"/>
      <c r="S293" s="56"/>
      <c r="T293" s="56"/>
      <c r="U293" s="63"/>
      <c r="V293" s="64"/>
      <c r="W293" s="55"/>
      <c r="X293" s="63"/>
      <c r="Y293" s="54"/>
      <c r="Z293" s="65"/>
      <c r="AA293" s="70"/>
      <c r="AB293" s="71"/>
      <c r="AC293" s="56"/>
      <c r="AD293" s="56"/>
      <c r="AE293" s="64"/>
      <c r="AF293" s="64"/>
      <c r="AG293" s="55"/>
      <c r="AH293" s="68"/>
      <c r="AI293" s="54"/>
      <c r="AJ293" s="69"/>
      <c r="AK293" s="61"/>
      <c r="AL293" s="62"/>
      <c r="AM293" s="56"/>
      <c r="AN293" s="56"/>
      <c r="AO293" s="64"/>
      <c r="AP293" s="64"/>
      <c r="AQ293" s="55"/>
      <c r="AR293" s="68"/>
      <c r="AS293" s="54"/>
      <c r="AT293" s="69"/>
      <c r="AU293" s="61"/>
      <c r="AV293" s="62"/>
      <c r="AW293" s="56"/>
      <c r="AX293" s="56"/>
      <c r="AY293" s="64"/>
      <c r="AZ293" s="64"/>
      <c r="BA293" s="55"/>
      <c r="BB293" s="72"/>
      <c r="BC293" s="68"/>
      <c r="BD293" s="69"/>
      <c r="BE293" s="66"/>
      <c r="BF293" s="67"/>
      <c r="BG293" s="56"/>
      <c r="BH293" s="56"/>
      <c r="BI293" s="64"/>
      <c r="BJ293" s="64"/>
      <c r="BK293" s="57"/>
      <c r="BL293" s="73"/>
      <c r="BM293" s="76"/>
      <c r="BN293" s="74"/>
      <c r="BO293" s="75"/>
      <c r="BP293" s="66"/>
      <c r="BQ293" s="74"/>
    </row>
    <row r="294" spans="1:69" s="44" customFormat="1" ht="22.35" customHeight="1" x14ac:dyDescent="0.2">
      <c r="A294" s="100"/>
      <c r="B294" s="100"/>
      <c r="C294" s="100"/>
      <c r="D294" s="54"/>
      <c r="E294" s="55"/>
      <c r="F294" s="56"/>
      <c r="G294" s="56"/>
      <c r="H294" s="57"/>
      <c r="I294" s="58"/>
      <c r="J294" s="58"/>
      <c r="K294" s="55"/>
      <c r="L294" s="59"/>
      <c r="M294" s="59"/>
      <c r="N294" s="59"/>
      <c r="O294" s="54"/>
      <c r="P294" s="60"/>
      <c r="Q294" s="66"/>
      <c r="R294" s="67"/>
      <c r="S294" s="56"/>
      <c r="T294" s="56"/>
      <c r="U294" s="63"/>
      <c r="V294" s="64"/>
      <c r="W294" s="55"/>
      <c r="X294" s="63"/>
      <c r="Y294" s="54"/>
      <c r="Z294" s="65"/>
      <c r="AA294" s="66"/>
      <c r="AB294" s="67"/>
      <c r="AC294" s="56"/>
      <c r="AD294" s="56"/>
      <c r="AE294" s="64"/>
      <c r="AF294" s="64"/>
      <c r="AG294" s="55"/>
      <c r="AH294" s="68"/>
      <c r="AI294" s="54"/>
      <c r="AJ294" s="69"/>
      <c r="AK294" s="76"/>
      <c r="AL294" s="59"/>
      <c r="AM294" s="56"/>
      <c r="AN294" s="56"/>
      <c r="AO294" s="64"/>
      <c r="AP294" s="64"/>
      <c r="AQ294" s="55"/>
      <c r="AR294" s="68"/>
      <c r="AS294" s="54"/>
      <c r="AT294" s="69"/>
      <c r="AU294" s="61"/>
      <c r="AV294" s="62"/>
      <c r="AW294" s="56"/>
      <c r="AX294" s="56"/>
      <c r="AY294" s="64"/>
      <c r="AZ294" s="64"/>
      <c r="BA294" s="55"/>
      <c r="BB294" s="72"/>
      <c r="BC294" s="68"/>
      <c r="BD294" s="69"/>
      <c r="BE294" s="66"/>
      <c r="BF294" s="67"/>
      <c r="BG294" s="56"/>
      <c r="BH294" s="56"/>
      <c r="BI294" s="64"/>
      <c r="BJ294" s="64"/>
      <c r="BK294" s="57"/>
      <c r="BL294" s="73"/>
      <c r="BM294" s="70"/>
      <c r="BN294" s="74"/>
      <c r="BO294" s="75"/>
      <c r="BP294" s="66"/>
      <c r="BQ294" s="74"/>
    </row>
    <row r="295" spans="1:69" s="44" customFormat="1" ht="22.35" customHeight="1" x14ac:dyDescent="0.2">
      <c r="A295" s="100"/>
      <c r="B295" s="100"/>
      <c r="C295" s="100"/>
      <c r="D295" s="54"/>
      <c r="E295" s="55"/>
      <c r="F295" s="56"/>
      <c r="G295" s="56"/>
      <c r="H295" s="57"/>
      <c r="I295" s="58"/>
      <c r="J295" s="58"/>
      <c r="K295" s="55"/>
      <c r="L295" s="59"/>
      <c r="M295" s="59"/>
      <c r="N295" s="59"/>
      <c r="O295" s="54"/>
      <c r="P295" s="60"/>
      <c r="Q295" s="66"/>
      <c r="R295" s="67"/>
      <c r="S295" s="56"/>
      <c r="T295" s="56"/>
      <c r="U295" s="63"/>
      <c r="V295" s="64"/>
      <c r="W295" s="55"/>
      <c r="X295" s="63"/>
      <c r="Y295" s="54"/>
      <c r="Z295" s="65"/>
      <c r="AA295" s="76"/>
      <c r="AB295" s="59"/>
      <c r="AC295" s="56"/>
      <c r="AD295" s="56"/>
      <c r="AE295" s="64"/>
      <c r="AF295" s="64"/>
      <c r="AG295" s="55"/>
      <c r="AH295" s="68"/>
      <c r="AI295" s="54"/>
      <c r="AJ295" s="69"/>
      <c r="AK295" s="61"/>
      <c r="AL295" s="62"/>
      <c r="AM295" s="56"/>
      <c r="AN295" s="56"/>
      <c r="AO295" s="64"/>
      <c r="AP295" s="64"/>
      <c r="AQ295" s="55"/>
      <c r="AR295" s="68"/>
      <c r="AS295" s="54"/>
      <c r="AT295" s="69"/>
      <c r="AU295" s="61"/>
      <c r="AV295" s="62"/>
      <c r="AW295" s="56"/>
      <c r="AX295" s="56"/>
      <c r="AY295" s="64"/>
      <c r="AZ295" s="64"/>
      <c r="BA295" s="55"/>
      <c r="BB295" s="72"/>
      <c r="BC295" s="68"/>
      <c r="BD295" s="69"/>
      <c r="BE295" s="66"/>
      <c r="BF295" s="67"/>
      <c r="BG295" s="56"/>
      <c r="BH295" s="56"/>
      <c r="BI295" s="64"/>
      <c r="BJ295" s="64"/>
      <c r="BK295" s="57"/>
      <c r="BL295" s="73"/>
      <c r="BM295" s="76"/>
      <c r="BN295" s="74"/>
      <c r="BO295" s="75"/>
      <c r="BP295" s="66"/>
      <c r="BQ295" s="74"/>
    </row>
    <row r="296" spans="1:69" s="44" customFormat="1" ht="22.35" customHeight="1" x14ac:dyDescent="0.2">
      <c r="A296" s="100"/>
      <c r="B296" s="100"/>
      <c r="C296" s="100"/>
      <c r="D296" s="54"/>
      <c r="E296" s="55"/>
      <c r="F296" s="56"/>
      <c r="G296" s="56"/>
      <c r="H296" s="57"/>
      <c r="I296" s="58"/>
      <c r="J296" s="58"/>
      <c r="K296" s="55"/>
      <c r="L296" s="59"/>
      <c r="M296" s="59"/>
      <c r="N296" s="59"/>
      <c r="O296" s="54"/>
      <c r="P296" s="60"/>
      <c r="Q296" s="66"/>
      <c r="R296" s="67"/>
      <c r="S296" s="56"/>
      <c r="T296" s="56"/>
      <c r="U296" s="63"/>
      <c r="V296" s="64"/>
      <c r="W296" s="55"/>
      <c r="X296" s="63"/>
      <c r="Y296" s="54"/>
      <c r="Z296" s="65"/>
      <c r="AA296" s="70"/>
      <c r="AB296" s="71"/>
      <c r="AC296" s="56"/>
      <c r="AD296" s="56"/>
      <c r="AE296" s="64"/>
      <c r="AF296" s="64"/>
      <c r="AG296" s="55"/>
      <c r="AH296" s="68"/>
      <c r="AI296" s="54"/>
      <c r="AJ296" s="69"/>
      <c r="AK296" s="76"/>
      <c r="AL296" s="59"/>
      <c r="AM296" s="56"/>
      <c r="AN296" s="56"/>
      <c r="AO296" s="64"/>
      <c r="AP296" s="64"/>
      <c r="AQ296" s="55"/>
      <c r="AR296" s="68"/>
      <c r="AS296" s="54"/>
      <c r="AT296" s="69"/>
      <c r="AU296" s="61"/>
      <c r="AV296" s="62"/>
      <c r="AW296" s="56"/>
      <c r="AX296" s="56"/>
      <c r="AY296" s="64"/>
      <c r="AZ296" s="64"/>
      <c r="BA296" s="55"/>
      <c r="BB296" s="72"/>
      <c r="BC296" s="68"/>
      <c r="BD296" s="69"/>
      <c r="BE296" s="76"/>
      <c r="BF296" s="59"/>
      <c r="BG296" s="56"/>
      <c r="BH296" s="56"/>
      <c r="BI296" s="64"/>
      <c r="BJ296" s="64"/>
      <c r="BK296" s="57"/>
      <c r="BL296" s="73"/>
      <c r="BM296" s="70"/>
      <c r="BN296" s="74"/>
      <c r="BO296" s="75"/>
      <c r="BP296" s="66"/>
      <c r="BQ296" s="74"/>
    </row>
    <row r="297" spans="1:69" s="44" customFormat="1" ht="22.35" customHeight="1" x14ac:dyDescent="0.2">
      <c r="A297" s="100"/>
      <c r="B297" s="100"/>
      <c r="C297" s="100"/>
      <c r="D297" s="54"/>
      <c r="E297" s="55"/>
      <c r="F297" s="56"/>
      <c r="G297" s="56"/>
      <c r="H297" s="57"/>
      <c r="I297" s="58"/>
      <c r="J297" s="58"/>
      <c r="K297" s="55"/>
      <c r="L297" s="59"/>
      <c r="M297" s="59"/>
      <c r="N297" s="59"/>
      <c r="O297" s="54"/>
      <c r="P297" s="60"/>
      <c r="Q297" s="76"/>
      <c r="R297" s="59"/>
      <c r="S297" s="56"/>
      <c r="T297" s="56"/>
      <c r="U297" s="63"/>
      <c r="V297" s="64"/>
      <c r="W297" s="55"/>
      <c r="X297" s="63"/>
      <c r="Y297" s="54"/>
      <c r="Z297" s="65"/>
      <c r="AA297" s="66"/>
      <c r="AB297" s="67"/>
      <c r="AC297" s="56"/>
      <c r="AD297" s="56"/>
      <c r="AE297" s="64"/>
      <c r="AF297" s="64"/>
      <c r="AG297" s="55"/>
      <c r="AH297" s="68"/>
      <c r="AI297" s="54"/>
      <c r="AJ297" s="69"/>
      <c r="AK297" s="66"/>
      <c r="AL297" s="67"/>
      <c r="AM297" s="56"/>
      <c r="AN297" s="56"/>
      <c r="AO297" s="64"/>
      <c r="AP297" s="64"/>
      <c r="AQ297" s="55"/>
      <c r="AR297" s="68"/>
      <c r="AS297" s="54"/>
      <c r="AT297" s="69"/>
      <c r="AU297" s="61"/>
      <c r="AV297" s="62"/>
      <c r="AW297" s="56"/>
      <c r="AX297" s="56"/>
      <c r="AY297" s="64"/>
      <c r="AZ297" s="64"/>
      <c r="BA297" s="55"/>
      <c r="BB297" s="72"/>
      <c r="BC297" s="68"/>
      <c r="BD297" s="69"/>
      <c r="BE297" s="66"/>
      <c r="BF297" s="67"/>
      <c r="BG297" s="56"/>
      <c r="BH297" s="56"/>
      <c r="BI297" s="64"/>
      <c r="BJ297" s="64"/>
      <c r="BK297" s="57"/>
      <c r="BL297" s="73"/>
      <c r="BM297" s="76"/>
      <c r="BN297" s="74"/>
      <c r="BO297" s="75"/>
      <c r="BP297" s="66"/>
      <c r="BQ297" s="74"/>
    </row>
    <row r="298" spans="1:69" s="44" customFormat="1" ht="22.35" customHeight="1" x14ac:dyDescent="0.2">
      <c r="A298" s="100"/>
      <c r="B298" s="100"/>
      <c r="C298" s="100"/>
      <c r="D298" s="54"/>
      <c r="E298" s="55"/>
      <c r="F298" s="56"/>
      <c r="G298" s="56"/>
      <c r="H298" s="57"/>
      <c r="I298" s="58"/>
      <c r="J298" s="58"/>
      <c r="K298" s="55"/>
      <c r="L298" s="59"/>
      <c r="M298" s="59"/>
      <c r="N298" s="59"/>
      <c r="O298" s="54"/>
      <c r="P298" s="60"/>
      <c r="Q298" s="66"/>
      <c r="R298" s="67"/>
      <c r="S298" s="56"/>
      <c r="T298" s="56"/>
      <c r="U298" s="63"/>
      <c r="V298" s="64"/>
      <c r="W298" s="55"/>
      <c r="X298" s="63"/>
      <c r="Y298" s="54"/>
      <c r="Z298" s="65"/>
      <c r="AA298" s="70"/>
      <c r="AB298" s="71"/>
      <c r="AC298" s="56"/>
      <c r="AD298" s="56"/>
      <c r="AE298" s="64"/>
      <c r="AF298" s="64"/>
      <c r="AG298" s="55"/>
      <c r="AH298" s="68"/>
      <c r="AI298" s="54"/>
      <c r="AJ298" s="69"/>
      <c r="AK298" s="61"/>
      <c r="AL298" s="62"/>
      <c r="AM298" s="56"/>
      <c r="AN298" s="56"/>
      <c r="AO298" s="64"/>
      <c r="AP298" s="64"/>
      <c r="AQ298" s="55"/>
      <c r="AR298" s="68"/>
      <c r="AS298" s="54"/>
      <c r="AT298" s="69"/>
      <c r="AU298" s="61"/>
      <c r="AV298" s="62"/>
      <c r="AW298" s="56"/>
      <c r="AX298" s="56"/>
      <c r="AY298" s="64"/>
      <c r="AZ298" s="64"/>
      <c r="BA298" s="55"/>
      <c r="BB298" s="72"/>
      <c r="BC298" s="68"/>
      <c r="BD298" s="69"/>
      <c r="BE298" s="66"/>
      <c r="BF298" s="67"/>
      <c r="BG298" s="56"/>
      <c r="BH298" s="56"/>
      <c r="BI298" s="64"/>
      <c r="BJ298" s="64"/>
      <c r="BK298" s="57"/>
      <c r="BL298" s="73"/>
      <c r="BM298" s="70"/>
      <c r="BN298" s="74"/>
      <c r="BO298" s="75"/>
      <c r="BP298" s="66"/>
      <c r="BQ298" s="74"/>
    </row>
    <row r="299" spans="1:69" s="44" customFormat="1" ht="21.95" customHeight="1" x14ac:dyDescent="0.2">
      <c r="A299" s="77"/>
      <c r="B299" s="77"/>
      <c r="C299" s="78"/>
      <c r="D299" s="79"/>
      <c r="E299" s="80"/>
      <c r="F299" s="77"/>
      <c r="G299" s="77"/>
      <c r="H299" s="81"/>
      <c r="I299" s="77"/>
      <c r="J299" s="77"/>
      <c r="K299" s="80"/>
      <c r="L299" s="82"/>
      <c r="M299" s="82"/>
      <c r="N299" s="82"/>
      <c r="O299" s="79"/>
      <c r="P299" s="83"/>
      <c r="Q299" s="77"/>
      <c r="R299" s="77"/>
      <c r="S299" s="77"/>
      <c r="T299" s="77"/>
      <c r="U299" s="84"/>
      <c r="V299" s="84"/>
      <c r="W299" s="80"/>
      <c r="X299" s="85"/>
      <c r="Y299" s="86"/>
      <c r="Z299" s="87"/>
      <c r="AA299" s="88"/>
      <c r="AB299" s="88"/>
      <c r="AC299" s="88"/>
      <c r="AD299" s="88"/>
      <c r="AE299" s="89"/>
      <c r="AF299" s="89"/>
      <c r="AG299" s="80"/>
      <c r="AH299" s="86"/>
      <c r="AI299" s="90"/>
      <c r="AJ299" s="87"/>
      <c r="AK299" s="88"/>
      <c r="AL299" s="88"/>
      <c r="AM299" s="88"/>
      <c r="AN299" s="88"/>
      <c r="AO299" s="89"/>
      <c r="AP299" s="89"/>
      <c r="AQ299" s="80"/>
      <c r="AR299" s="86"/>
      <c r="AS299" s="90"/>
      <c r="AT299" s="87"/>
      <c r="AU299" s="88"/>
      <c r="AV299" s="88"/>
      <c r="AW299" s="88"/>
      <c r="AX299" s="91"/>
      <c r="AY299" s="89"/>
      <c r="AZ299" s="89"/>
      <c r="BA299" s="80"/>
      <c r="BB299" s="88"/>
      <c r="BC299" s="90"/>
      <c r="BD299" s="87"/>
      <c r="BE299" s="88"/>
      <c r="BF299" s="88"/>
      <c r="BG299" s="88"/>
      <c r="BH299" s="88"/>
      <c r="BI299" s="89"/>
      <c r="BJ299" s="89"/>
      <c r="BK299" s="88"/>
      <c r="BL299" s="88"/>
      <c r="BM299" s="88"/>
      <c r="BN299" s="88"/>
      <c r="BO299" s="88"/>
      <c r="BP299" s="88"/>
      <c r="BQ299" s="88"/>
    </row>
    <row r="300" spans="1:69" s="44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topLeftCell="AJ1"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211" customFormat="1" ht="3.75" customHeight="1" x14ac:dyDescent="0.2"/>
    <row r="2" spans="1:69" s="211" customFormat="1" ht="24" customHeight="1" x14ac:dyDescent="0.2">
      <c r="A2" s="340" t="s">
        <v>19</v>
      </c>
      <c r="B2" s="341" t="s">
        <v>20</v>
      </c>
      <c r="C2" s="341" t="s">
        <v>21</v>
      </c>
      <c r="D2" s="342" t="s">
        <v>22</v>
      </c>
      <c r="E2" s="212"/>
      <c r="F2" s="344" t="s">
        <v>23</v>
      </c>
      <c r="G2" s="343" t="s">
        <v>24</v>
      </c>
      <c r="H2" s="213"/>
      <c r="I2" s="343" t="s">
        <v>25</v>
      </c>
      <c r="J2" s="344" t="s">
        <v>26</v>
      </c>
      <c r="K2" s="213"/>
      <c r="L2" s="345" t="s">
        <v>27</v>
      </c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214"/>
      <c r="X2" s="346" t="s">
        <v>28</v>
      </c>
      <c r="Y2" s="346"/>
      <c r="Z2" s="346"/>
      <c r="AA2" s="346"/>
      <c r="AB2" s="346"/>
      <c r="AC2" s="346"/>
      <c r="AD2" s="346"/>
      <c r="AE2" s="346"/>
      <c r="AF2" s="346"/>
      <c r="AG2" s="215"/>
      <c r="AH2" s="347" t="s">
        <v>29</v>
      </c>
      <c r="AI2" s="347"/>
      <c r="AJ2" s="347"/>
      <c r="AK2" s="347"/>
      <c r="AL2" s="347"/>
      <c r="AM2" s="347"/>
      <c r="AN2" s="347"/>
      <c r="AO2" s="347"/>
      <c r="AP2" s="347"/>
      <c r="AQ2" s="216"/>
      <c r="AR2" s="348" t="s">
        <v>30</v>
      </c>
      <c r="AS2" s="348"/>
      <c r="AT2" s="348"/>
      <c r="AU2" s="348"/>
      <c r="AV2" s="348"/>
      <c r="AW2" s="348"/>
      <c r="AX2" s="348"/>
      <c r="AY2" s="348"/>
      <c r="AZ2" s="348"/>
      <c r="BA2" s="216"/>
      <c r="BB2" s="336" t="s">
        <v>31</v>
      </c>
      <c r="BC2" s="336"/>
      <c r="BD2" s="336"/>
      <c r="BE2" s="336"/>
      <c r="BF2" s="336"/>
      <c r="BG2" s="336"/>
      <c r="BH2" s="336"/>
      <c r="BI2" s="336"/>
      <c r="BJ2" s="336"/>
      <c r="BK2" s="217"/>
      <c r="BL2" s="337" t="s">
        <v>32</v>
      </c>
      <c r="BM2" s="337"/>
      <c r="BN2" s="337"/>
      <c r="BO2" s="337"/>
      <c r="BP2" s="337"/>
      <c r="BQ2" s="337"/>
    </row>
    <row r="3" spans="1:69" s="211" customFormat="1" ht="20.25" customHeight="1" x14ac:dyDescent="0.2">
      <c r="A3" s="340"/>
      <c r="B3" s="341"/>
      <c r="C3" s="341"/>
      <c r="D3" s="342"/>
      <c r="E3" s="212"/>
      <c r="F3" s="344"/>
      <c r="G3" s="343"/>
      <c r="H3" s="213"/>
      <c r="I3" s="343"/>
      <c r="J3" s="344"/>
      <c r="K3" s="213"/>
      <c r="L3" s="345" t="s">
        <v>685</v>
      </c>
      <c r="M3" s="345"/>
      <c r="N3" s="345"/>
      <c r="O3" s="345"/>
      <c r="P3" s="345"/>
      <c r="Q3" s="345"/>
      <c r="R3" s="345"/>
      <c r="S3" s="345"/>
      <c r="T3" s="345"/>
      <c r="U3" s="345"/>
      <c r="V3" s="345"/>
      <c r="W3" s="214"/>
      <c r="X3" s="346" t="s">
        <v>686</v>
      </c>
      <c r="Y3" s="346"/>
      <c r="Z3" s="346"/>
      <c r="AA3" s="346"/>
      <c r="AB3" s="346"/>
      <c r="AC3" s="346"/>
      <c r="AD3" s="346"/>
      <c r="AE3" s="346"/>
      <c r="AF3" s="346"/>
      <c r="AG3" s="214"/>
      <c r="AH3" s="347" t="s">
        <v>687</v>
      </c>
      <c r="AI3" s="347"/>
      <c r="AJ3" s="347"/>
      <c r="AK3" s="347"/>
      <c r="AL3" s="347"/>
      <c r="AM3" s="347"/>
      <c r="AN3" s="347"/>
      <c r="AO3" s="347"/>
      <c r="AP3" s="347"/>
      <c r="AQ3" s="214"/>
      <c r="AR3" s="348" t="s">
        <v>620</v>
      </c>
      <c r="AS3" s="348"/>
      <c r="AT3" s="348"/>
      <c r="AU3" s="348"/>
      <c r="AV3" s="348"/>
      <c r="AW3" s="348"/>
      <c r="AX3" s="348"/>
      <c r="AY3" s="348"/>
      <c r="AZ3" s="348"/>
      <c r="BA3" s="214"/>
      <c r="BB3" s="336" t="s">
        <v>687</v>
      </c>
      <c r="BC3" s="336"/>
      <c r="BD3" s="336"/>
      <c r="BE3" s="336"/>
      <c r="BF3" s="336"/>
      <c r="BG3" s="336"/>
      <c r="BH3" s="336"/>
      <c r="BI3" s="336"/>
      <c r="BJ3" s="336"/>
      <c r="BK3" s="217"/>
      <c r="BL3" s="337" t="s">
        <v>33</v>
      </c>
      <c r="BM3" s="337"/>
      <c r="BN3" s="337"/>
      <c r="BO3" s="337"/>
      <c r="BP3" s="337"/>
      <c r="BQ3" s="337"/>
    </row>
    <row r="4" spans="1:69" s="211" customFormat="1" ht="20.25" customHeight="1" x14ac:dyDescent="0.2">
      <c r="A4" s="340"/>
      <c r="B4" s="341"/>
      <c r="C4" s="341"/>
      <c r="D4" s="342"/>
      <c r="E4" s="212"/>
      <c r="F4" s="344"/>
      <c r="G4" s="343"/>
      <c r="H4" s="213"/>
      <c r="I4" s="343"/>
      <c r="J4" s="344"/>
      <c r="K4" s="213"/>
      <c r="L4" s="339" t="s">
        <v>34</v>
      </c>
      <c r="M4" s="339" t="s">
        <v>35</v>
      </c>
      <c r="N4" s="339" t="s">
        <v>36</v>
      </c>
      <c r="O4" s="339" t="s">
        <v>37</v>
      </c>
      <c r="P4" s="339" t="s">
        <v>38</v>
      </c>
      <c r="Q4" s="339" t="s">
        <v>39</v>
      </c>
      <c r="R4" s="339" t="s">
        <v>40</v>
      </c>
      <c r="S4" s="339" t="s">
        <v>41</v>
      </c>
      <c r="T4" s="339" t="s">
        <v>42</v>
      </c>
      <c r="U4" s="339" t="s">
        <v>43</v>
      </c>
      <c r="V4" s="339" t="s">
        <v>44</v>
      </c>
      <c r="W4" s="214"/>
      <c r="X4" s="333" t="s">
        <v>45</v>
      </c>
      <c r="Y4" s="333" t="s">
        <v>37</v>
      </c>
      <c r="Z4" s="333" t="s">
        <v>38</v>
      </c>
      <c r="AA4" s="333" t="s">
        <v>39</v>
      </c>
      <c r="AB4" s="333" t="s">
        <v>40</v>
      </c>
      <c r="AC4" s="333" t="s">
        <v>41</v>
      </c>
      <c r="AD4" s="333" t="s">
        <v>42</v>
      </c>
      <c r="AE4" s="333" t="s">
        <v>43</v>
      </c>
      <c r="AF4" s="333" t="s">
        <v>44</v>
      </c>
      <c r="AG4" s="214"/>
      <c r="AH4" s="334" t="s">
        <v>46</v>
      </c>
      <c r="AI4" s="334" t="s">
        <v>37</v>
      </c>
      <c r="AJ4" s="334" t="s">
        <v>38</v>
      </c>
      <c r="AK4" s="334" t="s">
        <v>39</v>
      </c>
      <c r="AL4" s="334" t="s">
        <v>40</v>
      </c>
      <c r="AM4" s="334" t="s">
        <v>41</v>
      </c>
      <c r="AN4" s="334" t="s">
        <v>42</v>
      </c>
      <c r="AO4" s="334" t="s">
        <v>43</v>
      </c>
      <c r="AP4" s="334" t="s">
        <v>44</v>
      </c>
      <c r="AQ4" s="214"/>
      <c r="AR4" s="335" t="s">
        <v>47</v>
      </c>
      <c r="AS4" s="335" t="s">
        <v>37</v>
      </c>
      <c r="AT4" s="335" t="s">
        <v>38</v>
      </c>
      <c r="AU4" s="335" t="s">
        <v>39</v>
      </c>
      <c r="AV4" s="335" t="s">
        <v>40</v>
      </c>
      <c r="AW4" s="335" t="s">
        <v>41</v>
      </c>
      <c r="AX4" s="335" t="s">
        <v>42</v>
      </c>
      <c r="AY4" s="335" t="s">
        <v>43</v>
      </c>
      <c r="AZ4" s="335" t="s">
        <v>44</v>
      </c>
      <c r="BA4" s="214"/>
      <c r="BB4" s="338" t="s">
        <v>48</v>
      </c>
      <c r="BC4" s="338" t="s">
        <v>37</v>
      </c>
      <c r="BD4" s="338" t="s">
        <v>38</v>
      </c>
      <c r="BE4" s="338" t="s">
        <v>39</v>
      </c>
      <c r="BF4" s="338" t="s">
        <v>40</v>
      </c>
      <c r="BG4" s="338" t="s">
        <v>41</v>
      </c>
      <c r="BH4" s="338" t="s">
        <v>42</v>
      </c>
      <c r="BI4" s="338" t="s">
        <v>43</v>
      </c>
      <c r="BJ4" s="338" t="s">
        <v>44</v>
      </c>
      <c r="BK4" s="217"/>
      <c r="BL4" s="332" t="s">
        <v>49</v>
      </c>
      <c r="BM4" s="332" t="s">
        <v>50</v>
      </c>
      <c r="BN4" s="332" t="s">
        <v>42</v>
      </c>
      <c r="BO4" s="332" t="s">
        <v>51</v>
      </c>
      <c r="BP4" s="332" t="s">
        <v>52</v>
      </c>
      <c r="BQ4" s="332" t="s">
        <v>42</v>
      </c>
    </row>
    <row r="5" spans="1:69" s="211" customFormat="1" ht="20.25" customHeight="1" x14ac:dyDescent="0.2">
      <c r="A5" s="340"/>
      <c r="B5" s="341"/>
      <c r="C5" s="341"/>
      <c r="D5" s="218" t="s">
        <v>377</v>
      </c>
      <c r="E5" s="212"/>
      <c r="F5" s="219" t="s">
        <v>53</v>
      </c>
      <c r="G5" s="220" t="s">
        <v>53</v>
      </c>
      <c r="H5" s="213"/>
      <c r="I5" s="219" t="s">
        <v>53</v>
      </c>
      <c r="J5" s="219" t="s">
        <v>53</v>
      </c>
      <c r="K5" s="213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214"/>
      <c r="X5" s="333"/>
      <c r="Y5" s="333"/>
      <c r="Z5" s="333"/>
      <c r="AA5" s="333"/>
      <c r="AB5" s="333"/>
      <c r="AC5" s="333"/>
      <c r="AD5" s="333"/>
      <c r="AE5" s="333"/>
      <c r="AF5" s="333"/>
      <c r="AG5" s="214"/>
      <c r="AH5" s="334"/>
      <c r="AI5" s="334"/>
      <c r="AJ5" s="334"/>
      <c r="AK5" s="334"/>
      <c r="AL5" s="334"/>
      <c r="AM5" s="334"/>
      <c r="AN5" s="334"/>
      <c r="AO5" s="334"/>
      <c r="AP5" s="334"/>
      <c r="AQ5" s="214"/>
      <c r="AR5" s="335"/>
      <c r="AS5" s="335"/>
      <c r="AT5" s="335"/>
      <c r="AU5" s="335"/>
      <c r="AV5" s="335"/>
      <c r="AW5" s="335"/>
      <c r="AX5" s="335"/>
      <c r="AY5" s="335"/>
      <c r="AZ5" s="335"/>
      <c r="BA5" s="214"/>
      <c r="BB5" s="338"/>
      <c r="BC5" s="338"/>
      <c r="BD5" s="338"/>
      <c r="BE5" s="338"/>
      <c r="BF5" s="338"/>
      <c r="BG5" s="338"/>
      <c r="BH5" s="338"/>
      <c r="BI5" s="338"/>
      <c r="BJ5" s="338"/>
      <c r="BK5" s="217"/>
      <c r="BL5" s="332"/>
      <c r="BM5" s="332"/>
      <c r="BN5" s="332"/>
      <c r="BO5" s="332"/>
      <c r="BP5" s="332"/>
      <c r="BQ5" s="332"/>
    </row>
    <row r="6" spans="1:69" s="211" customFormat="1" ht="22.35" customHeight="1" x14ac:dyDescent="0.2">
      <c r="A6" s="221" t="s">
        <v>4</v>
      </c>
      <c r="B6" s="221" t="s">
        <v>0</v>
      </c>
      <c r="C6" s="221" t="s">
        <v>5</v>
      </c>
      <c r="D6" s="222">
        <v>1.89995189988889</v>
      </c>
      <c r="E6" s="223"/>
      <c r="F6" s="224">
        <v>4.2000000000000003E-2</v>
      </c>
      <c r="G6" s="224">
        <v>2.4E-2</v>
      </c>
      <c r="H6" s="225"/>
      <c r="I6" s="226">
        <v>5</v>
      </c>
      <c r="J6" s="226">
        <v>4</v>
      </c>
      <c r="K6" s="223"/>
      <c r="L6" s="227">
        <v>60.838459999999998</v>
      </c>
      <c r="M6" s="227">
        <v>260.94430999999997</v>
      </c>
      <c r="N6" s="227">
        <v>321.78277000000003</v>
      </c>
      <c r="O6" s="222">
        <v>169.363640215743</v>
      </c>
      <c r="P6" s="228">
        <v>234.65600000000001</v>
      </c>
      <c r="Q6" s="229">
        <v>0.72175286468593802</v>
      </c>
      <c r="R6" s="230">
        <v>-165.06917341819701</v>
      </c>
      <c r="S6" s="224"/>
      <c r="T6" s="224"/>
      <c r="U6" s="231">
        <v>125</v>
      </c>
      <c r="V6" s="232">
        <v>214</v>
      </c>
      <c r="W6" s="223"/>
      <c r="X6" s="231">
        <v>1529.2224349999999</v>
      </c>
      <c r="Y6" s="222">
        <v>804.87428923302195</v>
      </c>
      <c r="Z6" s="233">
        <v>573</v>
      </c>
      <c r="AA6" s="234">
        <v>1.4046671714363399</v>
      </c>
      <c r="AB6" s="235">
        <v>340.39213200912297</v>
      </c>
      <c r="AC6" s="224">
        <v>0.02</v>
      </c>
      <c r="AD6" s="224">
        <v>0.02</v>
      </c>
      <c r="AE6" s="232">
        <v>0</v>
      </c>
      <c r="AF6" s="232">
        <v>0</v>
      </c>
      <c r="AG6" s="223"/>
      <c r="AH6" s="236">
        <v>116.1</v>
      </c>
      <c r="AI6" s="222">
        <v>61.106810128608799</v>
      </c>
      <c r="AJ6" s="237" t="s">
        <v>54</v>
      </c>
      <c r="AK6" s="238">
        <v>0.96994936712077495</v>
      </c>
      <c r="AL6" s="239">
        <v>-14.6090909047561</v>
      </c>
      <c r="AM6" s="224">
        <v>7.0000000000000001E-3</v>
      </c>
      <c r="AN6" s="224"/>
      <c r="AO6" s="232">
        <v>4</v>
      </c>
      <c r="AP6" s="232">
        <v>28</v>
      </c>
      <c r="AQ6" s="223"/>
      <c r="AR6" s="236">
        <v>20.2</v>
      </c>
      <c r="AS6" s="222">
        <v>10.631848101618401</v>
      </c>
      <c r="AT6" s="237" t="s">
        <v>55</v>
      </c>
      <c r="AU6" s="229">
        <v>0.66449050635115103</v>
      </c>
      <c r="AV6" s="230">
        <v>-12.9959595948587</v>
      </c>
      <c r="AW6" s="224"/>
      <c r="AX6" s="224"/>
      <c r="AY6" s="232">
        <v>11</v>
      </c>
      <c r="AZ6" s="232">
        <v>17</v>
      </c>
      <c r="BA6" s="223"/>
      <c r="BB6" s="240">
        <v>63.4</v>
      </c>
      <c r="BC6" s="236">
        <v>33.369265823891503</v>
      </c>
      <c r="BD6" s="237" t="s">
        <v>56</v>
      </c>
      <c r="BE6" s="238">
        <v>1.0427895569966099</v>
      </c>
      <c r="BF6" s="239">
        <v>-2.99191918971739</v>
      </c>
      <c r="BG6" s="224">
        <v>1.4999999999999999E-2</v>
      </c>
      <c r="BH6" s="224">
        <v>4.0000000000000001E-3</v>
      </c>
      <c r="BI6" s="232">
        <v>0</v>
      </c>
      <c r="BJ6" s="232">
        <v>10</v>
      </c>
      <c r="BK6" s="225"/>
      <c r="BL6" s="241">
        <v>0.8</v>
      </c>
      <c r="BM6" s="238">
        <v>0.84</v>
      </c>
      <c r="BN6" s="242">
        <v>1.5E-3</v>
      </c>
      <c r="BO6" s="243">
        <v>0.95</v>
      </c>
      <c r="BP6" s="234">
        <v>1</v>
      </c>
      <c r="BQ6" s="242">
        <v>2.5000000000000001E-3</v>
      </c>
    </row>
    <row r="7" spans="1:69" s="211" customFormat="1" ht="22.35" customHeight="1" x14ac:dyDescent="0.2">
      <c r="A7" s="221" t="s">
        <v>4</v>
      </c>
      <c r="B7" s="221" t="s">
        <v>0</v>
      </c>
      <c r="C7" s="221" t="s">
        <v>57</v>
      </c>
      <c r="D7" s="222">
        <v>9.1914924981111099</v>
      </c>
      <c r="E7" s="223"/>
      <c r="F7" s="224">
        <v>0.05</v>
      </c>
      <c r="G7" s="224">
        <v>4.1000000000000002E-2</v>
      </c>
      <c r="H7" s="225"/>
      <c r="I7" s="226">
        <v>5</v>
      </c>
      <c r="J7" s="226">
        <v>5</v>
      </c>
      <c r="K7" s="223"/>
      <c r="L7" s="227">
        <v>3383.2582299999999</v>
      </c>
      <c r="M7" s="227">
        <v>5954.9999200000002</v>
      </c>
      <c r="N7" s="227">
        <v>9338.2581499999997</v>
      </c>
      <c r="O7" s="222">
        <v>1015.9675539004199</v>
      </c>
      <c r="P7" s="228">
        <v>244.07400000000001</v>
      </c>
      <c r="Q7" s="234">
        <v>4.1625390410302598</v>
      </c>
      <c r="R7" s="235">
        <v>6888.4606107375002</v>
      </c>
      <c r="S7" s="224">
        <v>0.01</v>
      </c>
      <c r="T7" s="224">
        <v>0.01</v>
      </c>
      <c r="U7" s="231">
        <v>0</v>
      </c>
      <c r="V7" s="232">
        <v>0</v>
      </c>
      <c r="W7" s="223"/>
      <c r="X7" s="231">
        <v>5839.916295</v>
      </c>
      <c r="Y7" s="222">
        <v>635.36104677234198</v>
      </c>
      <c r="Z7" s="233">
        <v>573</v>
      </c>
      <c r="AA7" s="234">
        <v>1.10883254236011</v>
      </c>
      <c r="AB7" s="235">
        <v>88.652375051909104</v>
      </c>
      <c r="AC7" s="224">
        <v>0.02</v>
      </c>
      <c r="AD7" s="224">
        <v>1.0999999999999999E-2</v>
      </c>
      <c r="AE7" s="232">
        <v>0</v>
      </c>
      <c r="AF7" s="232">
        <v>481</v>
      </c>
      <c r="AG7" s="223"/>
      <c r="AH7" s="236">
        <v>460.15</v>
      </c>
      <c r="AI7" s="222">
        <v>50.062598657896203</v>
      </c>
      <c r="AJ7" s="237" t="s">
        <v>54</v>
      </c>
      <c r="AK7" s="244">
        <v>0.79464442314120898</v>
      </c>
      <c r="AL7" s="227">
        <v>-172.18791790005201</v>
      </c>
      <c r="AM7" s="224"/>
      <c r="AN7" s="224"/>
      <c r="AO7" s="232">
        <v>119</v>
      </c>
      <c r="AP7" s="232">
        <v>235</v>
      </c>
      <c r="AQ7" s="223"/>
      <c r="AR7" s="236">
        <v>71.7</v>
      </c>
      <c r="AS7" s="222">
        <v>7.8006917826168802</v>
      </c>
      <c r="AT7" s="237" t="s">
        <v>55</v>
      </c>
      <c r="AU7" s="229">
        <v>0.48754323641355501</v>
      </c>
      <c r="AV7" s="230">
        <v>-88.893756926997298</v>
      </c>
      <c r="AW7" s="224"/>
      <c r="AX7" s="224"/>
      <c r="AY7" s="232">
        <v>76</v>
      </c>
      <c r="AZ7" s="232">
        <v>105</v>
      </c>
      <c r="BA7" s="223"/>
      <c r="BB7" s="240">
        <v>369</v>
      </c>
      <c r="BC7" s="236">
        <v>40.145819634388097</v>
      </c>
      <c r="BD7" s="237" t="s">
        <v>56</v>
      </c>
      <c r="BE7" s="234">
        <v>1.25455686357463</v>
      </c>
      <c r="BF7" s="235">
        <v>47.812486146005398</v>
      </c>
      <c r="BG7" s="224">
        <v>0.02</v>
      </c>
      <c r="BH7" s="224">
        <v>0.02</v>
      </c>
      <c r="BI7" s="232">
        <v>0</v>
      </c>
      <c r="BJ7" s="232">
        <v>0</v>
      </c>
      <c r="BK7" s="225"/>
      <c r="BL7" s="241">
        <v>0.8</v>
      </c>
      <c r="BM7" s="238">
        <v>0.82</v>
      </c>
      <c r="BN7" s="242">
        <v>7.5000000000000002E-4</v>
      </c>
      <c r="BO7" s="243">
        <v>0.95</v>
      </c>
      <c r="BP7" s="234">
        <v>1</v>
      </c>
      <c r="BQ7" s="242">
        <v>2.5000000000000001E-3</v>
      </c>
    </row>
    <row r="8" spans="1:69" s="211" customFormat="1" ht="22.35" customHeight="1" x14ac:dyDescent="0.2">
      <c r="A8" s="221" t="s">
        <v>4</v>
      </c>
      <c r="B8" s="221" t="s">
        <v>0</v>
      </c>
      <c r="C8" s="221" t="s">
        <v>58</v>
      </c>
      <c r="D8" s="222">
        <v>2.4137029143333302</v>
      </c>
      <c r="E8" s="223"/>
      <c r="F8" s="224">
        <v>5.2999999999999999E-2</v>
      </c>
      <c r="G8" s="224">
        <v>0.05</v>
      </c>
      <c r="H8" s="225"/>
      <c r="I8" s="226">
        <v>6</v>
      </c>
      <c r="J8" s="226">
        <v>5</v>
      </c>
      <c r="K8" s="223"/>
      <c r="L8" s="227">
        <v>963.30571999999995</v>
      </c>
      <c r="M8" s="227">
        <v>715.49803999999995</v>
      </c>
      <c r="N8" s="227">
        <v>1678.80376</v>
      </c>
      <c r="O8" s="222">
        <v>695.53040269816597</v>
      </c>
      <c r="P8" s="228">
        <v>214.66499999999999</v>
      </c>
      <c r="Q8" s="234">
        <v>3.24007361562512</v>
      </c>
      <c r="R8" s="235">
        <v>1112.99757057294</v>
      </c>
      <c r="S8" s="224">
        <v>0.01</v>
      </c>
      <c r="T8" s="224">
        <v>0.01</v>
      </c>
      <c r="U8" s="231">
        <v>0</v>
      </c>
      <c r="V8" s="232">
        <v>0</v>
      </c>
      <c r="W8" s="223"/>
      <c r="X8" s="231">
        <v>2162.5623449999998</v>
      </c>
      <c r="Y8" s="222">
        <v>895.95216219776603</v>
      </c>
      <c r="Z8" s="233">
        <v>573</v>
      </c>
      <c r="AA8" s="234">
        <v>1.56361633891408</v>
      </c>
      <c r="AB8" s="235">
        <v>652.26981225500595</v>
      </c>
      <c r="AC8" s="224">
        <v>0.02</v>
      </c>
      <c r="AD8" s="224">
        <v>0.02</v>
      </c>
      <c r="AE8" s="232">
        <v>0</v>
      </c>
      <c r="AF8" s="232">
        <v>0</v>
      </c>
      <c r="AG8" s="223"/>
      <c r="AH8" s="236">
        <v>102.85</v>
      </c>
      <c r="AI8" s="222">
        <v>42.610877829762799</v>
      </c>
      <c r="AJ8" s="237" t="s">
        <v>54</v>
      </c>
      <c r="AK8" s="229">
        <v>0.67636314015496402</v>
      </c>
      <c r="AL8" s="230">
        <v>-63.203105694475802</v>
      </c>
      <c r="AM8" s="224"/>
      <c r="AN8" s="224"/>
      <c r="AO8" s="232">
        <v>50</v>
      </c>
      <c r="AP8" s="232">
        <v>80</v>
      </c>
      <c r="AQ8" s="223"/>
      <c r="AR8" s="236">
        <v>37.1</v>
      </c>
      <c r="AS8" s="222">
        <v>15.3705743070899</v>
      </c>
      <c r="AT8" s="237" t="s">
        <v>55</v>
      </c>
      <c r="AU8" s="238">
        <v>0.96066089419311995</v>
      </c>
      <c r="AV8" s="239">
        <v>-5.0722173192319397</v>
      </c>
      <c r="AW8" s="224">
        <v>3.0000000000000001E-3</v>
      </c>
      <c r="AX8" s="224"/>
      <c r="AY8" s="232">
        <v>2</v>
      </c>
      <c r="AZ8" s="232">
        <v>10</v>
      </c>
      <c r="BA8" s="223"/>
      <c r="BB8" s="240">
        <v>104.8</v>
      </c>
      <c r="BC8" s="236">
        <v>43.4187651585721</v>
      </c>
      <c r="BD8" s="237" t="s">
        <v>56</v>
      </c>
      <c r="BE8" s="234">
        <v>1.3568364112053799</v>
      </c>
      <c r="BF8" s="235">
        <v>20.455565361536099</v>
      </c>
      <c r="BG8" s="224">
        <v>0.02</v>
      </c>
      <c r="BH8" s="224">
        <v>0.02</v>
      </c>
      <c r="BI8" s="232">
        <v>0</v>
      </c>
      <c r="BJ8" s="232">
        <v>0</v>
      </c>
      <c r="BK8" s="225"/>
      <c r="BL8" s="241">
        <v>0.8</v>
      </c>
      <c r="BM8" s="238">
        <v>0.88</v>
      </c>
      <c r="BN8" s="242">
        <v>3.0000000000000001E-3</v>
      </c>
      <c r="BO8" s="243">
        <v>0.95</v>
      </c>
      <c r="BP8" s="234">
        <v>1</v>
      </c>
      <c r="BQ8" s="242">
        <v>2.5000000000000001E-3</v>
      </c>
    </row>
    <row r="9" spans="1:69" s="211" customFormat="1" ht="22.35" customHeight="1" x14ac:dyDescent="0.2">
      <c r="A9" s="221" t="s">
        <v>4</v>
      </c>
      <c r="B9" s="221" t="s">
        <v>0</v>
      </c>
      <c r="C9" s="221" t="s">
        <v>59</v>
      </c>
      <c r="D9" s="222">
        <v>2.8152337733333299</v>
      </c>
      <c r="E9" s="223"/>
      <c r="F9" s="224">
        <v>1E-3</v>
      </c>
      <c r="G9" s="224"/>
      <c r="H9" s="225"/>
      <c r="I9" s="226">
        <v>3</v>
      </c>
      <c r="J9" s="226">
        <v>2</v>
      </c>
      <c r="K9" s="223"/>
      <c r="L9" s="227">
        <v>853.57285000000002</v>
      </c>
      <c r="M9" s="227">
        <v>-737.29097000000002</v>
      </c>
      <c r="N9" s="227">
        <v>116.28188</v>
      </c>
      <c r="O9" s="222">
        <v>41.3045201082247</v>
      </c>
      <c r="P9" s="228">
        <v>212.5</v>
      </c>
      <c r="Q9" s="229">
        <v>0.19437421227399901</v>
      </c>
      <c r="R9" s="230">
        <v>-536.99311710199902</v>
      </c>
      <c r="S9" s="224"/>
      <c r="T9" s="224"/>
      <c r="U9" s="231">
        <v>482</v>
      </c>
      <c r="V9" s="232">
        <v>602</v>
      </c>
      <c r="W9" s="223"/>
      <c r="X9" s="231">
        <v>1484.1061400000001</v>
      </c>
      <c r="Y9" s="222">
        <v>527.16976972138502</v>
      </c>
      <c r="Z9" s="233">
        <v>573</v>
      </c>
      <c r="AA9" s="238">
        <v>0.92001705012458201</v>
      </c>
      <c r="AB9" s="239">
        <v>-277.43067571503798</v>
      </c>
      <c r="AC9" s="224">
        <v>1E-3</v>
      </c>
      <c r="AD9" s="224"/>
      <c r="AE9" s="232">
        <v>130</v>
      </c>
      <c r="AF9" s="232">
        <v>452</v>
      </c>
      <c r="AG9" s="223"/>
      <c r="AH9" s="236">
        <v>96</v>
      </c>
      <c r="AI9" s="222">
        <v>34.100187668014797</v>
      </c>
      <c r="AJ9" s="237" t="s">
        <v>54</v>
      </c>
      <c r="AK9" s="229">
        <v>0.541272820127218</v>
      </c>
      <c r="AL9" s="230">
        <v>-97.676822670239702</v>
      </c>
      <c r="AM9" s="224"/>
      <c r="AN9" s="224"/>
      <c r="AO9" s="232">
        <v>82</v>
      </c>
      <c r="AP9" s="232">
        <v>117</v>
      </c>
      <c r="AQ9" s="223"/>
      <c r="AR9" s="236">
        <v>7</v>
      </c>
      <c r="AS9" s="222">
        <v>2.4864720174594099</v>
      </c>
      <c r="AT9" s="237" t="s">
        <v>55</v>
      </c>
      <c r="AU9" s="229">
        <v>0.15540450109121301</v>
      </c>
      <c r="AV9" s="230">
        <v>-42.1877644876799</v>
      </c>
      <c r="AW9" s="224"/>
      <c r="AX9" s="224"/>
      <c r="AY9" s="232">
        <v>39</v>
      </c>
      <c r="AZ9" s="232">
        <v>48</v>
      </c>
      <c r="BA9" s="223"/>
      <c r="BB9" s="240">
        <v>81</v>
      </c>
      <c r="BC9" s="236">
        <v>28.7720333448875</v>
      </c>
      <c r="BD9" s="237" t="s">
        <v>56</v>
      </c>
      <c r="BE9" s="244">
        <v>0.89912604202773305</v>
      </c>
      <c r="BF9" s="227">
        <v>-17.375528975359899</v>
      </c>
      <c r="BG9" s="224"/>
      <c r="BH9" s="224"/>
      <c r="BI9" s="232">
        <v>10</v>
      </c>
      <c r="BJ9" s="232">
        <v>28</v>
      </c>
      <c r="BK9" s="225"/>
      <c r="BL9" s="241">
        <v>0.8</v>
      </c>
      <c r="BM9" s="238">
        <v>0.82</v>
      </c>
      <c r="BN9" s="242">
        <v>7.5000000000000002E-4</v>
      </c>
      <c r="BO9" s="243">
        <v>0.95</v>
      </c>
      <c r="BP9" s="234">
        <v>1</v>
      </c>
      <c r="BQ9" s="242">
        <v>2.5000000000000001E-3</v>
      </c>
    </row>
    <row r="10" spans="1:69" s="211" customFormat="1" ht="22.35" customHeight="1" x14ac:dyDescent="0.2">
      <c r="A10" s="221" t="s">
        <v>4</v>
      </c>
      <c r="B10" s="221" t="s">
        <v>0</v>
      </c>
      <c r="C10" s="221" t="s">
        <v>60</v>
      </c>
      <c r="D10" s="222">
        <v>6.67734879333333</v>
      </c>
      <c r="E10" s="223"/>
      <c r="F10" s="224">
        <v>5.7000000000000002E-2</v>
      </c>
      <c r="G10" s="224">
        <v>0.04</v>
      </c>
      <c r="H10" s="225"/>
      <c r="I10" s="226">
        <v>6</v>
      </c>
      <c r="J10" s="226">
        <v>5</v>
      </c>
      <c r="K10" s="223"/>
      <c r="L10" s="227">
        <v>2698.1465199999998</v>
      </c>
      <c r="M10" s="227">
        <v>3041.2943700000001</v>
      </c>
      <c r="N10" s="227">
        <v>5739.4408899999999</v>
      </c>
      <c r="O10" s="222">
        <v>859.53887802450197</v>
      </c>
      <c r="P10" s="228">
        <v>234.65600000000001</v>
      </c>
      <c r="Q10" s="234">
        <v>3.66297421768249</v>
      </c>
      <c r="R10" s="235">
        <v>4028.4079753743199</v>
      </c>
      <c r="S10" s="224">
        <v>0.01</v>
      </c>
      <c r="T10" s="224">
        <v>0.01</v>
      </c>
      <c r="U10" s="231">
        <v>0</v>
      </c>
      <c r="V10" s="232">
        <v>0</v>
      </c>
      <c r="W10" s="223"/>
      <c r="X10" s="231">
        <v>4894.3292799999999</v>
      </c>
      <c r="Y10" s="222">
        <v>732.97493233938906</v>
      </c>
      <c r="Z10" s="233">
        <v>573</v>
      </c>
      <c r="AA10" s="234">
        <v>1.27918836359405</v>
      </c>
      <c r="AB10" s="235">
        <v>716.20530243064195</v>
      </c>
      <c r="AC10" s="224">
        <v>0.02</v>
      </c>
      <c r="AD10" s="224">
        <v>0.02</v>
      </c>
      <c r="AE10" s="232">
        <v>0</v>
      </c>
      <c r="AF10" s="232">
        <v>0</v>
      </c>
      <c r="AG10" s="223"/>
      <c r="AH10" s="236">
        <v>409.2</v>
      </c>
      <c r="AI10" s="222">
        <v>61.281806996295501</v>
      </c>
      <c r="AJ10" s="237" t="s">
        <v>54</v>
      </c>
      <c r="AK10" s="238">
        <v>0.97272709517929301</v>
      </c>
      <c r="AL10" s="239">
        <v>-50.174887586159699</v>
      </c>
      <c r="AM10" s="224">
        <v>7.0000000000000001E-3</v>
      </c>
      <c r="AN10" s="224"/>
      <c r="AO10" s="232">
        <v>12</v>
      </c>
      <c r="AP10" s="232">
        <v>96</v>
      </c>
      <c r="AQ10" s="223"/>
      <c r="AR10" s="236">
        <v>52.7</v>
      </c>
      <c r="AS10" s="222">
        <v>7.8923539313410904</v>
      </c>
      <c r="AT10" s="237" t="s">
        <v>55</v>
      </c>
      <c r="AU10" s="229">
        <v>0.49327212070881798</v>
      </c>
      <c r="AV10" s="230">
        <v>-63.966638117119899</v>
      </c>
      <c r="AW10" s="224"/>
      <c r="AX10" s="224"/>
      <c r="AY10" s="232">
        <v>55</v>
      </c>
      <c r="AZ10" s="232">
        <v>76</v>
      </c>
      <c r="BA10" s="223"/>
      <c r="BB10" s="240">
        <v>235.8</v>
      </c>
      <c r="BC10" s="236">
        <v>35.313416641560302</v>
      </c>
      <c r="BD10" s="237" t="s">
        <v>56</v>
      </c>
      <c r="BE10" s="234">
        <v>1.1035442700487601</v>
      </c>
      <c r="BF10" s="235">
        <v>2.46672376576015</v>
      </c>
      <c r="BG10" s="224">
        <v>0.02</v>
      </c>
      <c r="BH10" s="224">
        <v>0.01</v>
      </c>
      <c r="BI10" s="232">
        <v>0</v>
      </c>
      <c r="BJ10" s="232">
        <v>21</v>
      </c>
      <c r="BK10" s="225"/>
      <c r="BL10" s="241">
        <v>0.8</v>
      </c>
      <c r="BM10" s="238">
        <v>0.85</v>
      </c>
      <c r="BN10" s="242">
        <v>1.8749999999999999E-3</v>
      </c>
      <c r="BO10" s="243">
        <v>0.95</v>
      </c>
      <c r="BP10" s="234">
        <v>1</v>
      </c>
      <c r="BQ10" s="242">
        <v>2.5000000000000001E-3</v>
      </c>
    </row>
    <row r="11" spans="1:69" s="211" customFormat="1" ht="22.35" customHeight="1" x14ac:dyDescent="0.2">
      <c r="A11" s="221" t="s">
        <v>4</v>
      </c>
      <c r="B11" s="221" t="s">
        <v>0</v>
      </c>
      <c r="C11" s="221" t="s">
        <v>61</v>
      </c>
      <c r="D11" s="222">
        <v>2.0789473684444402</v>
      </c>
      <c r="E11" s="223"/>
      <c r="F11" s="224">
        <v>5.1999999999999998E-2</v>
      </c>
      <c r="G11" s="224">
        <v>3.4000000000000002E-2</v>
      </c>
      <c r="H11" s="225"/>
      <c r="I11" s="226">
        <v>6</v>
      </c>
      <c r="J11" s="226">
        <v>5</v>
      </c>
      <c r="K11" s="223"/>
      <c r="L11" s="227">
        <v>339.20531999999997</v>
      </c>
      <c r="M11" s="227">
        <v>269.89755000000002</v>
      </c>
      <c r="N11" s="227">
        <v>609.10287000000005</v>
      </c>
      <c r="O11" s="222">
        <v>292.98619062961501</v>
      </c>
      <c r="P11" s="228">
        <v>214.66499999999999</v>
      </c>
      <c r="Q11" s="234">
        <v>1.36485309961854</v>
      </c>
      <c r="R11" s="235">
        <v>121.768127362939</v>
      </c>
      <c r="S11" s="224">
        <v>0.01</v>
      </c>
      <c r="T11" s="224">
        <v>0.01</v>
      </c>
      <c r="U11" s="231">
        <v>0</v>
      </c>
      <c r="V11" s="232">
        <v>0</v>
      </c>
      <c r="W11" s="223"/>
      <c r="X11" s="231">
        <v>1240.9584500000001</v>
      </c>
      <c r="Y11" s="222">
        <v>596.91672277809403</v>
      </c>
      <c r="Z11" s="233">
        <v>573</v>
      </c>
      <c r="AA11" s="238">
        <v>1.04173948128812</v>
      </c>
      <c r="AB11" s="239">
        <v>-59.872181593581203</v>
      </c>
      <c r="AC11" s="224">
        <v>1.4E-2</v>
      </c>
      <c r="AD11" s="224">
        <v>4.0000000000000001E-3</v>
      </c>
      <c r="AE11" s="232">
        <v>0</v>
      </c>
      <c r="AF11" s="232">
        <v>189</v>
      </c>
      <c r="AG11" s="223"/>
      <c r="AH11" s="236">
        <v>128.5</v>
      </c>
      <c r="AI11" s="222">
        <v>61.810126581582999</v>
      </c>
      <c r="AJ11" s="237" t="s">
        <v>54</v>
      </c>
      <c r="AK11" s="238">
        <v>0.98111312034258702</v>
      </c>
      <c r="AL11" s="239">
        <v>-14.523263159503699</v>
      </c>
      <c r="AM11" s="224">
        <v>8.0000000000000002E-3</v>
      </c>
      <c r="AN11" s="224"/>
      <c r="AO11" s="232">
        <v>3</v>
      </c>
      <c r="AP11" s="232">
        <v>29</v>
      </c>
      <c r="AQ11" s="223"/>
      <c r="AR11" s="236">
        <v>23.4</v>
      </c>
      <c r="AS11" s="222">
        <v>11.255696202405</v>
      </c>
      <c r="AT11" s="237" t="s">
        <v>55</v>
      </c>
      <c r="AU11" s="229">
        <v>0.70348101265031204</v>
      </c>
      <c r="AV11" s="230">
        <v>-12.9233684214613</v>
      </c>
      <c r="AW11" s="224"/>
      <c r="AX11" s="224"/>
      <c r="AY11" s="232">
        <v>10</v>
      </c>
      <c r="AZ11" s="232">
        <v>17</v>
      </c>
      <c r="BA11" s="223"/>
      <c r="BB11" s="240">
        <v>81.8</v>
      </c>
      <c r="BC11" s="236">
        <v>39.3468354425952</v>
      </c>
      <c r="BD11" s="237" t="s">
        <v>56</v>
      </c>
      <c r="BE11" s="234">
        <v>1.2295886075811</v>
      </c>
      <c r="BF11" s="235">
        <v>9.1532631570774896</v>
      </c>
      <c r="BG11" s="224">
        <v>0.02</v>
      </c>
      <c r="BH11" s="224">
        <v>0.02</v>
      </c>
      <c r="BI11" s="232">
        <v>0</v>
      </c>
      <c r="BJ11" s="232">
        <v>0</v>
      </c>
      <c r="BK11" s="225"/>
      <c r="BL11" s="241">
        <v>0.8</v>
      </c>
      <c r="BM11" s="238">
        <v>0.85</v>
      </c>
      <c r="BN11" s="242">
        <v>1.8749999999999999E-3</v>
      </c>
      <c r="BO11" s="243">
        <v>0.95</v>
      </c>
      <c r="BP11" s="234">
        <v>1</v>
      </c>
      <c r="BQ11" s="242">
        <v>2.5000000000000001E-3</v>
      </c>
    </row>
    <row r="12" spans="1:69" s="211" customFormat="1" ht="22.35" customHeight="1" x14ac:dyDescent="0.2">
      <c r="A12" s="221" t="s">
        <v>4</v>
      </c>
      <c r="B12" s="221" t="s">
        <v>0</v>
      </c>
      <c r="C12" s="221" t="s">
        <v>62</v>
      </c>
      <c r="D12" s="222">
        <v>5.4163613696666699</v>
      </c>
      <c r="E12" s="223"/>
      <c r="F12" s="224">
        <v>4.2999999999999997E-2</v>
      </c>
      <c r="G12" s="224">
        <v>2.7E-2</v>
      </c>
      <c r="H12" s="225"/>
      <c r="I12" s="226">
        <v>4</v>
      </c>
      <c r="J12" s="226">
        <v>4</v>
      </c>
      <c r="K12" s="223"/>
      <c r="L12" s="227">
        <v>1780.8915999999999</v>
      </c>
      <c r="M12" s="227">
        <v>1983.6555000000001</v>
      </c>
      <c r="N12" s="227">
        <v>3764.5470999999998</v>
      </c>
      <c r="O12" s="222">
        <v>695.032484553681</v>
      </c>
      <c r="P12" s="228">
        <v>216.447</v>
      </c>
      <c r="Q12" s="234">
        <v>3.2110977955512499</v>
      </c>
      <c r="R12" s="235">
        <v>2484.3352550367799</v>
      </c>
      <c r="S12" s="224">
        <v>0.01</v>
      </c>
      <c r="T12" s="224">
        <v>0.01</v>
      </c>
      <c r="U12" s="231">
        <v>0</v>
      </c>
      <c r="V12" s="232">
        <v>0</v>
      </c>
      <c r="W12" s="223"/>
      <c r="X12" s="231">
        <v>3185.6837999999998</v>
      </c>
      <c r="Y12" s="222">
        <v>588.15939014720004</v>
      </c>
      <c r="Z12" s="233">
        <v>573</v>
      </c>
      <c r="AA12" s="238">
        <v>1.02645617826736</v>
      </c>
      <c r="AB12" s="239">
        <v>-203.42017078235</v>
      </c>
      <c r="AC12" s="224">
        <v>1.2999999999999999E-2</v>
      </c>
      <c r="AD12" s="224">
        <v>3.0000000000000001E-3</v>
      </c>
      <c r="AE12" s="232">
        <v>0</v>
      </c>
      <c r="AF12" s="232">
        <v>539</v>
      </c>
      <c r="AG12" s="223"/>
      <c r="AH12" s="236">
        <v>290.89999999999998</v>
      </c>
      <c r="AI12" s="222">
        <v>53.707642482854197</v>
      </c>
      <c r="AJ12" s="237" t="s">
        <v>54</v>
      </c>
      <c r="AK12" s="244">
        <v>0.85250226163260701</v>
      </c>
      <c r="AL12" s="227">
        <v>-81.723996787588206</v>
      </c>
      <c r="AM12" s="224"/>
      <c r="AN12" s="224"/>
      <c r="AO12" s="232">
        <v>51</v>
      </c>
      <c r="AP12" s="232">
        <v>119</v>
      </c>
      <c r="AQ12" s="223"/>
      <c r="AR12" s="236">
        <v>43.2</v>
      </c>
      <c r="AS12" s="222">
        <v>7.9758341535211503</v>
      </c>
      <c r="AT12" s="237" t="s">
        <v>55</v>
      </c>
      <c r="AU12" s="229">
        <v>0.49848963459507201</v>
      </c>
      <c r="AV12" s="230">
        <v>-51.434665850816003</v>
      </c>
      <c r="AW12" s="224"/>
      <c r="AX12" s="224"/>
      <c r="AY12" s="232">
        <v>44</v>
      </c>
      <c r="AZ12" s="232">
        <v>61</v>
      </c>
      <c r="BA12" s="223"/>
      <c r="BB12" s="240">
        <v>198.2</v>
      </c>
      <c r="BC12" s="236">
        <v>36.592831695090098</v>
      </c>
      <c r="BD12" s="237" t="s">
        <v>56</v>
      </c>
      <c r="BE12" s="234">
        <v>1.14352599047157</v>
      </c>
      <c r="BF12" s="235">
        <v>8.9306682983679195</v>
      </c>
      <c r="BG12" s="224">
        <v>0.02</v>
      </c>
      <c r="BH12" s="224">
        <v>1.4E-2</v>
      </c>
      <c r="BI12" s="232">
        <v>0</v>
      </c>
      <c r="BJ12" s="232">
        <v>10</v>
      </c>
      <c r="BK12" s="225"/>
      <c r="BL12" s="241">
        <v>0.8</v>
      </c>
      <c r="BM12" s="244">
        <v>0.78</v>
      </c>
      <c r="BN12" s="242"/>
      <c r="BO12" s="243">
        <v>0.95</v>
      </c>
      <c r="BP12" s="234">
        <v>1</v>
      </c>
      <c r="BQ12" s="242">
        <v>2.5000000000000001E-3</v>
      </c>
    </row>
    <row r="13" spans="1:69" s="211" customFormat="1" ht="22.35" customHeight="1" x14ac:dyDescent="0.2">
      <c r="A13" s="221" t="s">
        <v>4</v>
      </c>
      <c r="B13" s="221" t="s">
        <v>0</v>
      </c>
      <c r="C13" s="221" t="s">
        <v>63</v>
      </c>
      <c r="D13" s="222">
        <v>2.5347178251111102</v>
      </c>
      <c r="E13" s="223"/>
      <c r="F13" s="224">
        <v>6.8000000000000005E-2</v>
      </c>
      <c r="G13" s="224">
        <v>5.7000000000000002E-2</v>
      </c>
      <c r="H13" s="225"/>
      <c r="I13" s="226">
        <v>6</v>
      </c>
      <c r="J13" s="226">
        <v>6</v>
      </c>
      <c r="K13" s="223"/>
      <c r="L13" s="227">
        <v>2032.6742999999999</v>
      </c>
      <c r="M13" s="227">
        <v>1569.20271</v>
      </c>
      <c r="N13" s="227">
        <v>3601.8770100000002</v>
      </c>
      <c r="O13" s="222">
        <v>1421.01695672658</v>
      </c>
      <c r="P13" s="228">
        <v>223.197</v>
      </c>
      <c r="Q13" s="234">
        <v>6.3666489994335898</v>
      </c>
      <c r="R13" s="235">
        <v>2984.0873854628298</v>
      </c>
      <c r="S13" s="224">
        <v>0.01</v>
      </c>
      <c r="T13" s="224">
        <v>0.01</v>
      </c>
      <c r="U13" s="231">
        <v>0</v>
      </c>
      <c r="V13" s="232">
        <v>0</v>
      </c>
      <c r="W13" s="223"/>
      <c r="X13" s="231">
        <v>2257.7160600000002</v>
      </c>
      <c r="Y13" s="222">
        <v>890.71692226768096</v>
      </c>
      <c r="Z13" s="233">
        <v>573</v>
      </c>
      <c r="AA13" s="234">
        <v>1.5544797945334801</v>
      </c>
      <c r="AB13" s="235">
        <v>671.70256134277702</v>
      </c>
      <c r="AC13" s="224">
        <v>0.02</v>
      </c>
      <c r="AD13" s="224">
        <v>0.02</v>
      </c>
      <c r="AE13" s="232">
        <v>0</v>
      </c>
      <c r="AF13" s="232">
        <v>0</v>
      </c>
      <c r="AG13" s="223"/>
      <c r="AH13" s="236">
        <v>170.85</v>
      </c>
      <c r="AI13" s="222">
        <v>67.403952545491194</v>
      </c>
      <c r="AJ13" s="237" t="s">
        <v>54</v>
      </c>
      <c r="AK13" s="238">
        <v>1.06990400865859</v>
      </c>
      <c r="AL13" s="239">
        <v>-3.5284474963439401</v>
      </c>
      <c r="AM13" s="224">
        <v>1.7999999999999999E-2</v>
      </c>
      <c r="AN13" s="224">
        <v>7.0000000000000001E-3</v>
      </c>
      <c r="AO13" s="232">
        <v>0</v>
      </c>
      <c r="AP13" s="232">
        <v>21</v>
      </c>
      <c r="AQ13" s="223"/>
      <c r="AR13" s="236">
        <v>34.4</v>
      </c>
      <c r="AS13" s="222">
        <v>13.571530392536699</v>
      </c>
      <c r="AT13" s="237" t="s">
        <v>55</v>
      </c>
      <c r="AU13" s="244">
        <v>0.84822064953354404</v>
      </c>
      <c r="AV13" s="227">
        <v>-9.8865898403413208</v>
      </c>
      <c r="AW13" s="224"/>
      <c r="AX13" s="224"/>
      <c r="AY13" s="232">
        <v>7</v>
      </c>
      <c r="AZ13" s="232">
        <v>15</v>
      </c>
      <c r="BA13" s="223"/>
      <c r="BB13" s="240">
        <v>146.80000000000001</v>
      </c>
      <c r="BC13" s="236">
        <v>57.915716907685699</v>
      </c>
      <c r="BD13" s="237" t="s">
        <v>56</v>
      </c>
      <c r="BE13" s="234">
        <v>1.8098661533651801</v>
      </c>
      <c r="BF13" s="235">
        <v>58.226820319317397</v>
      </c>
      <c r="BG13" s="224">
        <v>0.02</v>
      </c>
      <c r="BH13" s="224">
        <v>0.02</v>
      </c>
      <c r="BI13" s="232">
        <v>0</v>
      </c>
      <c r="BJ13" s="232">
        <v>0</v>
      </c>
      <c r="BK13" s="225"/>
      <c r="BL13" s="241">
        <v>0.8</v>
      </c>
      <c r="BM13" s="238">
        <v>0.82</v>
      </c>
      <c r="BN13" s="242">
        <v>7.5000000000000002E-4</v>
      </c>
      <c r="BO13" s="243">
        <v>0.95</v>
      </c>
      <c r="BP13" s="234">
        <v>1</v>
      </c>
      <c r="BQ13" s="242">
        <v>2.5000000000000001E-3</v>
      </c>
    </row>
    <row r="14" spans="1:69" s="211" customFormat="1" ht="22.35" customHeight="1" x14ac:dyDescent="0.2">
      <c r="A14" s="221" t="s">
        <v>4</v>
      </c>
      <c r="B14" s="221" t="s">
        <v>0</v>
      </c>
      <c r="C14" s="221" t="s">
        <v>64</v>
      </c>
      <c r="D14" s="222">
        <v>2.8184251681111099</v>
      </c>
      <c r="E14" s="223"/>
      <c r="F14" s="224">
        <v>0.02</v>
      </c>
      <c r="G14" s="224">
        <v>0.02</v>
      </c>
      <c r="H14" s="225"/>
      <c r="I14" s="226">
        <v>2</v>
      </c>
      <c r="J14" s="226">
        <v>2</v>
      </c>
      <c r="K14" s="223"/>
      <c r="L14" s="227">
        <v>1403.91356</v>
      </c>
      <c r="M14" s="227">
        <v>-1146.07194</v>
      </c>
      <c r="N14" s="227">
        <v>257.84161999999998</v>
      </c>
      <c r="O14" s="222">
        <v>91.484288075955405</v>
      </c>
      <c r="P14" s="228">
        <v>212.5</v>
      </c>
      <c r="Q14" s="229">
        <v>0.430514296828025</v>
      </c>
      <c r="R14" s="230">
        <v>-396.17394026018297</v>
      </c>
      <c r="S14" s="224"/>
      <c r="T14" s="224"/>
      <c r="U14" s="231">
        <v>342</v>
      </c>
      <c r="V14" s="232">
        <v>461</v>
      </c>
      <c r="W14" s="223"/>
      <c r="X14" s="231">
        <v>1957.2544849999999</v>
      </c>
      <c r="Y14" s="222">
        <v>694.44969025441196</v>
      </c>
      <c r="Z14" s="233">
        <v>573</v>
      </c>
      <c r="AA14" s="234">
        <v>1.21195408421363</v>
      </c>
      <c r="AB14" s="235">
        <v>193.72076251018899</v>
      </c>
      <c r="AC14" s="224">
        <v>0.02</v>
      </c>
      <c r="AD14" s="224">
        <v>0.02</v>
      </c>
      <c r="AE14" s="232">
        <v>0</v>
      </c>
      <c r="AF14" s="232">
        <v>0</v>
      </c>
      <c r="AG14" s="223"/>
      <c r="AH14" s="236">
        <v>148.69999999999999</v>
      </c>
      <c r="AI14" s="222">
        <v>52.759960307783402</v>
      </c>
      <c r="AJ14" s="237" t="s">
        <v>54</v>
      </c>
      <c r="AK14" s="244">
        <v>0.83745968742513299</v>
      </c>
      <c r="AL14" s="227">
        <v>-45.1963778653719</v>
      </c>
      <c r="AM14" s="224"/>
      <c r="AN14" s="224"/>
      <c r="AO14" s="232">
        <v>29</v>
      </c>
      <c r="AP14" s="232">
        <v>65</v>
      </c>
      <c r="AQ14" s="223"/>
      <c r="AR14" s="236">
        <v>15.3</v>
      </c>
      <c r="AS14" s="222">
        <v>5.4285635017423397</v>
      </c>
      <c r="AT14" s="237" t="s">
        <v>55</v>
      </c>
      <c r="AU14" s="229">
        <v>0.33928521885889601</v>
      </c>
      <c r="AV14" s="230">
        <v>-33.943524537237302</v>
      </c>
      <c r="AW14" s="224"/>
      <c r="AX14" s="224"/>
      <c r="AY14" s="232">
        <v>30</v>
      </c>
      <c r="AZ14" s="232">
        <v>39</v>
      </c>
      <c r="BA14" s="223"/>
      <c r="BB14" s="240">
        <v>63.4</v>
      </c>
      <c r="BC14" s="236">
        <v>22.494831765389801</v>
      </c>
      <c r="BD14" s="237" t="s">
        <v>56</v>
      </c>
      <c r="BE14" s="229">
        <v>0.70296349266843206</v>
      </c>
      <c r="BF14" s="230">
        <v>-35.087049074474599</v>
      </c>
      <c r="BG14" s="224"/>
      <c r="BH14" s="224"/>
      <c r="BI14" s="232">
        <v>27</v>
      </c>
      <c r="BJ14" s="232">
        <v>45</v>
      </c>
      <c r="BK14" s="225"/>
      <c r="BL14" s="241">
        <v>0.8</v>
      </c>
      <c r="BM14" s="244">
        <v>0.79</v>
      </c>
      <c r="BN14" s="242"/>
      <c r="BO14" s="243">
        <v>0.95</v>
      </c>
      <c r="BP14" s="234">
        <v>1</v>
      </c>
      <c r="BQ14" s="242">
        <v>2.5000000000000001E-3</v>
      </c>
    </row>
    <row r="15" spans="1:69" s="211" customFormat="1" ht="22.35" customHeight="1" x14ac:dyDescent="0.2">
      <c r="A15" s="221" t="s">
        <v>4</v>
      </c>
      <c r="B15" s="221" t="s">
        <v>65</v>
      </c>
      <c r="C15" s="221" t="s">
        <v>66</v>
      </c>
      <c r="D15" s="222">
        <v>3.6851069297777799</v>
      </c>
      <c r="E15" s="223"/>
      <c r="F15" s="224">
        <v>1.6E-2</v>
      </c>
      <c r="G15" s="224">
        <v>0.01</v>
      </c>
      <c r="H15" s="225"/>
      <c r="I15" s="226">
        <v>4</v>
      </c>
      <c r="J15" s="226">
        <v>3</v>
      </c>
      <c r="K15" s="223"/>
      <c r="L15" s="227">
        <v>2777.9721500000001</v>
      </c>
      <c r="M15" s="227">
        <v>-1574.4409499999999</v>
      </c>
      <c r="N15" s="227">
        <v>1203.5311999999999</v>
      </c>
      <c r="O15" s="222">
        <v>326.59329103174099</v>
      </c>
      <c r="P15" s="228">
        <v>231.52600000000001</v>
      </c>
      <c r="Q15" s="234">
        <v>1.4106117284095101</v>
      </c>
      <c r="R15" s="235">
        <v>271.83891081008602</v>
      </c>
      <c r="S15" s="224">
        <v>0.01</v>
      </c>
      <c r="T15" s="224">
        <v>0.01</v>
      </c>
      <c r="U15" s="231">
        <v>0</v>
      </c>
      <c r="V15" s="232">
        <v>0</v>
      </c>
      <c r="W15" s="223"/>
      <c r="X15" s="231">
        <v>2035.4282450000001</v>
      </c>
      <c r="Y15" s="222">
        <v>552.33899145573605</v>
      </c>
      <c r="Z15" s="233">
        <v>573</v>
      </c>
      <c r="AA15" s="238">
        <v>0.96394239346550703</v>
      </c>
      <c r="AB15" s="239">
        <v>-270.402122672833</v>
      </c>
      <c r="AC15" s="224">
        <v>6.0000000000000001E-3</v>
      </c>
      <c r="AD15" s="224"/>
      <c r="AE15" s="232">
        <v>77</v>
      </c>
      <c r="AF15" s="232">
        <v>499</v>
      </c>
      <c r="AG15" s="223"/>
      <c r="AH15" s="236">
        <v>170</v>
      </c>
      <c r="AI15" s="222">
        <v>46.131632877814901</v>
      </c>
      <c r="AJ15" s="237" t="s">
        <v>54</v>
      </c>
      <c r="AK15" s="244">
        <v>0.73224814091769597</v>
      </c>
      <c r="AL15" s="227">
        <v>-83.520616340992206</v>
      </c>
      <c r="AM15" s="224"/>
      <c r="AN15" s="224"/>
      <c r="AO15" s="232">
        <v>63</v>
      </c>
      <c r="AP15" s="232">
        <v>109</v>
      </c>
      <c r="AQ15" s="223"/>
      <c r="AR15" s="236">
        <v>16.600000000000001</v>
      </c>
      <c r="AS15" s="222">
        <v>4.5046182692454497</v>
      </c>
      <c r="AT15" s="237" t="s">
        <v>55</v>
      </c>
      <c r="AU15" s="229">
        <v>0.281538641827841</v>
      </c>
      <c r="AV15" s="230">
        <v>-47.7861882770774</v>
      </c>
      <c r="AW15" s="224"/>
      <c r="AX15" s="224"/>
      <c r="AY15" s="232">
        <v>43</v>
      </c>
      <c r="AZ15" s="232">
        <v>55</v>
      </c>
      <c r="BA15" s="223"/>
      <c r="BB15" s="240">
        <v>95.4</v>
      </c>
      <c r="BC15" s="236">
        <v>25.887986920844298</v>
      </c>
      <c r="BD15" s="237" t="s">
        <v>56</v>
      </c>
      <c r="BE15" s="244">
        <v>0.80899959127638599</v>
      </c>
      <c r="BF15" s="227">
        <v>-33.372376554154798</v>
      </c>
      <c r="BG15" s="224"/>
      <c r="BH15" s="224"/>
      <c r="BI15" s="232">
        <v>23</v>
      </c>
      <c r="BJ15" s="232">
        <v>47</v>
      </c>
      <c r="BK15" s="225"/>
      <c r="BL15" s="241">
        <v>0.8</v>
      </c>
      <c r="BM15" s="238">
        <v>0.81</v>
      </c>
      <c r="BN15" s="242">
        <v>3.7500000000000001E-4</v>
      </c>
      <c r="BO15" s="243">
        <v>0.95</v>
      </c>
      <c r="BP15" s="234">
        <v>1</v>
      </c>
      <c r="BQ15" s="242">
        <v>2.5000000000000001E-3</v>
      </c>
    </row>
    <row r="16" spans="1:69" s="211" customFormat="1" ht="22.35" customHeight="1" x14ac:dyDescent="0.2">
      <c r="A16" s="221" t="s">
        <v>4</v>
      </c>
      <c r="B16" s="221" t="s">
        <v>65</v>
      </c>
      <c r="C16" s="221" t="s">
        <v>67</v>
      </c>
      <c r="D16" s="222">
        <v>2.98808404311111</v>
      </c>
      <c r="E16" s="223"/>
      <c r="F16" s="224">
        <v>4.9000000000000002E-2</v>
      </c>
      <c r="G16" s="224">
        <v>3.9E-2</v>
      </c>
      <c r="H16" s="225"/>
      <c r="I16" s="226">
        <v>5</v>
      </c>
      <c r="J16" s="226">
        <v>5</v>
      </c>
      <c r="K16" s="223"/>
      <c r="L16" s="227">
        <v>1685.7741699999999</v>
      </c>
      <c r="M16" s="227">
        <v>252.28301999999999</v>
      </c>
      <c r="N16" s="227">
        <v>1938.05719</v>
      </c>
      <c r="O16" s="222">
        <v>648.59527444286596</v>
      </c>
      <c r="P16" s="228">
        <v>233.14400000000001</v>
      </c>
      <c r="Q16" s="234">
        <v>2.7819513881672502</v>
      </c>
      <c r="R16" s="235">
        <v>1177.3111681673699</v>
      </c>
      <c r="S16" s="224">
        <v>0.01</v>
      </c>
      <c r="T16" s="224">
        <v>0.01</v>
      </c>
      <c r="U16" s="231">
        <v>0</v>
      </c>
      <c r="V16" s="232">
        <v>0</v>
      </c>
      <c r="W16" s="223"/>
      <c r="X16" s="231">
        <v>2110.064245</v>
      </c>
      <c r="Y16" s="222">
        <v>706.15960413317498</v>
      </c>
      <c r="Z16" s="233">
        <v>573</v>
      </c>
      <c r="AA16" s="234">
        <v>1.23239023408931</v>
      </c>
      <c r="AB16" s="235">
        <v>240.372249880689</v>
      </c>
      <c r="AC16" s="224">
        <v>0.02</v>
      </c>
      <c r="AD16" s="224">
        <v>0.02</v>
      </c>
      <c r="AE16" s="232">
        <v>0</v>
      </c>
      <c r="AF16" s="232">
        <v>0</v>
      </c>
      <c r="AG16" s="223"/>
      <c r="AH16" s="236">
        <v>166.55</v>
      </c>
      <c r="AI16" s="222">
        <v>55.738057429801302</v>
      </c>
      <c r="AJ16" s="237" t="s">
        <v>54</v>
      </c>
      <c r="AK16" s="244">
        <v>0.88473107031430598</v>
      </c>
      <c r="AL16" s="227">
        <v>-39.018229829871899</v>
      </c>
      <c r="AM16" s="224"/>
      <c r="AN16" s="224"/>
      <c r="AO16" s="232">
        <v>22</v>
      </c>
      <c r="AP16" s="232">
        <v>60</v>
      </c>
      <c r="AQ16" s="223"/>
      <c r="AR16" s="236">
        <v>19.8</v>
      </c>
      <c r="AS16" s="222">
        <v>6.6263196464128802</v>
      </c>
      <c r="AT16" s="237" t="s">
        <v>55</v>
      </c>
      <c r="AU16" s="229">
        <v>0.41414497790080501</v>
      </c>
      <c r="AV16" s="230">
        <v>-32.4078044012373</v>
      </c>
      <c r="AW16" s="224"/>
      <c r="AX16" s="224"/>
      <c r="AY16" s="232">
        <v>29</v>
      </c>
      <c r="AZ16" s="232">
        <v>38</v>
      </c>
      <c r="BA16" s="223"/>
      <c r="BB16" s="240">
        <v>103.8</v>
      </c>
      <c r="BC16" s="236">
        <v>34.737978752406903</v>
      </c>
      <c r="BD16" s="237" t="s">
        <v>56</v>
      </c>
      <c r="BE16" s="238">
        <v>1.0855618360127199</v>
      </c>
      <c r="BF16" s="239">
        <v>-0.61560880247462502</v>
      </c>
      <c r="BG16" s="224">
        <v>1.9E-2</v>
      </c>
      <c r="BH16" s="224">
        <v>8.9999999999999993E-3</v>
      </c>
      <c r="BI16" s="232">
        <v>0</v>
      </c>
      <c r="BJ16" s="232">
        <v>11</v>
      </c>
      <c r="BK16" s="225"/>
      <c r="BL16" s="241">
        <v>0.8</v>
      </c>
      <c r="BM16" s="238">
        <v>0.81</v>
      </c>
      <c r="BN16" s="242">
        <v>3.7500000000000001E-4</v>
      </c>
      <c r="BO16" s="243">
        <v>0.95</v>
      </c>
      <c r="BP16" s="234">
        <v>1</v>
      </c>
      <c r="BQ16" s="242">
        <v>2.5000000000000001E-3</v>
      </c>
    </row>
    <row r="17" spans="1:69" s="211" customFormat="1" ht="22.35" customHeight="1" x14ac:dyDescent="0.2">
      <c r="A17" s="221" t="s">
        <v>4</v>
      </c>
      <c r="B17" s="221" t="s">
        <v>65</v>
      </c>
      <c r="C17" s="221" t="s">
        <v>68</v>
      </c>
      <c r="D17" s="222">
        <v>3.7318809292222199</v>
      </c>
      <c r="E17" s="223"/>
      <c r="F17" s="224">
        <v>0.05</v>
      </c>
      <c r="G17" s="224">
        <v>0.04</v>
      </c>
      <c r="H17" s="225"/>
      <c r="I17" s="226">
        <v>4</v>
      </c>
      <c r="J17" s="226">
        <v>4</v>
      </c>
      <c r="K17" s="223"/>
      <c r="L17" s="227">
        <v>1147.09989</v>
      </c>
      <c r="M17" s="227">
        <v>1168.4034799999999</v>
      </c>
      <c r="N17" s="227">
        <v>2315.5033699999999</v>
      </c>
      <c r="O17" s="222">
        <v>620.46550088686297</v>
      </c>
      <c r="P17" s="228">
        <v>246.29499999999999</v>
      </c>
      <c r="Q17" s="234">
        <v>2.5191964956124302</v>
      </c>
      <c r="R17" s="235">
        <v>1311.7985440986399</v>
      </c>
      <c r="S17" s="224">
        <v>0.01</v>
      </c>
      <c r="T17" s="224">
        <v>0.01</v>
      </c>
      <c r="U17" s="231">
        <v>0</v>
      </c>
      <c r="V17" s="232">
        <v>0</v>
      </c>
      <c r="W17" s="223"/>
      <c r="X17" s="231">
        <v>2687.8429900000001</v>
      </c>
      <c r="Y17" s="222">
        <v>720.23814290350003</v>
      </c>
      <c r="Z17" s="233">
        <v>573</v>
      </c>
      <c r="AA17" s="234">
        <v>1.25696010977923</v>
      </c>
      <c r="AB17" s="235">
        <v>352.74538249078898</v>
      </c>
      <c r="AC17" s="224">
        <v>0.02</v>
      </c>
      <c r="AD17" s="224">
        <v>0.02</v>
      </c>
      <c r="AE17" s="232">
        <v>0</v>
      </c>
      <c r="AF17" s="232">
        <v>0</v>
      </c>
      <c r="AG17" s="223"/>
      <c r="AH17" s="236">
        <v>146.6</v>
      </c>
      <c r="AI17" s="222">
        <v>39.2831397304398</v>
      </c>
      <c r="AJ17" s="237" t="s">
        <v>54</v>
      </c>
      <c r="AK17" s="229">
        <v>0.62354190048317104</v>
      </c>
      <c r="AL17" s="230">
        <v>-110.138480406772</v>
      </c>
      <c r="AM17" s="224"/>
      <c r="AN17" s="224"/>
      <c r="AO17" s="232">
        <v>89</v>
      </c>
      <c r="AP17" s="232">
        <v>136</v>
      </c>
      <c r="AQ17" s="223"/>
      <c r="AR17" s="236">
        <v>17.100000000000001</v>
      </c>
      <c r="AS17" s="222">
        <v>4.5821397639189598</v>
      </c>
      <c r="AT17" s="237" t="s">
        <v>55</v>
      </c>
      <c r="AU17" s="229">
        <v>0.28638373524493499</v>
      </c>
      <c r="AV17" s="230">
        <v>-48.1034235953706</v>
      </c>
      <c r="AW17" s="224"/>
      <c r="AX17" s="224"/>
      <c r="AY17" s="232">
        <v>43</v>
      </c>
      <c r="AZ17" s="232">
        <v>55</v>
      </c>
      <c r="BA17" s="223"/>
      <c r="BB17" s="240">
        <v>131.19999999999999</v>
      </c>
      <c r="BC17" s="236">
        <v>35.156534329015699</v>
      </c>
      <c r="BD17" s="237" t="s">
        <v>56</v>
      </c>
      <c r="BE17" s="234">
        <v>1.0986416977817399</v>
      </c>
      <c r="BF17" s="235">
        <v>0.79315280925871401</v>
      </c>
      <c r="BG17" s="224">
        <v>0.02</v>
      </c>
      <c r="BH17" s="224">
        <v>0.01</v>
      </c>
      <c r="BI17" s="232">
        <v>0</v>
      </c>
      <c r="BJ17" s="232">
        <v>13</v>
      </c>
      <c r="BK17" s="225"/>
      <c r="BL17" s="241">
        <v>0.8</v>
      </c>
      <c r="BM17" s="244">
        <v>0.77</v>
      </c>
      <c r="BN17" s="242"/>
      <c r="BO17" s="243">
        <v>0.95</v>
      </c>
      <c r="BP17" s="234">
        <v>1</v>
      </c>
      <c r="BQ17" s="242">
        <v>2.5000000000000001E-3</v>
      </c>
    </row>
    <row r="18" spans="1:69" s="211" customFormat="1" ht="22.35" customHeight="1" x14ac:dyDescent="0.2">
      <c r="A18" s="221" t="s">
        <v>4</v>
      </c>
      <c r="B18" s="221" t="s">
        <v>65</v>
      </c>
      <c r="C18" s="221" t="s">
        <v>69</v>
      </c>
      <c r="D18" s="222">
        <v>2.4135234434444399</v>
      </c>
      <c r="E18" s="223"/>
      <c r="F18" s="224">
        <v>0.06</v>
      </c>
      <c r="G18" s="224">
        <v>5.7000000000000002E-2</v>
      </c>
      <c r="H18" s="225"/>
      <c r="I18" s="226">
        <v>5</v>
      </c>
      <c r="J18" s="226">
        <v>5</v>
      </c>
      <c r="K18" s="223"/>
      <c r="L18" s="227">
        <v>265.68633999999997</v>
      </c>
      <c r="M18" s="227">
        <v>-940.11495000000002</v>
      </c>
      <c r="N18" s="227">
        <v>-674.42861000000005</v>
      </c>
      <c r="O18" s="222">
        <v>-279.43735613253199</v>
      </c>
      <c r="P18" s="228">
        <v>233.14400000000001</v>
      </c>
      <c r="Q18" s="229">
        <v>-1.1985612159546499</v>
      </c>
      <c r="R18" s="230">
        <v>-1288.8953825906599</v>
      </c>
      <c r="S18" s="224"/>
      <c r="T18" s="224"/>
      <c r="U18" s="231">
        <v>1238</v>
      </c>
      <c r="V18" s="232">
        <v>1350</v>
      </c>
      <c r="W18" s="223"/>
      <c r="X18" s="231">
        <v>1684.98109</v>
      </c>
      <c r="Y18" s="222">
        <v>698.14158821481794</v>
      </c>
      <c r="Z18" s="233">
        <v>573</v>
      </c>
      <c r="AA18" s="234">
        <v>1.2183971871113699</v>
      </c>
      <c r="AB18" s="235">
        <v>174.80085506171901</v>
      </c>
      <c r="AC18" s="224">
        <v>0.02</v>
      </c>
      <c r="AD18" s="224">
        <v>0.02</v>
      </c>
      <c r="AE18" s="232">
        <v>0</v>
      </c>
      <c r="AF18" s="232">
        <v>0</v>
      </c>
      <c r="AG18" s="223"/>
      <c r="AH18" s="236">
        <v>183.6</v>
      </c>
      <c r="AI18" s="222">
        <v>76.071355552269395</v>
      </c>
      <c r="AJ18" s="237" t="s">
        <v>54</v>
      </c>
      <c r="AK18" s="234">
        <v>1.20748183416301</v>
      </c>
      <c r="AL18" s="235">
        <v>17.559241184796299</v>
      </c>
      <c r="AM18" s="224">
        <v>0.02</v>
      </c>
      <c r="AN18" s="224">
        <v>0.02</v>
      </c>
      <c r="AO18" s="232">
        <v>0</v>
      </c>
      <c r="AP18" s="232">
        <v>0</v>
      </c>
      <c r="AQ18" s="223"/>
      <c r="AR18" s="236">
        <v>17.3</v>
      </c>
      <c r="AS18" s="222">
        <v>7.1679436331931399</v>
      </c>
      <c r="AT18" s="237" t="s">
        <v>55</v>
      </c>
      <c r="AU18" s="229">
        <v>0.44799647707457102</v>
      </c>
      <c r="AV18" s="230">
        <v>-24.8690816038613</v>
      </c>
      <c r="AW18" s="224"/>
      <c r="AX18" s="224"/>
      <c r="AY18" s="232">
        <v>22</v>
      </c>
      <c r="AZ18" s="232">
        <v>30</v>
      </c>
      <c r="BA18" s="223"/>
      <c r="BB18" s="240">
        <v>90</v>
      </c>
      <c r="BC18" s="236">
        <v>37.289880172681102</v>
      </c>
      <c r="BD18" s="237" t="s">
        <v>56</v>
      </c>
      <c r="BE18" s="234">
        <v>1.16530875539628</v>
      </c>
      <c r="BF18" s="235">
        <v>5.6618367922774802</v>
      </c>
      <c r="BG18" s="224">
        <v>0.02</v>
      </c>
      <c r="BH18" s="224">
        <v>1.7000000000000001E-2</v>
      </c>
      <c r="BI18" s="232">
        <v>0</v>
      </c>
      <c r="BJ18" s="232">
        <v>3</v>
      </c>
      <c r="BK18" s="225"/>
      <c r="BL18" s="241">
        <v>0.8</v>
      </c>
      <c r="BM18" s="238">
        <v>0.86</v>
      </c>
      <c r="BN18" s="242">
        <v>2.2499999999999998E-3</v>
      </c>
      <c r="BO18" s="243">
        <v>0.95</v>
      </c>
      <c r="BP18" s="234">
        <v>1</v>
      </c>
      <c r="BQ18" s="242">
        <v>2.5000000000000001E-3</v>
      </c>
    </row>
    <row r="19" spans="1:69" s="211" customFormat="1" ht="22.35" customHeight="1" x14ac:dyDescent="0.2">
      <c r="A19" s="221" t="s">
        <v>4</v>
      </c>
      <c r="B19" s="221" t="s">
        <v>65</v>
      </c>
      <c r="C19" s="221" t="s">
        <v>70</v>
      </c>
      <c r="D19" s="222">
        <v>5.75203804544444</v>
      </c>
      <c r="E19" s="223"/>
      <c r="F19" s="224">
        <v>0.01</v>
      </c>
      <c r="G19" s="224">
        <v>0.01</v>
      </c>
      <c r="H19" s="225"/>
      <c r="I19" s="226">
        <v>2</v>
      </c>
      <c r="J19" s="226">
        <v>2</v>
      </c>
      <c r="K19" s="223"/>
      <c r="L19" s="227">
        <v>2369.9636700000001</v>
      </c>
      <c r="M19" s="227">
        <v>1893.29465</v>
      </c>
      <c r="N19" s="227">
        <v>4263.2583199999999</v>
      </c>
      <c r="O19" s="222">
        <v>741.17352602986603</v>
      </c>
      <c r="P19" s="228">
        <v>212.5</v>
      </c>
      <c r="Q19" s="234">
        <v>3.4878754166111401</v>
      </c>
      <c r="R19" s="235">
        <v>2928.4978915546199</v>
      </c>
      <c r="S19" s="224">
        <v>0.01</v>
      </c>
      <c r="T19" s="224">
        <v>0.01</v>
      </c>
      <c r="U19" s="231">
        <v>0</v>
      </c>
      <c r="V19" s="232">
        <v>0</v>
      </c>
      <c r="W19" s="223"/>
      <c r="X19" s="231">
        <v>2689.7867350000001</v>
      </c>
      <c r="Y19" s="222">
        <v>467.62325174992299</v>
      </c>
      <c r="Z19" s="233">
        <v>573</v>
      </c>
      <c r="AA19" s="244">
        <v>0.81609642539253502</v>
      </c>
      <c r="AB19" s="227">
        <v>-909.35550264331403</v>
      </c>
      <c r="AC19" s="224"/>
      <c r="AD19" s="224"/>
      <c r="AE19" s="232">
        <v>607</v>
      </c>
      <c r="AF19" s="232">
        <v>1266</v>
      </c>
      <c r="AG19" s="223"/>
      <c r="AH19" s="236">
        <v>284.89999999999998</v>
      </c>
      <c r="AI19" s="222">
        <v>49.530270444862197</v>
      </c>
      <c r="AJ19" s="237" t="s">
        <v>54</v>
      </c>
      <c r="AK19" s="244">
        <v>0.78619476896606699</v>
      </c>
      <c r="AL19" s="227">
        <v>-110.817209374396</v>
      </c>
      <c r="AM19" s="224"/>
      <c r="AN19" s="224"/>
      <c r="AO19" s="232">
        <v>78</v>
      </c>
      <c r="AP19" s="232">
        <v>150</v>
      </c>
      <c r="AQ19" s="223"/>
      <c r="AR19" s="236">
        <v>27.8</v>
      </c>
      <c r="AS19" s="222">
        <v>4.8330695625383298</v>
      </c>
      <c r="AT19" s="237" t="s">
        <v>55</v>
      </c>
      <c r="AU19" s="229">
        <v>0.302066847658646</v>
      </c>
      <c r="AV19" s="230">
        <v>-72.699608730005295</v>
      </c>
      <c r="AW19" s="224"/>
      <c r="AX19" s="224"/>
      <c r="AY19" s="232">
        <v>65</v>
      </c>
      <c r="AZ19" s="232">
        <v>83</v>
      </c>
      <c r="BA19" s="223"/>
      <c r="BB19" s="240">
        <v>147.4</v>
      </c>
      <c r="BC19" s="236">
        <v>25.625699766839901</v>
      </c>
      <c r="BD19" s="237" t="s">
        <v>56</v>
      </c>
      <c r="BE19" s="244">
        <v>0.80080311771374701</v>
      </c>
      <c r="BF19" s="227">
        <v>-53.5992174600105</v>
      </c>
      <c r="BG19" s="224"/>
      <c r="BH19" s="224"/>
      <c r="BI19" s="232">
        <v>37</v>
      </c>
      <c r="BJ19" s="232">
        <v>74</v>
      </c>
      <c r="BK19" s="225"/>
      <c r="BL19" s="241">
        <v>0.8</v>
      </c>
      <c r="BM19" s="244">
        <v>0.79</v>
      </c>
      <c r="BN19" s="242"/>
      <c r="BO19" s="243">
        <v>0.95</v>
      </c>
      <c r="BP19" s="234">
        <v>1</v>
      </c>
      <c r="BQ19" s="242">
        <v>2.5000000000000001E-3</v>
      </c>
    </row>
    <row r="20" spans="1:69" s="211" customFormat="1" ht="22.35" customHeight="1" x14ac:dyDescent="0.2">
      <c r="A20" s="221" t="s">
        <v>4</v>
      </c>
      <c r="B20" s="221" t="s">
        <v>65</v>
      </c>
      <c r="C20" s="221" t="s">
        <v>71</v>
      </c>
      <c r="D20" s="222">
        <v>3.7144129870000002</v>
      </c>
      <c r="E20" s="223"/>
      <c r="F20" s="224">
        <v>3.7999999999999999E-2</v>
      </c>
      <c r="G20" s="224">
        <v>0.03</v>
      </c>
      <c r="H20" s="225"/>
      <c r="I20" s="226">
        <v>4</v>
      </c>
      <c r="J20" s="226">
        <v>3</v>
      </c>
      <c r="K20" s="223"/>
      <c r="L20" s="227">
        <v>1504.4420299999999</v>
      </c>
      <c r="M20" s="227">
        <v>1147.6410000000001</v>
      </c>
      <c r="N20" s="227">
        <v>2652.0830299999998</v>
      </c>
      <c r="O20" s="222">
        <v>713.99788857135002</v>
      </c>
      <c r="P20" s="228">
        <v>231.90199999999999</v>
      </c>
      <c r="Q20" s="234">
        <v>3.0788776663045101</v>
      </c>
      <c r="R20" s="235">
        <v>1711.45628784169</v>
      </c>
      <c r="S20" s="224">
        <v>0.01</v>
      </c>
      <c r="T20" s="224">
        <v>0.01</v>
      </c>
      <c r="U20" s="231">
        <v>0</v>
      </c>
      <c r="V20" s="232">
        <v>0</v>
      </c>
      <c r="W20" s="223"/>
      <c r="X20" s="231">
        <v>2093.089105</v>
      </c>
      <c r="Y20" s="222">
        <v>563.50468090800905</v>
      </c>
      <c r="Z20" s="233">
        <v>573</v>
      </c>
      <c r="AA20" s="238">
        <v>0.98342876249216304</v>
      </c>
      <c r="AB20" s="239">
        <v>-231.078531573692</v>
      </c>
      <c r="AC20" s="224">
        <v>8.0000000000000002E-3</v>
      </c>
      <c r="AD20" s="224"/>
      <c r="AE20" s="232">
        <v>36</v>
      </c>
      <c r="AF20" s="232">
        <v>461</v>
      </c>
      <c r="AG20" s="223"/>
      <c r="AH20" s="236">
        <v>127.2</v>
      </c>
      <c r="AI20" s="222">
        <v>34.244980416874697</v>
      </c>
      <c r="AJ20" s="237" t="s">
        <v>54</v>
      </c>
      <c r="AK20" s="229">
        <v>0.54357111772816902</v>
      </c>
      <c r="AL20" s="230">
        <v>-128.33675585365199</v>
      </c>
      <c r="AM20" s="224"/>
      <c r="AN20" s="224"/>
      <c r="AO20" s="232">
        <v>107</v>
      </c>
      <c r="AP20" s="232">
        <v>154</v>
      </c>
      <c r="AQ20" s="223"/>
      <c r="AR20" s="236">
        <v>51</v>
      </c>
      <c r="AS20" s="222">
        <v>13.7302987520488</v>
      </c>
      <c r="AT20" s="237" t="s">
        <v>55</v>
      </c>
      <c r="AU20" s="244">
        <v>0.85814367200305097</v>
      </c>
      <c r="AV20" s="227">
        <v>-13.898223708864</v>
      </c>
      <c r="AW20" s="224"/>
      <c r="AX20" s="224"/>
      <c r="AY20" s="232">
        <v>9</v>
      </c>
      <c r="AZ20" s="232">
        <v>21</v>
      </c>
      <c r="BA20" s="223"/>
      <c r="BB20" s="240">
        <v>153.19999999999999</v>
      </c>
      <c r="BC20" s="236">
        <v>41.244740564978002</v>
      </c>
      <c r="BD20" s="237" t="s">
        <v>56</v>
      </c>
      <c r="BE20" s="234">
        <v>1.2888981426555599</v>
      </c>
      <c r="BF20" s="235">
        <v>23.403552582271999</v>
      </c>
      <c r="BG20" s="224">
        <v>0.02</v>
      </c>
      <c r="BH20" s="224">
        <v>0.02</v>
      </c>
      <c r="BI20" s="232">
        <v>0</v>
      </c>
      <c r="BJ20" s="232">
        <v>0</v>
      </c>
      <c r="BK20" s="225"/>
      <c r="BL20" s="241">
        <v>0.8</v>
      </c>
      <c r="BM20" s="244">
        <v>0.8</v>
      </c>
      <c r="BN20" s="242">
        <v>0</v>
      </c>
      <c r="BO20" s="243">
        <v>0.95</v>
      </c>
      <c r="BP20" s="234">
        <v>1</v>
      </c>
      <c r="BQ20" s="242">
        <v>2.5000000000000001E-3</v>
      </c>
    </row>
    <row r="21" spans="1:69" s="211" customFormat="1" ht="22.35" customHeight="1" x14ac:dyDescent="0.2">
      <c r="A21" s="221" t="s">
        <v>4</v>
      </c>
      <c r="B21" s="221" t="s">
        <v>65</v>
      </c>
      <c r="C21" s="221" t="s">
        <v>72</v>
      </c>
      <c r="D21" s="222">
        <v>6.6311696409999996</v>
      </c>
      <c r="E21" s="223"/>
      <c r="F21" s="224">
        <v>4.2999999999999997E-2</v>
      </c>
      <c r="G21" s="224">
        <v>3.2000000000000001E-2</v>
      </c>
      <c r="H21" s="225"/>
      <c r="I21" s="226">
        <v>5</v>
      </c>
      <c r="J21" s="226">
        <v>5</v>
      </c>
      <c r="K21" s="223"/>
      <c r="L21" s="227">
        <v>3001.76541</v>
      </c>
      <c r="M21" s="227">
        <v>-899.92912999999999</v>
      </c>
      <c r="N21" s="227">
        <v>2101.83628</v>
      </c>
      <c r="O21" s="222">
        <v>316.96312925015701</v>
      </c>
      <c r="P21" s="228">
        <v>218.77099999999999</v>
      </c>
      <c r="Q21" s="234">
        <v>1.4488352169627501</v>
      </c>
      <c r="R21" s="235">
        <v>517.66356602391704</v>
      </c>
      <c r="S21" s="224">
        <v>0.01</v>
      </c>
      <c r="T21" s="224">
        <v>0.01</v>
      </c>
      <c r="U21" s="231">
        <v>0</v>
      </c>
      <c r="V21" s="232">
        <v>0</v>
      </c>
      <c r="W21" s="223"/>
      <c r="X21" s="231">
        <v>3909.6068</v>
      </c>
      <c r="Y21" s="222">
        <v>589.58027190666496</v>
      </c>
      <c r="Z21" s="233">
        <v>573</v>
      </c>
      <c r="AA21" s="238">
        <v>1.0289359021058699</v>
      </c>
      <c r="AB21" s="239">
        <v>-239.62214308795501</v>
      </c>
      <c r="AC21" s="224">
        <v>1.2999999999999999E-2</v>
      </c>
      <c r="AD21" s="224">
        <v>3.0000000000000001E-3</v>
      </c>
      <c r="AE21" s="232">
        <v>0</v>
      </c>
      <c r="AF21" s="232">
        <v>650</v>
      </c>
      <c r="AG21" s="223"/>
      <c r="AH21" s="236">
        <v>219.4</v>
      </c>
      <c r="AI21" s="222">
        <v>33.086169089004599</v>
      </c>
      <c r="AJ21" s="237" t="s">
        <v>54</v>
      </c>
      <c r="AK21" s="229">
        <v>0.52517728712705702</v>
      </c>
      <c r="AL21" s="230">
        <v>-236.797946622236</v>
      </c>
      <c r="AM21" s="224"/>
      <c r="AN21" s="224"/>
      <c r="AO21" s="232">
        <v>199</v>
      </c>
      <c r="AP21" s="232">
        <v>282</v>
      </c>
      <c r="AQ21" s="223"/>
      <c r="AR21" s="236">
        <v>40</v>
      </c>
      <c r="AS21" s="222">
        <v>6.03211833892518</v>
      </c>
      <c r="AT21" s="237" t="s">
        <v>55</v>
      </c>
      <c r="AU21" s="229">
        <v>0.37700739618282397</v>
      </c>
      <c r="AV21" s="230">
        <v>-75.859795967552003</v>
      </c>
      <c r="AW21" s="224"/>
      <c r="AX21" s="224"/>
      <c r="AY21" s="232">
        <v>67</v>
      </c>
      <c r="AZ21" s="232">
        <v>88</v>
      </c>
      <c r="BA21" s="223"/>
      <c r="BB21" s="240">
        <v>252.8</v>
      </c>
      <c r="BC21" s="236">
        <v>38.122987902007097</v>
      </c>
      <c r="BD21" s="237" t="s">
        <v>56</v>
      </c>
      <c r="BE21" s="234">
        <v>1.19134337193772</v>
      </c>
      <c r="BF21" s="235">
        <v>21.080408064896002</v>
      </c>
      <c r="BG21" s="224">
        <v>0.02</v>
      </c>
      <c r="BH21" s="224">
        <v>1.9E-2</v>
      </c>
      <c r="BI21" s="232">
        <v>0</v>
      </c>
      <c r="BJ21" s="232">
        <v>2</v>
      </c>
      <c r="BK21" s="225"/>
      <c r="BL21" s="241">
        <v>0.8</v>
      </c>
      <c r="BM21" s="238">
        <v>0.81</v>
      </c>
      <c r="BN21" s="242">
        <v>3.7500000000000001E-4</v>
      </c>
      <c r="BO21" s="243">
        <v>0.95</v>
      </c>
      <c r="BP21" s="234">
        <v>1</v>
      </c>
      <c r="BQ21" s="242">
        <v>2.5000000000000001E-3</v>
      </c>
    </row>
    <row r="22" spans="1:69" s="211" customFormat="1" ht="22.35" customHeight="1" x14ac:dyDescent="0.2">
      <c r="A22" s="221" t="s">
        <v>4</v>
      </c>
      <c r="B22" s="221" t="s">
        <v>65</v>
      </c>
      <c r="C22" s="221" t="s">
        <v>73</v>
      </c>
      <c r="D22" s="222">
        <v>4.3170066618888896</v>
      </c>
      <c r="E22" s="223"/>
      <c r="F22" s="224">
        <v>3.4000000000000002E-2</v>
      </c>
      <c r="G22" s="224">
        <v>0.02</v>
      </c>
      <c r="H22" s="225"/>
      <c r="I22" s="226">
        <v>5</v>
      </c>
      <c r="J22" s="226">
        <v>4</v>
      </c>
      <c r="K22" s="223"/>
      <c r="L22" s="227">
        <v>3333.9955100000002</v>
      </c>
      <c r="M22" s="227">
        <v>-863.20045000000005</v>
      </c>
      <c r="N22" s="227">
        <v>2470.7950599999999</v>
      </c>
      <c r="O22" s="222">
        <v>572.33987656598003</v>
      </c>
      <c r="P22" s="228">
        <v>242.99700000000001</v>
      </c>
      <c r="Q22" s="234">
        <v>2.3553372122535698</v>
      </c>
      <c r="R22" s="235">
        <v>1325.2655827416399</v>
      </c>
      <c r="S22" s="224">
        <v>0.01</v>
      </c>
      <c r="T22" s="224">
        <v>0.01</v>
      </c>
      <c r="U22" s="231">
        <v>0</v>
      </c>
      <c r="V22" s="232">
        <v>0</v>
      </c>
      <c r="W22" s="223"/>
      <c r="X22" s="231">
        <v>2346.31342</v>
      </c>
      <c r="Y22" s="222">
        <v>543.50470216170095</v>
      </c>
      <c r="Z22" s="233">
        <v>573</v>
      </c>
      <c r="AA22" s="238">
        <v>0.94852478562251497</v>
      </c>
      <c r="AB22" s="239">
        <v>-354.90672045046898</v>
      </c>
      <c r="AC22" s="224">
        <v>4.0000000000000001E-3</v>
      </c>
      <c r="AD22" s="224"/>
      <c r="AE22" s="232">
        <v>128</v>
      </c>
      <c r="AF22" s="232">
        <v>623</v>
      </c>
      <c r="AG22" s="223"/>
      <c r="AH22" s="236">
        <v>129.5</v>
      </c>
      <c r="AI22" s="222">
        <v>29.997637284937099</v>
      </c>
      <c r="AJ22" s="237" t="s">
        <v>54</v>
      </c>
      <c r="AK22" s="229">
        <v>0.47615297277677898</v>
      </c>
      <c r="AL22" s="230">
        <v>-167.492790311308</v>
      </c>
      <c r="AM22" s="224"/>
      <c r="AN22" s="224"/>
      <c r="AO22" s="232">
        <v>143</v>
      </c>
      <c r="AP22" s="232">
        <v>197</v>
      </c>
      <c r="AQ22" s="223"/>
      <c r="AR22" s="236">
        <v>35.1</v>
      </c>
      <c r="AS22" s="222">
        <v>8.1306337351451106</v>
      </c>
      <c r="AT22" s="237" t="s">
        <v>55</v>
      </c>
      <c r="AU22" s="229">
        <v>0.50816460844656897</v>
      </c>
      <c r="AV22" s="230">
        <v>-40.326740396522702</v>
      </c>
      <c r="AW22" s="224"/>
      <c r="AX22" s="224"/>
      <c r="AY22" s="232">
        <v>34</v>
      </c>
      <c r="AZ22" s="232">
        <v>48</v>
      </c>
      <c r="BA22" s="223"/>
      <c r="BB22" s="240">
        <v>152.4</v>
      </c>
      <c r="BC22" s="236">
        <v>35.302238781655703</v>
      </c>
      <c r="BD22" s="237" t="s">
        <v>56</v>
      </c>
      <c r="BE22" s="234">
        <v>1.10319496192674</v>
      </c>
      <c r="BF22" s="235">
        <v>1.5465192069546301</v>
      </c>
      <c r="BG22" s="224">
        <v>0.02</v>
      </c>
      <c r="BH22" s="224">
        <v>0.01</v>
      </c>
      <c r="BI22" s="232">
        <v>0</v>
      </c>
      <c r="BJ22" s="232">
        <v>14</v>
      </c>
      <c r="BK22" s="225"/>
      <c r="BL22" s="241">
        <v>0.8</v>
      </c>
      <c r="BM22" s="238">
        <v>0.81</v>
      </c>
      <c r="BN22" s="242">
        <v>3.7500000000000001E-4</v>
      </c>
      <c r="BO22" s="243">
        <v>0.95</v>
      </c>
      <c r="BP22" s="234">
        <v>1</v>
      </c>
      <c r="BQ22" s="242">
        <v>2.5000000000000001E-3</v>
      </c>
    </row>
    <row r="23" spans="1:69" s="211" customFormat="1" ht="22.35" customHeight="1" x14ac:dyDescent="0.2">
      <c r="A23" s="221" t="s">
        <v>4</v>
      </c>
      <c r="B23" s="221" t="s">
        <v>65</v>
      </c>
      <c r="C23" s="221" t="s">
        <v>74</v>
      </c>
      <c r="D23" s="222">
        <v>4.4760896213333297</v>
      </c>
      <c r="E23" s="223"/>
      <c r="F23" s="224">
        <v>0.01</v>
      </c>
      <c r="G23" s="224">
        <v>0.01</v>
      </c>
      <c r="H23" s="225"/>
      <c r="I23" s="226">
        <v>3</v>
      </c>
      <c r="J23" s="226">
        <v>3</v>
      </c>
      <c r="K23" s="223"/>
      <c r="L23" s="227">
        <v>4837.9179299999996</v>
      </c>
      <c r="M23" s="227">
        <v>2124.8075100000001</v>
      </c>
      <c r="N23" s="227">
        <v>6962.7254400000002</v>
      </c>
      <c r="O23" s="222">
        <v>1555.5375403600499</v>
      </c>
      <c r="P23" s="228">
        <v>251.20400000000001</v>
      </c>
      <c r="Q23" s="234">
        <v>6.1923279102245603</v>
      </c>
      <c r="R23" s="235">
        <v>5734.86795397674</v>
      </c>
      <c r="S23" s="224">
        <v>0.01</v>
      </c>
      <c r="T23" s="224">
        <v>0.01</v>
      </c>
      <c r="U23" s="231">
        <v>0</v>
      </c>
      <c r="V23" s="232">
        <v>0</v>
      </c>
      <c r="W23" s="223"/>
      <c r="X23" s="231">
        <v>2122.2380349999999</v>
      </c>
      <c r="Y23" s="222">
        <v>474.12769058181402</v>
      </c>
      <c r="Z23" s="233">
        <v>573</v>
      </c>
      <c r="AA23" s="244">
        <v>0.82744797658257196</v>
      </c>
      <c r="AB23" s="227">
        <v>-678.52285850220505</v>
      </c>
      <c r="AC23" s="224"/>
      <c r="AD23" s="224"/>
      <c r="AE23" s="232">
        <v>443</v>
      </c>
      <c r="AF23" s="232">
        <v>956</v>
      </c>
      <c r="AG23" s="223"/>
      <c r="AH23" s="236">
        <v>89.5</v>
      </c>
      <c r="AI23" s="222">
        <v>19.995131369451901</v>
      </c>
      <c r="AJ23" s="237" t="s">
        <v>54</v>
      </c>
      <c r="AK23" s="229">
        <v>0.31738303761034697</v>
      </c>
      <c r="AL23" s="230">
        <v>-218.437061589248</v>
      </c>
      <c r="AM23" s="224"/>
      <c r="AN23" s="224"/>
      <c r="AO23" s="232">
        <v>193</v>
      </c>
      <c r="AP23" s="232">
        <v>249</v>
      </c>
      <c r="AQ23" s="223"/>
      <c r="AR23" s="236">
        <v>17.8</v>
      </c>
      <c r="AS23" s="222">
        <v>3.97668534498596</v>
      </c>
      <c r="AT23" s="237" t="s">
        <v>55</v>
      </c>
      <c r="AU23" s="229">
        <v>0.248542834061623</v>
      </c>
      <c r="AV23" s="230">
        <v>-60.4062378639359</v>
      </c>
      <c r="AW23" s="224"/>
      <c r="AX23" s="224"/>
      <c r="AY23" s="232">
        <v>54</v>
      </c>
      <c r="AZ23" s="232">
        <v>69</v>
      </c>
      <c r="BA23" s="223"/>
      <c r="BB23" s="240">
        <v>115.6</v>
      </c>
      <c r="BC23" s="236">
        <v>25.8261138135043</v>
      </c>
      <c r="BD23" s="237" t="s">
        <v>56</v>
      </c>
      <c r="BE23" s="244">
        <v>0.80706605667200904</v>
      </c>
      <c r="BF23" s="227">
        <v>-40.812475727871899</v>
      </c>
      <c r="BG23" s="224"/>
      <c r="BH23" s="224"/>
      <c r="BI23" s="232">
        <v>28</v>
      </c>
      <c r="BJ23" s="232">
        <v>57</v>
      </c>
      <c r="BK23" s="225"/>
      <c r="BL23" s="241">
        <v>0.8</v>
      </c>
      <c r="BM23" s="238">
        <v>0.81</v>
      </c>
      <c r="BN23" s="242">
        <v>3.7500000000000001E-4</v>
      </c>
      <c r="BO23" s="243">
        <v>0.95</v>
      </c>
      <c r="BP23" s="234">
        <v>1</v>
      </c>
      <c r="BQ23" s="242">
        <v>2.5000000000000001E-3</v>
      </c>
    </row>
    <row r="24" spans="1:69" s="211" customFormat="1" ht="22.35" customHeight="1" x14ac:dyDescent="0.2">
      <c r="A24" s="221" t="s">
        <v>4</v>
      </c>
      <c r="B24" s="221" t="s">
        <v>65</v>
      </c>
      <c r="C24" s="221" t="s">
        <v>75</v>
      </c>
      <c r="D24" s="222">
        <v>5.2411436323333298</v>
      </c>
      <c r="E24" s="223"/>
      <c r="F24" s="224">
        <v>3.9E-2</v>
      </c>
      <c r="G24" s="224">
        <v>1.7999999999999999E-2</v>
      </c>
      <c r="H24" s="225"/>
      <c r="I24" s="226">
        <v>5</v>
      </c>
      <c r="J24" s="226">
        <v>5</v>
      </c>
      <c r="K24" s="223"/>
      <c r="L24" s="227">
        <v>4593.0861500000001</v>
      </c>
      <c r="M24" s="227">
        <v>3862.2051999999999</v>
      </c>
      <c r="N24" s="227">
        <v>8455.2913499999995</v>
      </c>
      <c r="O24" s="222">
        <v>1613.2531262524701</v>
      </c>
      <c r="P24" s="228">
        <v>248.62299999999999</v>
      </c>
      <c r="Q24" s="234">
        <v>6.48875255407774</v>
      </c>
      <c r="R24" s="235">
        <v>7032.3401621946396</v>
      </c>
      <c r="S24" s="224">
        <v>0.01</v>
      </c>
      <c r="T24" s="224">
        <v>0.01</v>
      </c>
      <c r="U24" s="231">
        <v>0</v>
      </c>
      <c r="V24" s="232">
        <v>0</v>
      </c>
      <c r="W24" s="223"/>
      <c r="X24" s="231">
        <v>3186.3464250000002</v>
      </c>
      <c r="Y24" s="222">
        <v>607.94869374366897</v>
      </c>
      <c r="Z24" s="233">
        <v>573</v>
      </c>
      <c r="AA24" s="238">
        <v>1.06099248471845</v>
      </c>
      <c r="AB24" s="239">
        <v>-93.121004049082302</v>
      </c>
      <c r="AC24" s="224">
        <v>1.7000000000000001E-2</v>
      </c>
      <c r="AD24" s="224">
        <v>6.0000000000000001E-3</v>
      </c>
      <c r="AE24" s="232">
        <v>0</v>
      </c>
      <c r="AF24" s="232">
        <v>418</v>
      </c>
      <c r="AG24" s="223"/>
      <c r="AH24" s="236">
        <v>240.3</v>
      </c>
      <c r="AI24" s="222">
        <v>45.8487721110248</v>
      </c>
      <c r="AJ24" s="237" t="s">
        <v>54</v>
      </c>
      <c r="AK24" s="244">
        <v>0.727758287476585</v>
      </c>
      <c r="AL24" s="227">
        <v>-120.269717330004</v>
      </c>
      <c r="AM24" s="224"/>
      <c r="AN24" s="224"/>
      <c r="AO24" s="232">
        <v>90</v>
      </c>
      <c r="AP24" s="232">
        <v>156</v>
      </c>
      <c r="AQ24" s="223"/>
      <c r="AR24" s="236">
        <v>49.1</v>
      </c>
      <c r="AS24" s="222">
        <v>9.3681843972173109</v>
      </c>
      <c r="AT24" s="237" t="s">
        <v>55</v>
      </c>
      <c r="AU24" s="229">
        <v>0.58551152482608204</v>
      </c>
      <c r="AV24" s="230">
        <v>-42.473261544127901</v>
      </c>
      <c r="AW24" s="224"/>
      <c r="AX24" s="224"/>
      <c r="AY24" s="232">
        <v>35</v>
      </c>
      <c r="AZ24" s="232">
        <v>52</v>
      </c>
      <c r="BA24" s="223"/>
      <c r="BB24" s="240">
        <v>171.6</v>
      </c>
      <c r="BC24" s="236">
        <v>32.740945877036502</v>
      </c>
      <c r="BD24" s="237" t="s">
        <v>56</v>
      </c>
      <c r="BE24" s="238">
        <v>1.02315455865739</v>
      </c>
      <c r="BF24" s="239">
        <v>-11.546523088255899</v>
      </c>
      <c r="BG24" s="224">
        <v>1.2E-2</v>
      </c>
      <c r="BH24" s="224">
        <v>2E-3</v>
      </c>
      <c r="BI24" s="232">
        <v>0</v>
      </c>
      <c r="BJ24" s="232">
        <v>30</v>
      </c>
      <c r="BK24" s="225"/>
      <c r="BL24" s="241">
        <v>0.8</v>
      </c>
      <c r="BM24" s="238">
        <v>0.84</v>
      </c>
      <c r="BN24" s="242">
        <v>1.5E-3</v>
      </c>
      <c r="BO24" s="243">
        <v>0.95</v>
      </c>
      <c r="BP24" s="234">
        <v>1</v>
      </c>
      <c r="BQ24" s="242">
        <v>2.5000000000000001E-3</v>
      </c>
    </row>
    <row r="25" spans="1:69" s="211" customFormat="1" ht="22.35" customHeight="1" x14ac:dyDescent="0.2">
      <c r="A25" s="221" t="s">
        <v>4</v>
      </c>
      <c r="B25" s="221" t="s">
        <v>65</v>
      </c>
      <c r="C25" s="221" t="s">
        <v>76</v>
      </c>
      <c r="D25" s="222">
        <v>4.2224398655555602</v>
      </c>
      <c r="E25" s="223"/>
      <c r="F25" s="224">
        <v>0.03</v>
      </c>
      <c r="G25" s="224">
        <v>2.3E-2</v>
      </c>
      <c r="H25" s="225"/>
      <c r="I25" s="226">
        <v>4</v>
      </c>
      <c r="J25" s="226">
        <v>4</v>
      </c>
      <c r="K25" s="223"/>
      <c r="L25" s="227">
        <v>780.26697999999999</v>
      </c>
      <c r="M25" s="227">
        <v>509.74955999999997</v>
      </c>
      <c r="N25" s="227">
        <v>1290.0165400000001</v>
      </c>
      <c r="O25" s="222">
        <v>305.51448477058898</v>
      </c>
      <c r="P25" s="228">
        <v>212.5</v>
      </c>
      <c r="Q25" s="234">
        <v>1.43771522244983</v>
      </c>
      <c r="R25" s="235">
        <v>310.19936919783203</v>
      </c>
      <c r="S25" s="224">
        <v>0.01</v>
      </c>
      <c r="T25" s="224">
        <v>0.01</v>
      </c>
      <c r="U25" s="231">
        <v>0</v>
      </c>
      <c r="V25" s="232">
        <v>0</v>
      </c>
      <c r="W25" s="223"/>
      <c r="X25" s="231">
        <v>1774.6279</v>
      </c>
      <c r="Y25" s="222">
        <v>420.28494342251798</v>
      </c>
      <c r="Z25" s="233">
        <v>573</v>
      </c>
      <c r="AA25" s="244">
        <v>0.73348157665360902</v>
      </c>
      <c r="AB25" s="227">
        <v>-867.42028291596296</v>
      </c>
      <c r="AC25" s="224"/>
      <c r="AD25" s="224"/>
      <c r="AE25" s="232">
        <v>645</v>
      </c>
      <c r="AF25" s="232">
        <v>1129</v>
      </c>
      <c r="AG25" s="223"/>
      <c r="AH25" s="236">
        <v>127.35</v>
      </c>
      <c r="AI25" s="222">
        <v>30.160287429752199</v>
      </c>
      <c r="AJ25" s="237" t="s">
        <v>54</v>
      </c>
      <c r="AK25" s="229">
        <v>0.47873472110717802</v>
      </c>
      <c r="AL25" s="230">
        <v>-163.13697299076</v>
      </c>
      <c r="AM25" s="224"/>
      <c r="AN25" s="224"/>
      <c r="AO25" s="232">
        <v>139</v>
      </c>
      <c r="AP25" s="232">
        <v>192</v>
      </c>
      <c r="AQ25" s="223"/>
      <c r="AR25" s="236">
        <v>34.4</v>
      </c>
      <c r="AS25" s="222">
        <v>8.1469484694423002</v>
      </c>
      <c r="AT25" s="237" t="s">
        <v>55</v>
      </c>
      <c r="AU25" s="229">
        <v>0.50918427934014399</v>
      </c>
      <c r="AV25" s="230">
        <v>-39.374469330986699</v>
      </c>
      <c r="AW25" s="224"/>
      <c r="AX25" s="224"/>
      <c r="AY25" s="232">
        <v>34</v>
      </c>
      <c r="AZ25" s="232">
        <v>47</v>
      </c>
      <c r="BA25" s="223"/>
      <c r="BB25" s="240">
        <v>152.4</v>
      </c>
      <c r="BC25" s="236">
        <v>36.092876358808297</v>
      </c>
      <c r="BD25" s="237" t="s">
        <v>56</v>
      </c>
      <c r="BE25" s="234">
        <v>1.12790238621276</v>
      </c>
      <c r="BF25" s="235">
        <v>4.8510613380265397</v>
      </c>
      <c r="BG25" s="224">
        <v>0.02</v>
      </c>
      <c r="BH25" s="224">
        <v>1.2999999999999999E-2</v>
      </c>
      <c r="BI25" s="232">
        <v>0</v>
      </c>
      <c r="BJ25" s="232">
        <v>10</v>
      </c>
      <c r="BK25" s="225"/>
      <c r="BL25" s="241">
        <v>0.8</v>
      </c>
      <c r="BM25" s="238">
        <v>0.82</v>
      </c>
      <c r="BN25" s="242">
        <v>7.5000000000000002E-4</v>
      </c>
      <c r="BO25" s="243">
        <v>0.95</v>
      </c>
      <c r="BP25" s="234">
        <v>1</v>
      </c>
      <c r="BQ25" s="242">
        <v>2.5000000000000001E-3</v>
      </c>
    </row>
    <row r="26" spans="1:69" s="211" customFormat="1" ht="22.35" customHeight="1" x14ac:dyDescent="0.2">
      <c r="A26" s="221" t="s">
        <v>4</v>
      </c>
      <c r="B26" s="221" t="s">
        <v>65</v>
      </c>
      <c r="C26" s="221" t="s">
        <v>77</v>
      </c>
      <c r="D26" s="222">
        <v>3.2460809161111102</v>
      </c>
      <c r="E26" s="223"/>
      <c r="F26" s="224">
        <v>3.1E-2</v>
      </c>
      <c r="G26" s="224">
        <v>0.03</v>
      </c>
      <c r="H26" s="225"/>
      <c r="I26" s="226">
        <v>4</v>
      </c>
      <c r="J26" s="226">
        <v>3</v>
      </c>
      <c r="K26" s="223"/>
      <c r="L26" s="227">
        <v>2890.8880300000001</v>
      </c>
      <c r="M26" s="227">
        <v>437.45783999999998</v>
      </c>
      <c r="N26" s="227">
        <v>3328.3458700000001</v>
      </c>
      <c r="O26" s="222">
        <v>1025.3428537411301</v>
      </c>
      <c r="P26" s="228">
        <v>231.042</v>
      </c>
      <c r="Q26" s="234">
        <v>4.4379067604207503</v>
      </c>
      <c r="R26" s="235">
        <v>2509.3665884940001</v>
      </c>
      <c r="S26" s="224">
        <v>0.01</v>
      </c>
      <c r="T26" s="224">
        <v>0.01</v>
      </c>
      <c r="U26" s="231">
        <v>0</v>
      </c>
      <c r="V26" s="232">
        <v>0</v>
      </c>
      <c r="W26" s="223"/>
      <c r="X26" s="231">
        <v>1706.43346</v>
      </c>
      <c r="Y26" s="222">
        <v>525.690364504022</v>
      </c>
      <c r="Z26" s="233">
        <v>573</v>
      </c>
      <c r="AA26" s="238">
        <v>0.91743519110649596</v>
      </c>
      <c r="AB26" s="239">
        <v>-324.69130650537898</v>
      </c>
      <c r="AC26" s="224">
        <v>1E-3</v>
      </c>
      <c r="AD26" s="224"/>
      <c r="AE26" s="232">
        <v>154</v>
      </c>
      <c r="AF26" s="232">
        <v>526</v>
      </c>
      <c r="AG26" s="223"/>
      <c r="AH26" s="236">
        <v>157.9</v>
      </c>
      <c r="AI26" s="222">
        <v>48.6432729437836</v>
      </c>
      <c r="AJ26" s="237" t="s">
        <v>54</v>
      </c>
      <c r="AK26" s="244">
        <v>0.77211544355212103</v>
      </c>
      <c r="AL26" s="227">
        <v>-65.417382704779897</v>
      </c>
      <c r="AM26" s="224"/>
      <c r="AN26" s="224"/>
      <c r="AO26" s="232">
        <v>47</v>
      </c>
      <c r="AP26" s="232">
        <v>88</v>
      </c>
      <c r="AQ26" s="223"/>
      <c r="AR26" s="236">
        <v>35.6</v>
      </c>
      <c r="AS26" s="222">
        <v>10.967071037357201</v>
      </c>
      <c r="AT26" s="237" t="s">
        <v>55</v>
      </c>
      <c r="AU26" s="229">
        <v>0.68544193983482304</v>
      </c>
      <c r="AV26" s="230">
        <v>-21.115525766293299</v>
      </c>
      <c r="AW26" s="224"/>
      <c r="AX26" s="224"/>
      <c r="AY26" s="232">
        <v>17</v>
      </c>
      <c r="AZ26" s="232">
        <v>27</v>
      </c>
      <c r="BA26" s="223"/>
      <c r="BB26" s="240">
        <v>141.6</v>
      </c>
      <c r="BC26" s="236">
        <v>43.621833114881298</v>
      </c>
      <c r="BD26" s="237" t="s">
        <v>56</v>
      </c>
      <c r="BE26" s="234">
        <v>1.3631822848400399</v>
      </c>
      <c r="BF26" s="235">
        <v>28.168948467413401</v>
      </c>
      <c r="BG26" s="224">
        <v>0.02</v>
      </c>
      <c r="BH26" s="224">
        <v>0.02</v>
      </c>
      <c r="BI26" s="232">
        <v>0</v>
      </c>
      <c r="BJ26" s="232">
        <v>0</v>
      </c>
      <c r="BK26" s="225"/>
      <c r="BL26" s="241">
        <v>0.8</v>
      </c>
      <c r="BM26" s="244">
        <v>0.78</v>
      </c>
      <c r="BN26" s="242"/>
      <c r="BO26" s="243">
        <v>0.95</v>
      </c>
      <c r="BP26" s="234">
        <v>1</v>
      </c>
      <c r="BQ26" s="242">
        <v>2.5000000000000001E-3</v>
      </c>
    </row>
    <row r="27" spans="1:69" s="211" customFormat="1" ht="22.35" customHeight="1" x14ac:dyDescent="0.2">
      <c r="A27" s="221" t="s">
        <v>4</v>
      </c>
      <c r="B27" s="221" t="s">
        <v>65</v>
      </c>
      <c r="C27" s="221" t="s">
        <v>78</v>
      </c>
      <c r="D27" s="222">
        <v>2.5803141951111099</v>
      </c>
      <c r="E27" s="223"/>
      <c r="F27" s="224">
        <v>2.8000000000000001E-2</v>
      </c>
      <c r="G27" s="224">
        <v>1.7000000000000001E-2</v>
      </c>
      <c r="H27" s="225"/>
      <c r="I27" s="226">
        <v>4</v>
      </c>
      <c r="J27" s="226">
        <v>4</v>
      </c>
      <c r="K27" s="223"/>
      <c r="L27" s="227">
        <v>567.50427999999999</v>
      </c>
      <c r="M27" s="227">
        <v>403.45866000000001</v>
      </c>
      <c r="N27" s="227">
        <v>970.96294</v>
      </c>
      <c r="O27" s="222">
        <v>376.29639903530801</v>
      </c>
      <c r="P27" s="228">
        <v>212.5</v>
      </c>
      <c r="Q27" s="234">
        <v>1.77080658369557</v>
      </c>
      <c r="R27" s="235">
        <v>372.201031024467</v>
      </c>
      <c r="S27" s="224">
        <v>0.01</v>
      </c>
      <c r="T27" s="224">
        <v>0.01</v>
      </c>
      <c r="U27" s="231">
        <v>0</v>
      </c>
      <c r="V27" s="232">
        <v>0</v>
      </c>
      <c r="W27" s="223"/>
      <c r="X27" s="231">
        <v>1242.4684850000001</v>
      </c>
      <c r="Y27" s="222">
        <v>481.51829236690998</v>
      </c>
      <c r="Z27" s="233">
        <v>573</v>
      </c>
      <c r="AA27" s="244">
        <v>0.84034605997715495</v>
      </c>
      <c r="AB27" s="227">
        <v>-372.07539190814299</v>
      </c>
      <c r="AC27" s="224"/>
      <c r="AD27" s="224"/>
      <c r="AE27" s="232">
        <v>237</v>
      </c>
      <c r="AF27" s="232">
        <v>532</v>
      </c>
      <c r="AG27" s="223"/>
      <c r="AH27" s="236">
        <v>138.55000000000001</v>
      </c>
      <c r="AI27" s="222">
        <v>53.695011352690699</v>
      </c>
      <c r="AJ27" s="237" t="s">
        <v>54</v>
      </c>
      <c r="AK27" s="244">
        <v>0.852301767503027</v>
      </c>
      <c r="AL27" s="227">
        <v>-38.965295366863899</v>
      </c>
      <c r="AM27" s="224"/>
      <c r="AN27" s="224"/>
      <c r="AO27" s="232">
        <v>25</v>
      </c>
      <c r="AP27" s="232">
        <v>57</v>
      </c>
      <c r="AQ27" s="223"/>
      <c r="AR27" s="236">
        <v>10.3</v>
      </c>
      <c r="AS27" s="222">
        <v>3.9917619410517098</v>
      </c>
      <c r="AT27" s="237" t="s">
        <v>55</v>
      </c>
      <c r="AU27" s="229">
        <v>0.249485121315732</v>
      </c>
      <c r="AV27" s="230">
        <v>-34.783249616981301</v>
      </c>
      <c r="AW27" s="224"/>
      <c r="AX27" s="224"/>
      <c r="AY27" s="232">
        <v>31</v>
      </c>
      <c r="AZ27" s="232">
        <v>40</v>
      </c>
      <c r="BA27" s="223"/>
      <c r="BB27" s="240">
        <v>88.4</v>
      </c>
      <c r="BC27" s="236">
        <v>34.259393746501999</v>
      </c>
      <c r="BD27" s="237" t="s">
        <v>56</v>
      </c>
      <c r="BE27" s="238">
        <v>1.0706060545781899</v>
      </c>
      <c r="BF27" s="239">
        <v>-1.76649923396262</v>
      </c>
      <c r="BG27" s="224">
        <v>1.7999999999999999E-2</v>
      </c>
      <c r="BH27" s="224">
        <v>7.0000000000000001E-3</v>
      </c>
      <c r="BI27" s="232">
        <v>0</v>
      </c>
      <c r="BJ27" s="232">
        <v>11</v>
      </c>
      <c r="BK27" s="225"/>
      <c r="BL27" s="241">
        <v>0.8</v>
      </c>
      <c r="BM27" s="238">
        <v>0.81</v>
      </c>
      <c r="BN27" s="242">
        <v>3.7500000000000001E-4</v>
      </c>
      <c r="BO27" s="243">
        <v>0.95</v>
      </c>
      <c r="BP27" s="234">
        <v>1</v>
      </c>
      <c r="BQ27" s="242">
        <v>2.5000000000000001E-3</v>
      </c>
    </row>
    <row r="28" spans="1:69" s="211" customFormat="1" ht="22.35" customHeight="1" x14ac:dyDescent="0.2">
      <c r="A28" s="221" t="s">
        <v>4</v>
      </c>
      <c r="B28" s="221" t="s">
        <v>65</v>
      </c>
      <c r="C28" s="221" t="s">
        <v>79</v>
      </c>
      <c r="D28" s="222">
        <v>9.6894159421111095</v>
      </c>
      <c r="E28" s="223"/>
      <c r="F28" s="224">
        <v>0.05</v>
      </c>
      <c r="G28" s="224">
        <v>0.05</v>
      </c>
      <c r="H28" s="225"/>
      <c r="I28" s="226">
        <v>4</v>
      </c>
      <c r="J28" s="226">
        <v>4</v>
      </c>
      <c r="K28" s="223"/>
      <c r="L28" s="227">
        <v>6569.8665700000001</v>
      </c>
      <c r="M28" s="227">
        <v>5853.5381799999996</v>
      </c>
      <c r="N28" s="227">
        <v>12423.40475</v>
      </c>
      <c r="O28" s="222">
        <v>1282.1623949496</v>
      </c>
      <c r="P28" s="228">
        <v>268.108</v>
      </c>
      <c r="Q28" s="234">
        <v>4.7822608611067201</v>
      </c>
      <c r="R28" s="235">
        <v>9586.5963070869802</v>
      </c>
      <c r="S28" s="224">
        <v>0.01</v>
      </c>
      <c r="T28" s="224">
        <v>0.01</v>
      </c>
      <c r="U28" s="231">
        <v>0</v>
      </c>
      <c r="V28" s="232">
        <v>0</v>
      </c>
      <c r="W28" s="223"/>
      <c r="X28" s="231">
        <v>6743.6315299999997</v>
      </c>
      <c r="Y28" s="222">
        <v>695.97915604918398</v>
      </c>
      <c r="Z28" s="233">
        <v>573</v>
      </c>
      <c r="AA28" s="234">
        <v>1.2146233089863601</v>
      </c>
      <c r="AB28" s="235">
        <v>680.80894436600602</v>
      </c>
      <c r="AC28" s="224">
        <v>0.02</v>
      </c>
      <c r="AD28" s="224">
        <v>0.02</v>
      </c>
      <c r="AE28" s="232">
        <v>0</v>
      </c>
      <c r="AF28" s="232">
        <v>0</v>
      </c>
      <c r="AG28" s="223"/>
      <c r="AH28" s="236">
        <v>389.2</v>
      </c>
      <c r="AI28" s="222">
        <v>40.167539749067899</v>
      </c>
      <c r="AJ28" s="237" t="s">
        <v>54</v>
      </c>
      <c r="AK28" s="229">
        <v>0.63757999601695003</v>
      </c>
      <c r="AL28" s="230">
        <v>-277.39305915347597</v>
      </c>
      <c r="AM28" s="224"/>
      <c r="AN28" s="224"/>
      <c r="AO28" s="232">
        <v>222</v>
      </c>
      <c r="AP28" s="232">
        <v>344</v>
      </c>
      <c r="AQ28" s="223"/>
      <c r="AR28" s="236">
        <v>92.1</v>
      </c>
      <c r="AS28" s="222">
        <v>9.5052168830656498</v>
      </c>
      <c r="AT28" s="237" t="s">
        <v>55</v>
      </c>
      <c r="AU28" s="229">
        <v>0.594076055191603</v>
      </c>
      <c r="AV28" s="230">
        <v>-77.1934753405653</v>
      </c>
      <c r="AW28" s="224"/>
      <c r="AX28" s="224"/>
      <c r="AY28" s="232">
        <v>63</v>
      </c>
      <c r="AZ28" s="232">
        <v>94</v>
      </c>
      <c r="BA28" s="223"/>
      <c r="BB28" s="240">
        <v>430.8</v>
      </c>
      <c r="BC28" s="236">
        <v>44.460884182678399</v>
      </c>
      <c r="BD28" s="237" t="s">
        <v>56</v>
      </c>
      <c r="BE28" s="234">
        <v>1.3894026307087</v>
      </c>
      <c r="BF28" s="235">
        <v>92.213049318869395</v>
      </c>
      <c r="BG28" s="224">
        <v>0.02</v>
      </c>
      <c r="BH28" s="224">
        <v>0.02</v>
      </c>
      <c r="BI28" s="232">
        <v>0</v>
      </c>
      <c r="BJ28" s="232">
        <v>0</v>
      </c>
      <c r="BK28" s="225"/>
      <c r="BL28" s="241">
        <v>0.8</v>
      </c>
      <c r="BM28" s="244">
        <v>0.73</v>
      </c>
      <c r="BN28" s="242"/>
      <c r="BO28" s="243">
        <v>0.95</v>
      </c>
      <c r="BP28" s="234">
        <v>1</v>
      </c>
      <c r="BQ28" s="242">
        <v>2.5000000000000001E-3</v>
      </c>
    </row>
    <row r="29" spans="1:69" s="211" customFormat="1" ht="22.35" customHeight="1" x14ac:dyDescent="0.2">
      <c r="A29" s="221" t="s">
        <v>4</v>
      </c>
      <c r="B29" s="221" t="s">
        <v>65</v>
      </c>
      <c r="C29" s="221" t="s">
        <v>80</v>
      </c>
      <c r="D29" s="222">
        <v>4.4281860372222202</v>
      </c>
      <c r="E29" s="223"/>
      <c r="F29" s="224">
        <v>2.5000000000000001E-2</v>
      </c>
      <c r="G29" s="224">
        <v>1.0999999999999999E-2</v>
      </c>
      <c r="H29" s="225"/>
      <c r="I29" s="226">
        <v>4</v>
      </c>
      <c r="J29" s="226">
        <v>3</v>
      </c>
      <c r="K29" s="223"/>
      <c r="L29" s="227">
        <v>3535.84602</v>
      </c>
      <c r="M29" s="227">
        <v>6.2009100000000004</v>
      </c>
      <c r="N29" s="227">
        <v>3542.04693</v>
      </c>
      <c r="O29" s="222">
        <v>799.88665792865095</v>
      </c>
      <c r="P29" s="228">
        <v>241.767</v>
      </c>
      <c r="Q29" s="234">
        <v>3.3085022270560098</v>
      </c>
      <c r="R29" s="235">
        <v>2372.9634650020698</v>
      </c>
      <c r="S29" s="224">
        <v>0.01</v>
      </c>
      <c r="T29" s="224">
        <v>0.01</v>
      </c>
      <c r="U29" s="231">
        <v>0</v>
      </c>
      <c r="V29" s="232">
        <v>0</v>
      </c>
      <c r="W29" s="223"/>
      <c r="X29" s="231">
        <v>2422.95847</v>
      </c>
      <c r="Y29" s="222">
        <v>547.16727112032299</v>
      </c>
      <c r="Z29" s="233">
        <v>573</v>
      </c>
      <c r="AA29" s="238">
        <v>0.95491670352586899</v>
      </c>
      <c r="AB29" s="239">
        <v>-347.82838446653898</v>
      </c>
      <c r="AC29" s="224">
        <v>5.0000000000000001E-3</v>
      </c>
      <c r="AD29" s="224"/>
      <c r="AE29" s="232">
        <v>115</v>
      </c>
      <c r="AF29" s="232">
        <v>622</v>
      </c>
      <c r="AG29" s="223"/>
      <c r="AH29" s="236">
        <v>168.9</v>
      </c>
      <c r="AI29" s="222">
        <v>38.142028943741003</v>
      </c>
      <c r="AJ29" s="237" t="s">
        <v>54</v>
      </c>
      <c r="AK29" s="229">
        <v>0.60542903085303201</v>
      </c>
      <c r="AL29" s="230">
        <v>-135.74148661673999</v>
      </c>
      <c r="AM29" s="224"/>
      <c r="AN29" s="224"/>
      <c r="AO29" s="232">
        <v>111</v>
      </c>
      <c r="AP29" s="232">
        <v>166</v>
      </c>
      <c r="AQ29" s="223"/>
      <c r="AR29" s="236">
        <v>18.5</v>
      </c>
      <c r="AS29" s="222">
        <v>4.1777829216057398</v>
      </c>
      <c r="AT29" s="237" t="s">
        <v>55</v>
      </c>
      <c r="AU29" s="229">
        <v>0.26111143260035902</v>
      </c>
      <c r="AV29" s="230">
        <v>-58.8692664423466</v>
      </c>
      <c r="AW29" s="224"/>
      <c r="AX29" s="224"/>
      <c r="AY29" s="232">
        <v>53</v>
      </c>
      <c r="AZ29" s="232">
        <v>67</v>
      </c>
      <c r="BA29" s="223"/>
      <c r="BB29" s="240">
        <v>142.19999999999999</v>
      </c>
      <c r="BC29" s="236">
        <v>32.112471970396498</v>
      </c>
      <c r="BD29" s="237" t="s">
        <v>56</v>
      </c>
      <c r="BE29" s="238">
        <v>1.0035147490748899</v>
      </c>
      <c r="BF29" s="239">
        <v>-12.5385328846933</v>
      </c>
      <c r="BG29" s="224">
        <v>0.01</v>
      </c>
      <c r="BH29" s="224">
        <v>1E-3</v>
      </c>
      <c r="BI29" s="232">
        <v>0</v>
      </c>
      <c r="BJ29" s="232">
        <v>28</v>
      </c>
      <c r="BK29" s="225"/>
      <c r="BL29" s="241">
        <v>0.8</v>
      </c>
      <c r="BM29" s="244">
        <v>0.78</v>
      </c>
      <c r="BN29" s="242"/>
      <c r="BO29" s="243">
        <v>0.95</v>
      </c>
      <c r="BP29" s="234">
        <v>1</v>
      </c>
      <c r="BQ29" s="242">
        <v>2.5000000000000001E-3</v>
      </c>
    </row>
    <row r="30" spans="1:69" s="211" customFormat="1" ht="22.35" customHeight="1" x14ac:dyDescent="0.2">
      <c r="A30" s="221" t="s">
        <v>81</v>
      </c>
      <c r="B30" s="221" t="s">
        <v>82</v>
      </c>
      <c r="C30" s="221" t="s">
        <v>83</v>
      </c>
      <c r="D30" s="222">
        <v>6.2436248350000003</v>
      </c>
      <c r="E30" s="223"/>
      <c r="F30" s="224">
        <v>2.5000000000000001E-2</v>
      </c>
      <c r="G30" s="224">
        <v>1.4E-2</v>
      </c>
      <c r="H30" s="225"/>
      <c r="I30" s="226">
        <v>3</v>
      </c>
      <c r="J30" s="226">
        <v>3</v>
      </c>
      <c r="K30" s="223"/>
      <c r="L30" s="227">
        <v>3248.8663299999998</v>
      </c>
      <c r="M30" s="227">
        <v>1849.6137699999999</v>
      </c>
      <c r="N30" s="227">
        <v>5098.4800999999998</v>
      </c>
      <c r="O30" s="222">
        <v>816.58975911226401</v>
      </c>
      <c r="P30" s="228">
        <v>244.696</v>
      </c>
      <c r="Q30" s="234">
        <v>3.3371602278429702</v>
      </c>
      <c r="R30" s="235">
        <v>3430.1333952933201</v>
      </c>
      <c r="S30" s="224">
        <v>0.01</v>
      </c>
      <c r="T30" s="224">
        <v>0.01</v>
      </c>
      <c r="U30" s="231">
        <v>0</v>
      </c>
      <c r="V30" s="232">
        <v>0</v>
      </c>
      <c r="W30" s="223"/>
      <c r="X30" s="231">
        <v>2262.3163599999998</v>
      </c>
      <c r="Y30" s="222">
        <v>362.34021418424999</v>
      </c>
      <c r="Z30" s="233">
        <v>573</v>
      </c>
      <c r="AA30" s="229">
        <v>0.63235639473690997</v>
      </c>
      <c r="AB30" s="230">
        <v>-1644.41959725686</v>
      </c>
      <c r="AC30" s="224"/>
      <c r="AD30" s="224"/>
      <c r="AE30" s="232">
        <v>1316</v>
      </c>
      <c r="AF30" s="232">
        <v>2031</v>
      </c>
      <c r="AG30" s="223"/>
      <c r="AH30" s="236">
        <v>351.2</v>
      </c>
      <c r="AI30" s="222">
        <v>56.249375848348798</v>
      </c>
      <c r="AJ30" s="237" t="s">
        <v>54</v>
      </c>
      <c r="AK30" s="244">
        <v>0.892847235688077</v>
      </c>
      <c r="AL30" s="227">
        <v>-78.336414148660097</v>
      </c>
      <c r="AM30" s="224"/>
      <c r="AN30" s="224"/>
      <c r="AO30" s="232">
        <v>43</v>
      </c>
      <c r="AP30" s="232">
        <v>121</v>
      </c>
      <c r="AQ30" s="223"/>
      <c r="AR30" s="236">
        <v>37.700000000000003</v>
      </c>
      <c r="AS30" s="222">
        <v>6.0381590816706998</v>
      </c>
      <c r="AT30" s="237" t="s">
        <v>55</v>
      </c>
      <c r="AU30" s="229">
        <v>0.37738494260441902</v>
      </c>
      <c r="AV30" s="230">
        <v>-71.388613117120002</v>
      </c>
      <c r="AW30" s="224"/>
      <c r="AX30" s="224"/>
      <c r="AY30" s="232">
        <v>63</v>
      </c>
      <c r="AZ30" s="232">
        <v>83</v>
      </c>
      <c r="BA30" s="223"/>
      <c r="BB30" s="240">
        <v>208.4</v>
      </c>
      <c r="BC30" s="236">
        <v>33.378046488598798</v>
      </c>
      <c r="BD30" s="237" t="s">
        <v>56</v>
      </c>
      <c r="BE30" s="238">
        <v>1.04306395276871</v>
      </c>
      <c r="BF30" s="239">
        <v>-9.7772262342400307</v>
      </c>
      <c r="BG30" s="224">
        <v>1.4999999999999999E-2</v>
      </c>
      <c r="BH30" s="224">
        <v>4.0000000000000001E-3</v>
      </c>
      <c r="BI30" s="232">
        <v>0</v>
      </c>
      <c r="BJ30" s="232">
        <v>32</v>
      </c>
      <c r="BK30" s="225"/>
      <c r="BL30" s="241">
        <v>0.8</v>
      </c>
      <c r="BM30" s="244">
        <v>0.74</v>
      </c>
      <c r="BN30" s="242"/>
      <c r="BO30" s="243">
        <v>0.95</v>
      </c>
      <c r="BP30" s="234">
        <v>1</v>
      </c>
      <c r="BQ30" s="242">
        <v>2.5000000000000001E-3</v>
      </c>
    </row>
    <row r="31" spans="1:69" s="211" customFormat="1" ht="22.35" customHeight="1" x14ac:dyDescent="0.2">
      <c r="A31" s="221" t="s">
        <v>81</v>
      </c>
      <c r="B31" s="221" t="s">
        <v>82</v>
      </c>
      <c r="C31" s="221" t="s">
        <v>84</v>
      </c>
      <c r="D31" s="222">
        <v>2.8402116402222202</v>
      </c>
      <c r="E31" s="223"/>
      <c r="F31" s="224">
        <v>4.2000000000000003E-2</v>
      </c>
      <c r="G31" s="224">
        <v>2.9000000000000001E-2</v>
      </c>
      <c r="H31" s="225"/>
      <c r="I31" s="226">
        <v>5</v>
      </c>
      <c r="J31" s="226">
        <v>3</v>
      </c>
      <c r="K31" s="223"/>
      <c r="L31" s="227">
        <v>1163.5511899999999</v>
      </c>
      <c r="M31" s="227">
        <v>780.40333999999996</v>
      </c>
      <c r="N31" s="227">
        <v>1943.95453</v>
      </c>
      <c r="O31" s="222">
        <v>684.44002639461803</v>
      </c>
      <c r="P31" s="228">
        <v>255.976</v>
      </c>
      <c r="Q31" s="234">
        <v>2.6738445260282901</v>
      </c>
      <c r="R31" s="235">
        <v>1150.04212181926</v>
      </c>
      <c r="S31" s="224">
        <v>0.01</v>
      </c>
      <c r="T31" s="224">
        <v>0.01</v>
      </c>
      <c r="U31" s="231">
        <v>0</v>
      </c>
      <c r="V31" s="232">
        <v>0</v>
      </c>
      <c r="W31" s="223"/>
      <c r="X31" s="231">
        <v>1935.332085</v>
      </c>
      <c r="Y31" s="222">
        <v>681.40418044641797</v>
      </c>
      <c r="Z31" s="233">
        <v>573</v>
      </c>
      <c r="AA31" s="234">
        <v>1.1891870513899101</v>
      </c>
      <c r="AB31" s="235">
        <v>158.16621832671299</v>
      </c>
      <c r="AC31" s="224">
        <v>0.02</v>
      </c>
      <c r="AD31" s="224">
        <v>1.9E-2</v>
      </c>
      <c r="AE31" s="232">
        <v>0</v>
      </c>
      <c r="AF31" s="232">
        <v>18</v>
      </c>
      <c r="AG31" s="223"/>
      <c r="AH31" s="236">
        <v>171.55</v>
      </c>
      <c r="AI31" s="222">
        <v>60.400428464752601</v>
      </c>
      <c r="AJ31" s="237" t="s">
        <v>54</v>
      </c>
      <c r="AK31" s="238">
        <v>0.95873695975797801</v>
      </c>
      <c r="AL31" s="239">
        <v>-23.8452000007279</v>
      </c>
      <c r="AM31" s="224">
        <v>5.0000000000000001E-3</v>
      </c>
      <c r="AN31" s="224"/>
      <c r="AO31" s="232">
        <v>8</v>
      </c>
      <c r="AP31" s="232">
        <v>44</v>
      </c>
      <c r="AQ31" s="223"/>
      <c r="AR31" s="236">
        <v>22.2</v>
      </c>
      <c r="AS31" s="222">
        <v>7.8163189269455398</v>
      </c>
      <c r="AT31" s="237" t="s">
        <v>55</v>
      </c>
      <c r="AU31" s="229">
        <v>0.48851993293409601</v>
      </c>
      <c r="AV31" s="230">
        <v>-27.424177777962601</v>
      </c>
      <c r="AW31" s="224"/>
      <c r="AX31" s="224"/>
      <c r="AY31" s="232">
        <v>24</v>
      </c>
      <c r="AZ31" s="232">
        <v>33</v>
      </c>
      <c r="BA31" s="223"/>
      <c r="BB31" s="240">
        <v>88.8</v>
      </c>
      <c r="BC31" s="236">
        <v>31.265275707782202</v>
      </c>
      <c r="BD31" s="237" t="s">
        <v>56</v>
      </c>
      <c r="BE31" s="238">
        <v>0.97703986586819302</v>
      </c>
      <c r="BF31" s="239">
        <v>-10.4483555559253</v>
      </c>
      <c r="BG31" s="224">
        <v>7.0000000000000001E-3</v>
      </c>
      <c r="BH31" s="224"/>
      <c r="BI31" s="232">
        <v>3</v>
      </c>
      <c r="BJ31" s="232">
        <v>21</v>
      </c>
      <c r="BK31" s="225"/>
      <c r="BL31" s="241">
        <v>0.8</v>
      </c>
      <c r="BM31" s="229">
        <v>0.67</v>
      </c>
      <c r="BN31" s="242"/>
      <c r="BO31" s="243">
        <v>0.95</v>
      </c>
      <c r="BP31" s="234">
        <v>1</v>
      </c>
      <c r="BQ31" s="242">
        <v>2.5000000000000001E-3</v>
      </c>
    </row>
    <row r="32" spans="1:69" s="211" customFormat="1" ht="22.35" customHeight="1" x14ac:dyDescent="0.2">
      <c r="A32" s="221" t="s">
        <v>81</v>
      </c>
      <c r="B32" s="221" t="s">
        <v>82</v>
      </c>
      <c r="C32" s="221" t="s">
        <v>85</v>
      </c>
      <c r="D32" s="222">
        <v>7.4919696311111101</v>
      </c>
      <c r="E32" s="223"/>
      <c r="F32" s="224">
        <v>0.01</v>
      </c>
      <c r="G32" s="224">
        <v>0.01</v>
      </c>
      <c r="H32" s="225"/>
      <c r="I32" s="226">
        <v>2</v>
      </c>
      <c r="J32" s="226">
        <v>2</v>
      </c>
      <c r="K32" s="223"/>
      <c r="L32" s="227">
        <v>5504.2335599999997</v>
      </c>
      <c r="M32" s="227">
        <v>1612.01063</v>
      </c>
      <c r="N32" s="227">
        <v>7116.2441900000003</v>
      </c>
      <c r="O32" s="222">
        <v>949.84957766634898</v>
      </c>
      <c r="P32" s="228">
        <v>282.02199999999999</v>
      </c>
      <c r="Q32" s="234">
        <v>3.3679981620807902</v>
      </c>
      <c r="R32" s="235">
        <v>4808.9571068387004</v>
      </c>
      <c r="S32" s="224">
        <v>0.01</v>
      </c>
      <c r="T32" s="224">
        <v>0.01</v>
      </c>
      <c r="U32" s="231">
        <v>0</v>
      </c>
      <c r="V32" s="232">
        <v>0</v>
      </c>
      <c r="W32" s="223"/>
      <c r="X32" s="231">
        <v>3464.2276649999999</v>
      </c>
      <c r="Y32" s="222">
        <v>462.392112564694</v>
      </c>
      <c r="Z32" s="233">
        <v>573</v>
      </c>
      <c r="AA32" s="244">
        <v>0.806967037634719</v>
      </c>
      <c r="AB32" s="227">
        <v>-1223.61760470032</v>
      </c>
      <c r="AC32" s="224"/>
      <c r="AD32" s="224"/>
      <c r="AE32" s="232">
        <v>829</v>
      </c>
      <c r="AF32" s="232">
        <v>1688</v>
      </c>
      <c r="AG32" s="223"/>
      <c r="AH32" s="236">
        <v>231.8</v>
      </c>
      <c r="AI32" s="222">
        <v>30.939794394978399</v>
      </c>
      <c r="AJ32" s="237" t="s">
        <v>54</v>
      </c>
      <c r="AK32" s="229">
        <v>0.49110784753934</v>
      </c>
      <c r="AL32" s="230">
        <v>-283.61754274191998</v>
      </c>
      <c r="AM32" s="224"/>
      <c r="AN32" s="224"/>
      <c r="AO32" s="232">
        <v>241</v>
      </c>
      <c r="AP32" s="232">
        <v>335</v>
      </c>
      <c r="AQ32" s="223"/>
      <c r="AR32" s="236">
        <v>45.2</v>
      </c>
      <c r="AS32" s="222">
        <v>6.0331264307723202</v>
      </c>
      <c r="AT32" s="237" t="s">
        <v>55</v>
      </c>
      <c r="AU32" s="229">
        <v>0.37707040192327002</v>
      </c>
      <c r="AV32" s="230">
        <v>-85.699693394773305</v>
      </c>
      <c r="AW32" s="224"/>
      <c r="AX32" s="224"/>
      <c r="AY32" s="232">
        <v>75</v>
      </c>
      <c r="AZ32" s="232">
        <v>99</v>
      </c>
      <c r="BA32" s="223"/>
      <c r="BB32" s="240">
        <v>178</v>
      </c>
      <c r="BC32" s="236">
        <v>23.758772227377701</v>
      </c>
      <c r="BD32" s="237" t="s">
        <v>56</v>
      </c>
      <c r="BE32" s="244">
        <v>0.74246163210555405</v>
      </c>
      <c r="BF32" s="227">
        <v>-83.799386789546602</v>
      </c>
      <c r="BG32" s="224"/>
      <c r="BH32" s="224"/>
      <c r="BI32" s="232">
        <v>62</v>
      </c>
      <c r="BJ32" s="232">
        <v>110</v>
      </c>
      <c r="BK32" s="225"/>
      <c r="BL32" s="241">
        <v>0.8</v>
      </c>
      <c r="BM32" s="229">
        <v>0.69</v>
      </c>
      <c r="BN32" s="242"/>
      <c r="BO32" s="243">
        <v>0.95</v>
      </c>
      <c r="BP32" s="234">
        <v>1</v>
      </c>
      <c r="BQ32" s="242">
        <v>2.5000000000000001E-3</v>
      </c>
    </row>
    <row r="33" spans="1:69" s="211" customFormat="1" ht="22.35" customHeight="1" x14ac:dyDescent="0.2">
      <c r="A33" s="221" t="s">
        <v>81</v>
      </c>
      <c r="B33" s="221" t="s">
        <v>82</v>
      </c>
      <c r="C33" s="221" t="s">
        <v>86</v>
      </c>
      <c r="D33" s="222">
        <v>8.0712319791111096</v>
      </c>
      <c r="E33" s="223"/>
      <c r="F33" s="224">
        <v>0.03</v>
      </c>
      <c r="G33" s="224">
        <v>0.02</v>
      </c>
      <c r="H33" s="225"/>
      <c r="I33" s="226">
        <v>3</v>
      </c>
      <c r="J33" s="226">
        <v>3</v>
      </c>
      <c r="K33" s="223"/>
      <c r="L33" s="227">
        <v>3706.5583200000001</v>
      </c>
      <c r="M33" s="227">
        <v>4222.6799600000004</v>
      </c>
      <c r="N33" s="227">
        <v>7929.2382799999996</v>
      </c>
      <c r="O33" s="222">
        <v>982.407431792495</v>
      </c>
      <c r="P33" s="228">
        <v>276.94400000000002</v>
      </c>
      <c r="Q33" s="234">
        <v>3.5473143732758099</v>
      </c>
      <c r="R33" s="235">
        <v>5488.3133180085397</v>
      </c>
      <c r="S33" s="224">
        <v>0.01</v>
      </c>
      <c r="T33" s="224">
        <v>0.01</v>
      </c>
      <c r="U33" s="231">
        <v>0</v>
      </c>
      <c r="V33" s="232">
        <v>0</v>
      </c>
      <c r="W33" s="223"/>
      <c r="X33" s="231">
        <v>3939.0106700000001</v>
      </c>
      <c r="Y33" s="222">
        <v>488.03090782106398</v>
      </c>
      <c r="Z33" s="233">
        <v>573</v>
      </c>
      <c r="AA33" s="244">
        <v>0.85171188101407302</v>
      </c>
      <c r="AB33" s="227">
        <v>-1111.28831904149</v>
      </c>
      <c r="AC33" s="224"/>
      <c r="AD33" s="224"/>
      <c r="AE33" s="232">
        <v>686</v>
      </c>
      <c r="AF33" s="232">
        <v>1611</v>
      </c>
      <c r="AG33" s="223"/>
      <c r="AH33" s="236">
        <v>353.65</v>
      </c>
      <c r="AI33" s="222">
        <v>43.8161114579868</v>
      </c>
      <c r="AJ33" s="237" t="s">
        <v>54</v>
      </c>
      <c r="AK33" s="229">
        <v>0.69549383266645703</v>
      </c>
      <c r="AL33" s="230">
        <v>-201.61847523492801</v>
      </c>
      <c r="AM33" s="224"/>
      <c r="AN33" s="224"/>
      <c r="AO33" s="232">
        <v>155</v>
      </c>
      <c r="AP33" s="232">
        <v>257</v>
      </c>
      <c r="AQ33" s="223"/>
      <c r="AR33" s="236">
        <v>61.6</v>
      </c>
      <c r="AS33" s="222">
        <v>7.6320442975031497</v>
      </c>
      <c r="AT33" s="237" t="s">
        <v>55</v>
      </c>
      <c r="AU33" s="229">
        <v>0.47700276859394702</v>
      </c>
      <c r="AV33" s="230">
        <v>-79.420565139029307</v>
      </c>
      <c r="AW33" s="224"/>
      <c r="AX33" s="224"/>
      <c r="AY33" s="232">
        <v>68</v>
      </c>
      <c r="AZ33" s="232">
        <v>94</v>
      </c>
      <c r="BA33" s="223"/>
      <c r="BB33" s="240">
        <v>283.8</v>
      </c>
      <c r="BC33" s="236">
        <v>35.161918370639498</v>
      </c>
      <c r="BD33" s="237" t="s">
        <v>56</v>
      </c>
      <c r="BE33" s="234">
        <v>1.0988099490824801</v>
      </c>
      <c r="BF33" s="235">
        <v>1.75886972194138</v>
      </c>
      <c r="BG33" s="224">
        <v>0.02</v>
      </c>
      <c r="BH33" s="224">
        <v>0.01</v>
      </c>
      <c r="BI33" s="232">
        <v>0</v>
      </c>
      <c r="BJ33" s="232">
        <v>27</v>
      </c>
      <c r="BK33" s="225"/>
      <c r="BL33" s="241">
        <v>0.8</v>
      </c>
      <c r="BM33" s="229">
        <v>0.65</v>
      </c>
      <c r="BN33" s="242"/>
      <c r="BO33" s="243">
        <v>0.95</v>
      </c>
      <c r="BP33" s="234">
        <v>1</v>
      </c>
      <c r="BQ33" s="242">
        <v>2.5000000000000001E-3</v>
      </c>
    </row>
    <row r="34" spans="1:69" s="211" customFormat="1" ht="22.35" customHeight="1" x14ac:dyDescent="0.2">
      <c r="A34" s="221" t="s">
        <v>81</v>
      </c>
      <c r="B34" s="221" t="s">
        <v>82</v>
      </c>
      <c r="C34" s="221" t="s">
        <v>87</v>
      </c>
      <c r="D34" s="222">
        <v>1.4323658323333299</v>
      </c>
      <c r="E34" s="223"/>
      <c r="F34" s="224">
        <v>0.01</v>
      </c>
      <c r="G34" s="224">
        <v>0.01</v>
      </c>
      <c r="H34" s="225"/>
      <c r="I34" s="226">
        <v>3</v>
      </c>
      <c r="J34" s="226">
        <v>3</v>
      </c>
      <c r="K34" s="223"/>
      <c r="L34" s="227">
        <v>1280.3933300000001</v>
      </c>
      <c r="M34" s="227">
        <v>-22.667369999999998</v>
      </c>
      <c r="N34" s="227">
        <v>1257.72596</v>
      </c>
      <c r="O34" s="222">
        <v>878.07592977218405</v>
      </c>
      <c r="P34" s="228">
        <v>276.94400000000002</v>
      </c>
      <c r="Q34" s="234">
        <v>3.1705901906962599</v>
      </c>
      <c r="R34" s="235">
        <v>824.54580560786405</v>
      </c>
      <c r="S34" s="224">
        <v>0.01</v>
      </c>
      <c r="T34" s="224">
        <v>0.01</v>
      </c>
      <c r="U34" s="231">
        <v>0</v>
      </c>
      <c r="V34" s="232">
        <v>0</v>
      </c>
      <c r="W34" s="223"/>
      <c r="X34" s="231">
        <v>434.900645</v>
      </c>
      <c r="Y34" s="222">
        <v>303.62400106371098</v>
      </c>
      <c r="Z34" s="233">
        <v>573</v>
      </c>
      <c r="AA34" s="229">
        <v>0.529884818610317</v>
      </c>
      <c r="AB34" s="230">
        <v>-461.35357414428199</v>
      </c>
      <c r="AC34" s="224"/>
      <c r="AD34" s="224"/>
      <c r="AE34" s="232">
        <v>386</v>
      </c>
      <c r="AF34" s="232">
        <v>550</v>
      </c>
      <c r="AG34" s="223"/>
      <c r="AH34" s="236">
        <v>30.3</v>
      </c>
      <c r="AI34" s="222">
        <v>21.1538137227422</v>
      </c>
      <c r="AJ34" s="237" t="s">
        <v>54</v>
      </c>
      <c r="AK34" s="229">
        <v>0.335774820995909</v>
      </c>
      <c r="AL34" s="230">
        <v>-68.241039801203797</v>
      </c>
      <c r="AM34" s="224"/>
      <c r="AN34" s="224"/>
      <c r="AO34" s="232">
        <v>60</v>
      </c>
      <c r="AP34" s="232">
        <v>78</v>
      </c>
      <c r="AQ34" s="223"/>
      <c r="AR34" s="236">
        <v>4.8</v>
      </c>
      <c r="AS34" s="222">
        <v>3.3510992036027298</v>
      </c>
      <c r="AT34" s="237" t="s">
        <v>55</v>
      </c>
      <c r="AU34" s="229">
        <v>0.209443700225171</v>
      </c>
      <c r="AV34" s="230">
        <v>-20.226295822527899</v>
      </c>
      <c r="AW34" s="224"/>
      <c r="AX34" s="224"/>
      <c r="AY34" s="232">
        <v>19</v>
      </c>
      <c r="AZ34" s="232">
        <v>23</v>
      </c>
      <c r="BA34" s="223"/>
      <c r="BB34" s="240">
        <v>27.4</v>
      </c>
      <c r="BC34" s="236">
        <v>19.129191287232299</v>
      </c>
      <c r="BD34" s="237" t="s">
        <v>56</v>
      </c>
      <c r="BE34" s="229">
        <v>0.59778722772600801</v>
      </c>
      <c r="BF34" s="230">
        <v>-22.6525916450559</v>
      </c>
      <c r="BG34" s="224"/>
      <c r="BH34" s="224"/>
      <c r="BI34" s="232">
        <v>19</v>
      </c>
      <c r="BJ34" s="232">
        <v>28</v>
      </c>
      <c r="BK34" s="225"/>
      <c r="BL34" s="241">
        <v>0.8</v>
      </c>
      <c r="BM34" s="238">
        <v>0.81</v>
      </c>
      <c r="BN34" s="242">
        <v>3.7500000000000001E-4</v>
      </c>
      <c r="BO34" s="243">
        <v>0.95</v>
      </c>
      <c r="BP34" s="234">
        <v>1</v>
      </c>
      <c r="BQ34" s="242">
        <v>2.5000000000000001E-3</v>
      </c>
    </row>
    <row r="35" spans="1:69" s="211" customFormat="1" ht="22.35" customHeight="1" x14ac:dyDescent="0.2">
      <c r="A35" s="221" t="s">
        <v>81</v>
      </c>
      <c r="B35" s="221" t="s">
        <v>82</v>
      </c>
      <c r="C35" s="221" t="s">
        <v>88</v>
      </c>
      <c r="D35" s="222">
        <v>2.4192814678888901</v>
      </c>
      <c r="E35" s="223"/>
      <c r="F35" s="224">
        <v>3.7999999999999999E-2</v>
      </c>
      <c r="G35" s="224">
        <v>2.3E-2</v>
      </c>
      <c r="H35" s="225"/>
      <c r="I35" s="226">
        <v>4</v>
      </c>
      <c r="J35" s="226">
        <v>3</v>
      </c>
      <c r="K35" s="223"/>
      <c r="L35" s="227">
        <v>1550.0249899999999</v>
      </c>
      <c r="M35" s="227">
        <v>639.32248000000004</v>
      </c>
      <c r="N35" s="227">
        <v>2189.3474700000002</v>
      </c>
      <c r="O35" s="222">
        <v>904.95773189651504</v>
      </c>
      <c r="P35" s="228">
        <v>237.21100000000001</v>
      </c>
      <c r="Q35" s="234">
        <v>3.8149905860036601</v>
      </c>
      <c r="R35" s="235">
        <v>1562.6703175028999</v>
      </c>
      <c r="S35" s="224">
        <v>0.01</v>
      </c>
      <c r="T35" s="224">
        <v>0.01</v>
      </c>
      <c r="U35" s="231">
        <v>0</v>
      </c>
      <c r="V35" s="232">
        <v>0</v>
      </c>
      <c r="W35" s="223"/>
      <c r="X35" s="231">
        <v>1570.8900349999999</v>
      </c>
      <c r="Y35" s="222">
        <v>649.32090616590699</v>
      </c>
      <c r="Z35" s="233">
        <v>573</v>
      </c>
      <c r="AA35" s="234">
        <v>1.13319529871886</v>
      </c>
      <c r="AB35" s="235">
        <v>57.106912038435198</v>
      </c>
      <c r="AC35" s="224">
        <v>0.02</v>
      </c>
      <c r="AD35" s="224">
        <v>1.2999999999999999E-2</v>
      </c>
      <c r="AE35" s="232">
        <v>0</v>
      </c>
      <c r="AF35" s="232">
        <v>93</v>
      </c>
      <c r="AG35" s="223"/>
      <c r="AH35" s="236">
        <v>149.69999999999999</v>
      </c>
      <c r="AI35" s="222">
        <v>61.8778765459775</v>
      </c>
      <c r="AJ35" s="237" t="s">
        <v>54</v>
      </c>
      <c r="AK35" s="238">
        <v>0.98218851660281803</v>
      </c>
      <c r="AL35" s="239">
        <v>-16.7368878648841</v>
      </c>
      <c r="AM35" s="224">
        <v>8.0000000000000002E-3</v>
      </c>
      <c r="AN35" s="224"/>
      <c r="AO35" s="232">
        <v>3</v>
      </c>
      <c r="AP35" s="232">
        <v>34</v>
      </c>
      <c r="AQ35" s="223"/>
      <c r="AR35" s="236">
        <v>24.4</v>
      </c>
      <c r="AS35" s="222">
        <v>10.0856391965387</v>
      </c>
      <c r="AT35" s="237" t="s">
        <v>55</v>
      </c>
      <c r="AU35" s="229">
        <v>0.630352449783672</v>
      </c>
      <c r="AV35" s="230">
        <v>-17.869685806954699</v>
      </c>
      <c r="AW35" s="224"/>
      <c r="AX35" s="224"/>
      <c r="AY35" s="232">
        <v>15</v>
      </c>
      <c r="AZ35" s="232">
        <v>23</v>
      </c>
      <c r="BA35" s="223"/>
      <c r="BB35" s="240">
        <v>68.2</v>
      </c>
      <c r="BC35" s="236">
        <v>28.190188246063201</v>
      </c>
      <c r="BD35" s="237" t="s">
        <v>56</v>
      </c>
      <c r="BE35" s="244">
        <v>0.88094338268947603</v>
      </c>
      <c r="BF35" s="227">
        <v>-16.3393716139094</v>
      </c>
      <c r="BG35" s="224"/>
      <c r="BH35" s="224"/>
      <c r="BI35" s="232">
        <v>10</v>
      </c>
      <c r="BJ35" s="232">
        <v>25</v>
      </c>
      <c r="BK35" s="225"/>
      <c r="BL35" s="241">
        <v>0.8</v>
      </c>
      <c r="BM35" s="229">
        <v>0.64</v>
      </c>
      <c r="BN35" s="242"/>
      <c r="BO35" s="243">
        <v>0.95</v>
      </c>
      <c r="BP35" s="234">
        <v>1</v>
      </c>
      <c r="BQ35" s="242">
        <v>2.5000000000000001E-3</v>
      </c>
    </row>
    <row r="36" spans="1:69" s="211" customFormat="1" ht="22.35" customHeight="1" x14ac:dyDescent="0.2">
      <c r="A36" s="221" t="s">
        <v>81</v>
      </c>
      <c r="B36" s="221" t="s">
        <v>82</v>
      </c>
      <c r="C36" s="221" t="s">
        <v>89</v>
      </c>
      <c r="D36" s="222">
        <v>2.4492784859999999</v>
      </c>
      <c r="E36" s="223"/>
      <c r="F36" s="224">
        <v>0.03</v>
      </c>
      <c r="G36" s="224">
        <v>2.9000000000000001E-2</v>
      </c>
      <c r="H36" s="225"/>
      <c r="I36" s="226">
        <v>3</v>
      </c>
      <c r="J36" s="226">
        <v>3</v>
      </c>
      <c r="K36" s="223"/>
      <c r="L36" s="227">
        <v>1200.03495</v>
      </c>
      <c r="M36" s="227">
        <v>2091.0634</v>
      </c>
      <c r="N36" s="227">
        <v>3291.0983500000002</v>
      </c>
      <c r="O36" s="222">
        <v>1343.70116293913</v>
      </c>
      <c r="P36" s="228">
        <v>282.02199999999999</v>
      </c>
      <c r="Q36" s="234">
        <v>4.7645260403058298</v>
      </c>
      <c r="R36" s="235">
        <v>2536.7988944408698</v>
      </c>
      <c r="S36" s="224">
        <v>0.01</v>
      </c>
      <c r="T36" s="224">
        <v>0.01</v>
      </c>
      <c r="U36" s="231">
        <v>0</v>
      </c>
      <c r="V36" s="232">
        <v>0</v>
      </c>
      <c r="W36" s="223"/>
      <c r="X36" s="231">
        <v>1176.94487</v>
      </c>
      <c r="Y36" s="222">
        <v>480.52717431985798</v>
      </c>
      <c r="Z36" s="233">
        <v>573</v>
      </c>
      <c r="AA36" s="244">
        <v>0.83861636006955997</v>
      </c>
      <c r="AB36" s="227">
        <v>-355.607867145976</v>
      </c>
      <c r="AC36" s="224"/>
      <c r="AD36" s="224"/>
      <c r="AE36" s="232">
        <v>227</v>
      </c>
      <c r="AF36" s="232">
        <v>508</v>
      </c>
      <c r="AG36" s="223"/>
      <c r="AH36" s="236">
        <v>139.4</v>
      </c>
      <c r="AI36" s="222">
        <v>56.914720313270202</v>
      </c>
      <c r="AJ36" s="237" t="s">
        <v>54</v>
      </c>
      <c r="AK36" s="244">
        <v>0.90340825894079702</v>
      </c>
      <c r="AL36" s="227">
        <v>-29.100562722856001</v>
      </c>
      <c r="AM36" s="224"/>
      <c r="AN36" s="224"/>
      <c r="AO36" s="232">
        <v>15</v>
      </c>
      <c r="AP36" s="232">
        <v>46</v>
      </c>
      <c r="AQ36" s="223"/>
      <c r="AR36" s="236">
        <v>15.6</v>
      </c>
      <c r="AS36" s="222">
        <v>6.3692226462483204</v>
      </c>
      <c r="AT36" s="237" t="s">
        <v>55</v>
      </c>
      <c r="AU36" s="229">
        <v>0.39807641539052002</v>
      </c>
      <c r="AV36" s="230">
        <v>-27.193793707392</v>
      </c>
      <c r="AW36" s="224"/>
      <c r="AX36" s="224"/>
      <c r="AY36" s="232">
        <v>24</v>
      </c>
      <c r="AZ36" s="232">
        <v>32</v>
      </c>
      <c r="BA36" s="223"/>
      <c r="BB36" s="240">
        <v>93.6</v>
      </c>
      <c r="BC36" s="236">
        <v>38.215335877489899</v>
      </c>
      <c r="BD36" s="237" t="s">
        <v>56</v>
      </c>
      <c r="BE36" s="234">
        <v>1.19422924617156</v>
      </c>
      <c r="BF36" s="235">
        <v>8.0124125852160102</v>
      </c>
      <c r="BG36" s="224">
        <v>0.02</v>
      </c>
      <c r="BH36" s="224">
        <v>1.9E-2</v>
      </c>
      <c r="BI36" s="232">
        <v>0</v>
      </c>
      <c r="BJ36" s="232">
        <v>1</v>
      </c>
      <c r="BK36" s="225"/>
      <c r="BL36" s="241">
        <v>0.8</v>
      </c>
      <c r="BM36" s="244">
        <v>0.76</v>
      </c>
      <c r="BN36" s="242"/>
      <c r="BO36" s="243">
        <v>0.95</v>
      </c>
      <c r="BP36" s="234">
        <v>1</v>
      </c>
      <c r="BQ36" s="242">
        <v>2.5000000000000001E-3</v>
      </c>
    </row>
    <row r="37" spans="1:69" s="211" customFormat="1" ht="22.35" customHeight="1" x14ac:dyDescent="0.2">
      <c r="A37" s="221" t="s">
        <v>81</v>
      </c>
      <c r="B37" s="221" t="s">
        <v>82</v>
      </c>
      <c r="C37" s="221" t="s">
        <v>90</v>
      </c>
      <c r="D37" s="222">
        <v>3.7485407748888901</v>
      </c>
      <c r="E37" s="223"/>
      <c r="F37" s="224">
        <v>2.8000000000000001E-2</v>
      </c>
      <c r="G37" s="224">
        <v>1.7000000000000001E-2</v>
      </c>
      <c r="H37" s="225"/>
      <c r="I37" s="226">
        <v>2</v>
      </c>
      <c r="J37" s="226">
        <v>2</v>
      </c>
      <c r="K37" s="223"/>
      <c r="L37" s="227">
        <v>1043.1998000000001</v>
      </c>
      <c r="M37" s="227">
        <v>1898.29962</v>
      </c>
      <c r="N37" s="227">
        <v>2941.4994200000001</v>
      </c>
      <c r="O37" s="222">
        <v>784.70519507345898</v>
      </c>
      <c r="P37" s="228">
        <v>231.66</v>
      </c>
      <c r="Q37" s="234">
        <v>3.3873141460479101</v>
      </c>
      <c r="R37" s="235">
        <v>1993.2208641454499</v>
      </c>
      <c r="S37" s="224">
        <v>0.01</v>
      </c>
      <c r="T37" s="224">
        <v>0.01</v>
      </c>
      <c r="U37" s="231">
        <v>0</v>
      </c>
      <c r="V37" s="232">
        <v>0</v>
      </c>
      <c r="W37" s="223"/>
      <c r="X37" s="231">
        <v>2297.4682699999998</v>
      </c>
      <c r="Y37" s="222">
        <v>612.89669980129804</v>
      </c>
      <c r="Z37" s="233">
        <v>573</v>
      </c>
      <c r="AA37" s="238">
        <v>1.06962774834432</v>
      </c>
      <c r="AB37" s="239">
        <v>-48.053669500377097</v>
      </c>
      <c r="AC37" s="224">
        <v>1.7999999999999999E-2</v>
      </c>
      <c r="AD37" s="224">
        <v>7.0000000000000001E-3</v>
      </c>
      <c r="AE37" s="232">
        <v>0</v>
      </c>
      <c r="AF37" s="232">
        <v>281</v>
      </c>
      <c r="AG37" s="223"/>
      <c r="AH37" s="236">
        <v>195.2</v>
      </c>
      <c r="AI37" s="222">
        <v>52.073596559926997</v>
      </c>
      <c r="AJ37" s="237" t="s">
        <v>54</v>
      </c>
      <c r="AK37" s="244">
        <v>0.826565024760745</v>
      </c>
      <c r="AL37" s="227">
        <v>-62.684611149256099</v>
      </c>
      <c r="AM37" s="224"/>
      <c r="AN37" s="224"/>
      <c r="AO37" s="232">
        <v>41</v>
      </c>
      <c r="AP37" s="232">
        <v>89</v>
      </c>
      <c r="AQ37" s="223"/>
      <c r="AR37" s="236">
        <v>18.100000000000001</v>
      </c>
      <c r="AS37" s="222">
        <v>4.8285455826571599</v>
      </c>
      <c r="AT37" s="237" t="s">
        <v>55</v>
      </c>
      <c r="AU37" s="229">
        <v>0.301784098916072</v>
      </c>
      <c r="AV37" s="230">
        <v>-47.394504418858702</v>
      </c>
      <c r="AW37" s="224"/>
      <c r="AX37" s="224"/>
      <c r="AY37" s="232">
        <v>42</v>
      </c>
      <c r="AZ37" s="232">
        <v>54</v>
      </c>
      <c r="BA37" s="223"/>
      <c r="BB37" s="240">
        <v>95</v>
      </c>
      <c r="BC37" s="236">
        <v>25.343195047095598</v>
      </c>
      <c r="BD37" s="237" t="s">
        <v>56</v>
      </c>
      <c r="BE37" s="244">
        <v>0.791974845221737</v>
      </c>
      <c r="BF37" s="227">
        <v>-35.9890088377174</v>
      </c>
      <c r="BG37" s="224"/>
      <c r="BH37" s="224"/>
      <c r="BI37" s="232">
        <v>25</v>
      </c>
      <c r="BJ37" s="232">
        <v>49</v>
      </c>
      <c r="BK37" s="225"/>
      <c r="BL37" s="241">
        <v>0.8</v>
      </c>
      <c r="BM37" s="229">
        <v>0.67</v>
      </c>
      <c r="BN37" s="242"/>
      <c r="BO37" s="243">
        <v>0.95</v>
      </c>
      <c r="BP37" s="244">
        <v>0.94</v>
      </c>
      <c r="BQ37" s="242"/>
    </row>
    <row r="38" spans="1:69" s="211" customFormat="1" ht="22.35" customHeight="1" x14ac:dyDescent="0.2">
      <c r="A38" s="221" t="s">
        <v>81</v>
      </c>
      <c r="B38" s="221" t="s">
        <v>82</v>
      </c>
      <c r="C38" s="221" t="s">
        <v>91</v>
      </c>
      <c r="D38" s="222">
        <v>5.80392696766667</v>
      </c>
      <c r="E38" s="223"/>
      <c r="F38" s="224">
        <v>2.1000000000000001E-2</v>
      </c>
      <c r="G38" s="224">
        <v>1.0999999999999999E-2</v>
      </c>
      <c r="H38" s="225"/>
      <c r="I38" s="226">
        <v>2</v>
      </c>
      <c r="J38" s="226">
        <v>2</v>
      </c>
      <c r="K38" s="223"/>
      <c r="L38" s="227">
        <v>788.31001000000003</v>
      </c>
      <c r="M38" s="227">
        <v>1131.4118100000001</v>
      </c>
      <c r="N38" s="227">
        <v>1919.72182</v>
      </c>
      <c r="O38" s="222">
        <v>330.76257346011698</v>
      </c>
      <c r="P38" s="228">
        <v>236.59800000000001</v>
      </c>
      <c r="Q38" s="234">
        <v>1.39799395371101</v>
      </c>
      <c r="R38" s="235">
        <v>420.190136135969</v>
      </c>
      <c r="S38" s="224">
        <v>0.01</v>
      </c>
      <c r="T38" s="224">
        <v>0.01</v>
      </c>
      <c r="U38" s="231">
        <v>0</v>
      </c>
      <c r="V38" s="232">
        <v>0</v>
      </c>
      <c r="W38" s="223"/>
      <c r="X38" s="231">
        <v>3349.5492949999998</v>
      </c>
      <c r="Y38" s="222">
        <v>577.117753834626</v>
      </c>
      <c r="Z38" s="233">
        <v>573</v>
      </c>
      <c r="AA38" s="238">
        <v>1.00718630686671</v>
      </c>
      <c r="AB38" s="239">
        <v>-282.06067150051803</v>
      </c>
      <c r="AC38" s="224">
        <v>1.0999999999999999E-2</v>
      </c>
      <c r="AD38" s="224">
        <v>1E-3</v>
      </c>
      <c r="AE38" s="232">
        <v>0</v>
      </c>
      <c r="AF38" s="232">
        <v>642</v>
      </c>
      <c r="AG38" s="223"/>
      <c r="AH38" s="236">
        <v>267.25</v>
      </c>
      <c r="AI38" s="222">
        <v>46.046409868496603</v>
      </c>
      <c r="AJ38" s="237" t="s">
        <v>54</v>
      </c>
      <c r="AK38" s="244">
        <v>0.73089539473804099</v>
      </c>
      <c r="AL38" s="227">
        <v>-132.03695966759599</v>
      </c>
      <c r="AM38" s="224"/>
      <c r="AN38" s="224"/>
      <c r="AO38" s="232">
        <v>99</v>
      </c>
      <c r="AP38" s="232">
        <v>172</v>
      </c>
      <c r="AQ38" s="223"/>
      <c r="AR38" s="236">
        <v>40.5</v>
      </c>
      <c r="AS38" s="222">
        <v>6.9780340492950899</v>
      </c>
      <c r="AT38" s="237" t="s">
        <v>55</v>
      </c>
      <c r="AU38" s="229">
        <v>0.43612712808094301</v>
      </c>
      <c r="AV38" s="230">
        <v>-60.906211979072097</v>
      </c>
      <c r="AW38" s="224"/>
      <c r="AX38" s="224"/>
      <c r="AY38" s="232">
        <v>53</v>
      </c>
      <c r="AZ38" s="232">
        <v>71</v>
      </c>
      <c r="BA38" s="223"/>
      <c r="BB38" s="240">
        <v>163.19999999999999</v>
      </c>
      <c r="BC38" s="236">
        <v>28.118892761603899</v>
      </c>
      <c r="BD38" s="237" t="s">
        <v>56</v>
      </c>
      <c r="BE38" s="244">
        <v>0.87871539880012195</v>
      </c>
      <c r="BF38" s="227">
        <v>-39.612423958144099</v>
      </c>
      <c r="BG38" s="224"/>
      <c r="BH38" s="224"/>
      <c r="BI38" s="232">
        <v>23</v>
      </c>
      <c r="BJ38" s="232">
        <v>60</v>
      </c>
      <c r="BK38" s="225"/>
      <c r="BL38" s="241">
        <v>0.8</v>
      </c>
      <c r="BM38" s="229">
        <v>0.68</v>
      </c>
      <c r="BN38" s="242"/>
      <c r="BO38" s="243">
        <v>0.95</v>
      </c>
      <c r="BP38" s="244">
        <v>0.88</v>
      </c>
      <c r="BQ38" s="242"/>
    </row>
    <row r="39" spans="1:69" s="211" customFormat="1" ht="22.35" customHeight="1" x14ac:dyDescent="0.2">
      <c r="A39" s="221" t="s">
        <v>81</v>
      </c>
      <c r="B39" s="221" t="s">
        <v>82</v>
      </c>
      <c r="C39" s="221" t="s">
        <v>92</v>
      </c>
      <c r="D39" s="222">
        <v>2.9206349206666702</v>
      </c>
      <c r="E39" s="223"/>
      <c r="F39" s="224">
        <v>2.3E-2</v>
      </c>
      <c r="G39" s="224">
        <v>1.2999999999999999E-2</v>
      </c>
      <c r="H39" s="225"/>
      <c r="I39" s="226">
        <v>3</v>
      </c>
      <c r="J39" s="226">
        <v>3</v>
      </c>
      <c r="K39" s="223"/>
      <c r="L39" s="227">
        <v>1574.1693299999999</v>
      </c>
      <c r="M39" s="227">
        <v>1694.03964</v>
      </c>
      <c r="N39" s="227">
        <v>3268.2089700000001</v>
      </c>
      <c r="O39" s="222">
        <v>1119.0063321074001</v>
      </c>
      <c r="P39" s="228">
        <v>240.53200000000001</v>
      </c>
      <c r="Q39" s="234">
        <v>4.6522139761337398</v>
      </c>
      <c r="R39" s="235">
        <v>2501.07224465833</v>
      </c>
      <c r="S39" s="224">
        <v>0.01</v>
      </c>
      <c r="T39" s="224">
        <v>0.01</v>
      </c>
      <c r="U39" s="231">
        <v>0</v>
      </c>
      <c r="V39" s="232">
        <v>0</v>
      </c>
      <c r="W39" s="223"/>
      <c r="X39" s="231">
        <v>1218.7596349999999</v>
      </c>
      <c r="Y39" s="222">
        <v>417.29270110959499</v>
      </c>
      <c r="Z39" s="233">
        <v>573</v>
      </c>
      <c r="AA39" s="244">
        <v>0.72825951328027005</v>
      </c>
      <c r="AB39" s="227">
        <v>-608.72836501986603</v>
      </c>
      <c r="AC39" s="224"/>
      <c r="AD39" s="224"/>
      <c r="AE39" s="232">
        <v>455</v>
      </c>
      <c r="AF39" s="232">
        <v>790</v>
      </c>
      <c r="AG39" s="223"/>
      <c r="AH39" s="236">
        <v>136.75</v>
      </c>
      <c r="AI39" s="222">
        <v>46.822010869056299</v>
      </c>
      <c r="AJ39" s="237" t="s">
        <v>54</v>
      </c>
      <c r="AK39" s="244">
        <v>0.74320652173105195</v>
      </c>
      <c r="AL39" s="227">
        <v>-64.178000002184206</v>
      </c>
      <c r="AM39" s="224"/>
      <c r="AN39" s="224"/>
      <c r="AO39" s="232">
        <v>48</v>
      </c>
      <c r="AP39" s="232">
        <v>85</v>
      </c>
      <c r="AQ39" s="223"/>
      <c r="AR39" s="236">
        <v>21.1</v>
      </c>
      <c r="AS39" s="222">
        <v>7.2244565216606</v>
      </c>
      <c r="AT39" s="237" t="s">
        <v>55</v>
      </c>
      <c r="AU39" s="229">
        <v>0.451528532603787</v>
      </c>
      <c r="AV39" s="230">
        <v>-29.929333333888099</v>
      </c>
      <c r="AW39" s="224"/>
      <c r="AX39" s="224"/>
      <c r="AY39" s="232">
        <v>26</v>
      </c>
      <c r="AZ39" s="232">
        <v>35</v>
      </c>
      <c r="BA39" s="223"/>
      <c r="BB39" s="240">
        <v>96.2</v>
      </c>
      <c r="BC39" s="236">
        <v>32.938043477902802</v>
      </c>
      <c r="BD39" s="237" t="s">
        <v>56</v>
      </c>
      <c r="BE39" s="238">
        <v>1.0293138586844599</v>
      </c>
      <c r="BF39" s="239">
        <v>-5.8586666677761103</v>
      </c>
      <c r="BG39" s="224">
        <v>1.2999999999999999E-2</v>
      </c>
      <c r="BH39" s="224">
        <v>3.0000000000000001E-3</v>
      </c>
      <c r="BI39" s="232">
        <v>0</v>
      </c>
      <c r="BJ39" s="232">
        <v>16</v>
      </c>
      <c r="BK39" s="225"/>
      <c r="BL39" s="241">
        <v>0.8</v>
      </c>
      <c r="BM39" s="229">
        <v>0.69</v>
      </c>
      <c r="BN39" s="242"/>
      <c r="BO39" s="243">
        <v>0.95</v>
      </c>
      <c r="BP39" s="234">
        <v>1</v>
      </c>
      <c r="BQ39" s="242">
        <v>2.5000000000000001E-3</v>
      </c>
    </row>
    <row r="40" spans="1:69" s="211" customFormat="1" ht="22.35" customHeight="1" x14ac:dyDescent="0.2">
      <c r="A40" s="221" t="s">
        <v>81</v>
      </c>
      <c r="B40" s="221" t="s">
        <v>82</v>
      </c>
      <c r="C40" s="221" t="s">
        <v>93</v>
      </c>
      <c r="D40" s="222">
        <v>4.1371847502222199</v>
      </c>
      <c r="E40" s="223"/>
      <c r="F40" s="224">
        <v>3.6999999999999998E-2</v>
      </c>
      <c r="G40" s="224">
        <v>2.5999999999999999E-2</v>
      </c>
      <c r="H40" s="225"/>
      <c r="I40" s="226">
        <v>4</v>
      </c>
      <c r="J40" s="226">
        <v>3</v>
      </c>
      <c r="K40" s="223"/>
      <c r="L40" s="227">
        <v>1609.9491499999999</v>
      </c>
      <c r="M40" s="227">
        <v>366.17039999999997</v>
      </c>
      <c r="N40" s="227">
        <v>1976.1195499999999</v>
      </c>
      <c r="O40" s="222">
        <v>477.64836943620998</v>
      </c>
      <c r="P40" s="228">
        <v>228.25</v>
      </c>
      <c r="Q40" s="234">
        <v>2.0926544115496601</v>
      </c>
      <c r="R40" s="235">
        <v>944.93038819186199</v>
      </c>
      <c r="S40" s="224">
        <v>0.01</v>
      </c>
      <c r="T40" s="224">
        <v>0.01</v>
      </c>
      <c r="U40" s="231">
        <v>0</v>
      </c>
      <c r="V40" s="232">
        <v>0</v>
      </c>
      <c r="W40" s="223"/>
      <c r="X40" s="231">
        <v>2754.0213650000001</v>
      </c>
      <c r="Y40" s="222">
        <v>665.67521908516903</v>
      </c>
      <c r="Z40" s="233">
        <v>573</v>
      </c>
      <c r="AA40" s="234">
        <v>1.16173685704218</v>
      </c>
      <c r="AB40" s="235">
        <v>165.31867182995299</v>
      </c>
      <c r="AC40" s="224">
        <v>0.02</v>
      </c>
      <c r="AD40" s="224">
        <v>1.6E-2</v>
      </c>
      <c r="AE40" s="232">
        <v>0</v>
      </c>
      <c r="AF40" s="232">
        <v>91</v>
      </c>
      <c r="AG40" s="223"/>
      <c r="AH40" s="236">
        <v>176.3</v>
      </c>
      <c r="AI40" s="222">
        <v>42.613518767932803</v>
      </c>
      <c r="AJ40" s="237" t="s">
        <v>54</v>
      </c>
      <c r="AK40" s="229">
        <v>0.676405059808457</v>
      </c>
      <c r="AL40" s="230">
        <v>-108.321762076288</v>
      </c>
      <c r="AM40" s="224"/>
      <c r="AN40" s="224"/>
      <c r="AO40" s="232">
        <v>85</v>
      </c>
      <c r="AP40" s="232">
        <v>137</v>
      </c>
      <c r="AQ40" s="223"/>
      <c r="AR40" s="236">
        <v>28.8</v>
      </c>
      <c r="AS40" s="222">
        <v>6.96125547655397</v>
      </c>
      <c r="AT40" s="237" t="s">
        <v>55</v>
      </c>
      <c r="AU40" s="229">
        <v>0.43507846728462302</v>
      </c>
      <c r="AV40" s="230">
        <v>-43.484891955882603</v>
      </c>
      <c r="AW40" s="224"/>
      <c r="AX40" s="224"/>
      <c r="AY40" s="232">
        <v>38</v>
      </c>
      <c r="AZ40" s="232">
        <v>51</v>
      </c>
      <c r="BA40" s="223"/>
      <c r="BB40" s="240">
        <v>129</v>
      </c>
      <c r="BC40" s="236">
        <v>31.1806234887313</v>
      </c>
      <c r="BD40" s="237" t="s">
        <v>56</v>
      </c>
      <c r="BE40" s="238">
        <v>0.974394484022853</v>
      </c>
      <c r="BF40" s="239">
        <v>-15.569783911765301</v>
      </c>
      <c r="BG40" s="224">
        <v>7.0000000000000001E-3</v>
      </c>
      <c r="BH40" s="224"/>
      <c r="BI40" s="232">
        <v>4</v>
      </c>
      <c r="BJ40" s="232">
        <v>30</v>
      </c>
      <c r="BK40" s="225"/>
      <c r="BL40" s="241">
        <v>0.8</v>
      </c>
      <c r="BM40" s="244">
        <v>0.72</v>
      </c>
      <c r="BN40" s="242"/>
      <c r="BO40" s="243">
        <v>0.95</v>
      </c>
      <c r="BP40" s="234">
        <v>1</v>
      </c>
      <c r="BQ40" s="242">
        <v>2.5000000000000001E-3</v>
      </c>
    </row>
    <row r="41" spans="1:69" s="211" customFormat="1" ht="22.35" customHeight="1" x14ac:dyDescent="0.2">
      <c r="A41" s="221" t="s">
        <v>81</v>
      </c>
      <c r="B41" s="221" t="s">
        <v>82</v>
      </c>
      <c r="C41" s="221" t="s">
        <v>94</v>
      </c>
      <c r="D41" s="222">
        <v>7.6785695595555596</v>
      </c>
      <c r="E41" s="223"/>
      <c r="F41" s="224">
        <v>3.9E-2</v>
      </c>
      <c r="G41" s="224">
        <v>2.4E-2</v>
      </c>
      <c r="H41" s="225"/>
      <c r="I41" s="226">
        <v>4</v>
      </c>
      <c r="J41" s="226">
        <v>3</v>
      </c>
      <c r="K41" s="223"/>
      <c r="L41" s="227">
        <v>5600.0351899999996</v>
      </c>
      <c r="M41" s="227">
        <v>2271.65805</v>
      </c>
      <c r="N41" s="227">
        <v>7871.6932399999996</v>
      </c>
      <c r="O41" s="222">
        <v>1025.15099706352</v>
      </c>
      <c r="P41" s="228">
        <v>287.5</v>
      </c>
      <c r="Q41" s="234">
        <v>3.5657425984818101</v>
      </c>
      <c r="R41" s="235">
        <v>5461.0063267775304</v>
      </c>
      <c r="S41" s="224">
        <v>0.01</v>
      </c>
      <c r="T41" s="224">
        <v>0.01</v>
      </c>
      <c r="U41" s="231">
        <v>0</v>
      </c>
      <c r="V41" s="232">
        <v>0</v>
      </c>
      <c r="W41" s="223"/>
      <c r="X41" s="231">
        <v>5036.8174150000004</v>
      </c>
      <c r="Y41" s="222">
        <v>655.95777650173898</v>
      </c>
      <c r="Z41" s="233">
        <v>573</v>
      </c>
      <c r="AA41" s="234">
        <v>1.1447779694620199</v>
      </c>
      <c r="AB41" s="235">
        <v>232.21358447313401</v>
      </c>
      <c r="AC41" s="224">
        <v>0.02</v>
      </c>
      <c r="AD41" s="224">
        <v>1.4E-2</v>
      </c>
      <c r="AE41" s="232">
        <v>0</v>
      </c>
      <c r="AF41" s="232">
        <v>243</v>
      </c>
      <c r="AG41" s="223"/>
      <c r="AH41" s="236">
        <v>321.55</v>
      </c>
      <c r="AI41" s="222">
        <v>41.8762892627376</v>
      </c>
      <c r="AJ41" s="237" t="s">
        <v>54</v>
      </c>
      <c r="AK41" s="229">
        <v>0.66470300417043804</v>
      </c>
      <c r="AL41" s="230">
        <v>-206.704871419184</v>
      </c>
      <c r="AM41" s="224"/>
      <c r="AN41" s="224"/>
      <c r="AO41" s="232">
        <v>163</v>
      </c>
      <c r="AP41" s="232">
        <v>259</v>
      </c>
      <c r="AQ41" s="223"/>
      <c r="AR41" s="236">
        <v>72.400000000000006</v>
      </c>
      <c r="AS41" s="222">
        <v>9.4288395043452091</v>
      </c>
      <c r="AT41" s="237" t="s">
        <v>55</v>
      </c>
      <c r="AU41" s="229">
        <v>0.58930246902157601</v>
      </c>
      <c r="AV41" s="230">
        <v>-61.759967344554802</v>
      </c>
      <c r="AW41" s="224"/>
      <c r="AX41" s="224"/>
      <c r="AY41" s="232">
        <v>51</v>
      </c>
      <c r="AZ41" s="232">
        <v>76</v>
      </c>
      <c r="BA41" s="223"/>
      <c r="BB41" s="240">
        <v>244</v>
      </c>
      <c r="BC41" s="236">
        <v>31.776751920721399</v>
      </c>
      <c r="BD41" s="237" t="s">
        <v>56</v>
      </c>
      <c r="BE41" s="238">
        <v>0.99302349752254404</v>
      </c>
      <c r="BF41" s="239">
        <v>-24.319934689109498</v>
      </c>
      <c r="BG41" s="224">
        <v>8.9999999999999993E-3</v>
      </c>
      <c r="BH41" s="224"/>
      <c r="BI41" s="232">
        <v>2</v>
      </c>
      <c r="BJ41" s="232">
        <v>51</v>
      </c>
      <c r="BK41" s="225"/>
      <c r="BL41" s="241">
        <v>0.8</v>
      </c>
      <c r="BM41" s="244">
        <v>0.71</v>
      </c>
      <c r="BN41" s="242"/>
      <c r="BO41" s="243">
        <v>0.95</v>
      </c>
      <c r="BP41" s="238">
        <v>0.97</v>
      </c>
      <c r="BQ41" s="242">
        <v>1E-3</v>
      </c>
    </row>
    <row r="42" spans="1:69" s="211" customFormat="1" ht="22.35" customHeight="1" x14ac:dyDescent="0.2">
      <c r="A42" s="221" t="s">
        <v>81</v>
      </c>
      <c r="B42" s="221" t="s">
        <v>82</v>
      </c>
      <c r="C42" s="221" t="s">
        <v>95</v>
      </c>
      <c r="D42" s="222">
        <v>2.4205745912222199</v>
      </c>
      <c r="E42" s="223"/>
      <c r="F42" s="224">
        <v>0.01</v>
      </c>
      <c r="G42" s="224">
        <v>0.01</v>
      </c>
      <c r="H42" s="225"/>
      <c r="I42" s="226">
        <v>2</v>
      </c>
      <c r="J42" s="226">
        <v>2</v>
      </c>
      <c r="K42" s="223"/>
      <c r="L42" s="227">
        <v>1286.5758000000001</v>
      </c>
      <c r="M42" s="227">
        <v>1059.86815</v>
      </c>
      <c r="N42" s="227">
        <v>2346.4439499999999</v>
      </c>
      <c r="O42" s="222">
        <v>969.37477510875203</v>
      </c>
      <c r="P42" s="228">
        <v>276.94400000000002</v>
      </c>
      <c r="Q42" s="234">
        <v>3.50025555747282</v>
      </c>
      <c r="R42" s="235">
        <v>1614.40688832614</v>
      </c>
      <c r="S42" s="224">
        <v>0.01</v>
      </c>
      <c r="T42" s="224">
        <v>0.01</v>
      </c>
      <c r="U42" s="231">
        <v>0</v>
      </c>
      <c r="V42" s="232">
        <v>0</v>
      </c>
      <c r="W42" s="223"/>
      <c r="X42" s="231">
        <v>1126.5673999999999</v>
      </c>
      <c r="Y42" s="222">
        <v>465.41321390602599</v>
      </c>
      <c r="Z42" s="233">
        <v>573</v>
      </c>
      <c r="AA42" s="244">
        <v>0.81223946580458295</v>
      </c>
      <c r="AB42" s="227">
        <v>-388.02485092120298</v>
      </c>
      <c r="AC42" s="224"/>
      <c r="AD42" s="224"/>
      <c r="AE42" s="232">
        <v>261</v>
      </c>
      <c r="AF42" s="232">
        <v>538</v>
      </c>
      <c r="AG42" s="223"/>
      <c r="AH42" s="236">
        <v>97.35</v>
      </c>
      <c r="AI42" s="222">
        <v>40.217723656615298</v>
      </c>
      <c r="AJ42" s="237" t="s">
        <v>54</v>
      </c>
      <c r="AK42" s="229">
        <v>0.63837656597802095</v>
      </c>
      <c r="AL42" s="230">
        <v>-69.175849577723795</v>
      </c>
      <c r="AM42" s="224"/>
      <c r="AN42" s="224"/>
      <c r="AO42" s="232">
        <v>56</v>
      </c>
      <c r="AP42" s="232">
        <v>86</v>
      </c>
      <c r="AQ42" s="223"/>
      <c r="AR42" s="236">
        <v>8.6</v>
      </c>
      <c r="AS42" s="222">
        <v>3.55287543345549</v>
      </c>
      <c r="AT42" s="237" t="s">
        <v>55</v>
      </c>
      <c r="AU42" s="229">
        <v>0.22205471459096801</v>
      </c>
      <c r="AV42" s="230">
        <v>-33.692279257834599</v>
      </c>
      <c r="AW42" s="224"/>
      <c r="AX42" s="224"/>
      <c r="AY42" s="232">
        <v>31</v>
      </c>
      <c r="AZ42" s="232">
        <v>38</v>
      </c>
      <c r="BA42" s="223"/>
      <c r="BB42" s="240">
        <v>62.6</v>
      </c>
      <c r="BC42" s="236">
        <v>25.861628155152701</v>
      </c>
      <c r="BD42" s="237" t="s">
        <v>56</v>
      </c>
      <c r="BE42" s="244">
        <v>0.80817587984852302</v>
      </c>
      <c r="BF42" s="227">
        <v>-21.984558515669299</v>
      </c>
      <c r="BG42" s="224"/>
      <c r="BH42" s="224"/>
      <c r="BI42" s="232">
        <v>15</v>
      </c>
      <c r="BJ42" s="232">
        <v>31</v>
      </c>
      <c r="BK42" s="225"/>
      <c r="BL42" s="241">
        <v>0.8</v>
      </c>
      <c r="BM42" s="244">
        <v>0.75</v>
      </c>
      <c r="BN42" s="242"/>
      <c r="BO42" s="243">
        <v>0.95</v>
      </c>
      <c r="BP42" s="234">
        <v>1</v>
      </c>
      <c r="BQ42" s="242">
        <v>2.5000000000000001E-3</v>
      </c>
    </row>
    <row r="43" spans="1:69" s="211" customFormat="1" ht="22.35" customHeight="1" x14ac:dyDescent="0.2">
      <c r="A43" s="221" t="s">
        <v>81</v>
      </c>
      <c r="B43" s="221" t="s">
        <v>82</v>
      </c>
      <c r="C43" s="221" t="s">
        <v>96</v>
      </c>
      <c r="D43" s="222">
        <v>1.61576985288889</v>
      </c>
      <c r="E43" s="223"/>
      <c r="F43" s="224">
        <v>0.01</v>
      </c>
      <c r="G43" s="224">
        <v>0.01</v>
      </c>
      <c r="H43" s="225"/>
      <c r="I43" s="226">
        <v>2</v>
      </c>
      <c r="J43" s="226">
        <v>2</v>
      </c>
      <c r="K43" s="223"/>
      <c r="L43" s="227">
        <v>478.08506</v>
      </c>
      <c r="M43" s="227">
        <v>740.70351000000005</v>
      </c>
      <c r="N43" s="227">
        <v>1218.7885699999999</v>
      </c>
      <c r="O43" s="222">
        <v>754.30827467221695</v>
      </c>
      <c r="P43" s="228">
        <v>244.696</v>
      </c>
      <c r="Q43" s="234">
        <v>3.0826342673039901</v>
      </c>
      <c r="R43" s="235">
        <v>787.04188744462999</v>
      </c>
      <c r="S43" s="224">
        <v>0.01</v>
      </c>
      <c r="T43" s="224">
        <v>0.01</v>
      </c>
      <c r="U43" s="231">
        <v>0</v>
      </c>
      <c r="V43" s="232">
        <v>0</v>
      </c>
      <c r="W43" s="223"/>
      <c r="X43" s="231">
        <v>744.47915999999998</v>
      </c>
      <c r="Y43" s="222">
        <v>460.75816965449701</v>
      </c>
      <c r="Z43" s="233">
        <v>573</v>
      </c>
      <c r="AA43" s="244">
        <v>0.80411547932721905</v>
      </c>
      <c r="AB43" s="227">
        <v>-266.53388927022502</v>
      </c>
      <c r="AC43" s="224"/>
      <c r="AD43" s="224"/>
      <c r="AE43" s="232">
        <v>182</v>
      </c>
      <c r="AF43" s="232">
        <v>367</v>
      </c>
      <c r="AG43" s="223"/>
      <c r="AH43" s="236">
        <v>75.099999999999994</v>
      </c>
      <c r="AI43" s="222">
        <v>46.479391768404497</v>
      </c>
      <c r="AJ43" s="237" t="s">
        <v>54</v>
      </c>
      <c r="AK43" s="244">
        <v>0.73776812330800801</v>
      </c>
      <c r="AL43" s="227">
        <v>-36.058502799344097</v>
      </c>
      <c r="AM43" s="224"/>
      <c r="AN43" s="224"/>
      <c r="AO43" s="232">
        <v>27</v>
      </c>
      <c r="AP43" s="232">
        <v>48</v>
      </c>
      <c r="AQ43" s="223"/>
      <c r="AR43" s="236">
        <v>7</v>
      </c>
      <c r="AS43" s="222">
        <v>4.3323001648313104</v>
      </c>
      <c r="AT43" s="237" t="s">
        <v>55</v>
      </c>
      <c r="AU43" s="229">
        <v>0.27076876030195701</v>
      </c>
      <c r="AV43" s="230">
        <v>-21.230730869674701</v>
      </c>
      <c r="AW43" s="224"/>
      <c r="AX43" s="224"/>
      <c r="AY43" s="232">
        <v>19</v>
      </c>
      <c r="AZ43" s="232">
        <v>25</v>
      </c>
      <c r="BA43" s="223"/>
      <c r="BB43" s="240">
        <v>42</v>
      </c>
      <c r="BC43" s="236">
        <v>25.9938009889879</v>
      </c>
      <c r="BD43" s="237" t="s">
        <v>56</v>
      </c>
      <c r="BE43" s="244">
        <v>0.81230628090587098</v>
      </c>
      <c r="BF43" s="227">
        <v>-14.461461739349399</v>
      </c>
      <c r="BG43" s="224"/>
      <c r="BH43" s="224"/>
      <c r="BI43" s="232">
        <v>10</v>
      </c>
      <c r="BJ43" s="232">
        <v>21</v>
      </c>
      <c r="BK43" s="225"/>
      <c r="BL43" s="241">
        <v>0.8</v>
      </c>
      <c r="BM43" s="229">
        <v>0.68</v>
      </c>
      <c r="BN43" s="242"/>
      <c r="BO43" s="243">
        <v>0.95</v>
      </c>
      <c r="BP43" s="234">
        <v>1</v>
      </c>
      <c r="BQ43" s="242">
        <v>2.5000000000000001E-3</v>
      </c>
    </row>
    <row r="44" spans="1:69" s="211" customFormat="1" ht="22.35" customHeight="1" x14ac:dyDescent="0.2">
      <c r="A44" s="221" t="s">
        <v>81</v>
      </c>
      <c r="B44" s="221" t="s">
        <v>82</v>
      </c>
      <c r="C44" s="221" t="s">
        <v>97</v>
      </c>
      <c r="D44" s="222">
        <v>2.3852260407777801</v>
      </c>
      <c r="E44" s="223"/>
      <c r="F44" s="224">
        <v>5.1999999999999998E-2</v>
      </c>
      <c r="G44" s="224">
        <v>4.2999999999999997E-2</v>
      </c>
      <c r="H44" s="225"/>
      <c r="I44" s="226">
        <v>6</v>
      </c>
      <c r="J44" s="226">
        <v>5</v>
      </c>
      <c r="K44" s="223"/>
      <c r="L44" s="227">
        <v>733.21160999999995</v>
      </c>
      <c r="M44" s="227">
        <v>756.20520999999997</v>
      </c>
      <c r="N44" s="227">
        <v>1489.4168199999999</v>
      </c>
      <c r="O44" s="222">
        <v>624.43424419193798</v>
      </c>
      <c r="P44" s="228">
        <v>239.304</v>
      </c>
      <c r="Q44" s="234">
        <v>2.6093765427737901</v>
      </c>
      <c r="R44" s="235">
        <v>866.10962735118403</v>
      </c>
      <c r="S44" s="224">
        <v>0.01</v>
      </c>
      <c r="T44" s="224">
        <v>0.01</v>
      </c>
      <c r="U44" s="231">
        <v>0</v>
      </c>
      <c r="V44" s="232">
        <v>0</v>
      </c>
      <c r="W44" s="223"/>
      <c r="X44" s="231">
        <v>1267.73696</v>
      </c>
      <c r="Y44" s="222">
        <v>531.495522154627</v>
      </c>
      <c r="Z44" s="233">
        <v>573</v>
      </c>
      <c r="AA44" s="238">
        <v>0.92756635629079798</v>
      </c>
      <c r="AB44" s="239">
        <v>-224.73713733130899</v>
      </c>
      <c r="AC44" s="224">
        <v>2E-3</v>
      </c>
      <c r="AD44" s="224"/>
      <c r="AE44" s="232">
        <v>99</v>
      </c>
      <c r="AF44" s="232">
        <v>373</v>
      </c>
      <c r="AG44" s="223"/>
      <c r="AH44" s="236">
        <v>170.1</v>
      </c>
      <c r="AI44" s="222">
        <v>71.313995861177801</v>
      </c>
      <c r="AJ44" s="237" t="s">
        <v>54</v>
      </c>
      <c r="AK44" s="234">
        <v>1.13196818827266</v>
      </c>
      <c r="AL44" s="235">
        <v>6.00598929865183</v>
      </c>
      <c r="AM44" s="224">
        <v>0.02</v>
      </c>
      <c r="AN44" s="224">
        <v>1.2999999999999999E-2</v>
      </c>
      <c r="AO44" s="232">
        <v>0</v>
      </c>
      <c r="AP44" s="232">
        <v>11</v>
      </c>
      <c r="AQ44" s="223"/>
      <c r="AR44" s="236">
        <v>31.4</v>
      </c>
      <c r="AS44" s="222">
        <v>13.164370782133901</v>
      </c>
      <c r="AT44" s="237" t="s">
        <v>55</v>
      </c>
      <c r="AU44" s="244">
        <v>0.82277317388337101</v>
      </c>
      <c r="AV44" s="227">
        <v>-10.2746693844694</v>
      </c>
      <c r="AW44" s="224"/>
      <c r="AX44" s="224"/>
      <c r="AY44" s="232">
        <v>7</v>
      </c>
      <c r="AZ44" s="232">
        <v>15</v>
      </c>
      <c r="BA44" s="223"/>
      <c r="BB44" s="240">
        <v>110.6</v>
      </c>
      <c r="BC44" s="236">
        <v>46.368770971465402</v>
      </c>
      <c r="BD44" s="237" t="s">
        <v>56</v>
      </c>
      <c r="BE44" s="234">
        <v>1.44902409285829</v>
      </c>
      <c r="BF44" s="235">
        <v>27.250661231061301</v>
      </c>
      <c r="BG44" s="224">
        <v>0.02</v>
      </c>
      <c r="BH44" s="224">
        <v>0.02</v>
      </c>
      <c r="BI44" s="232">
        <v>0</v>
      </c>
      <c r="BJ44" s="232">
        <v>0</v>
      </c>
      <c r="BK44" s="225"/>
      <c r="BL44" s="241">
        <v>0.8</v>
      </c>
      <c r="BM44" s="238">
        <v>0.82</v>
      </c>
      <c r="BN44" s="242">
        <v>7.5000000000000002E-4</v>
      </c>
      <c r="BO44" s="243">
        <v>0.95</v>
      </c>
      <c r="BP44" s="234">
        <v>1</v>
      </c>
      <c r="BQ44" s="242">
        <v>2.5000000000000001E-3</v>
      </c>
    </row>
    <row r="45" spans="1:69" s="211" customFormat="1" ht="22.35" customHeight="1" x14ac:dyDescent="0.2">
      <c r="A45" s="221" t="s">
        <v>81</v>
      </c>
      <c r="B45" s="221" t="s">
        <v>82</v>
      </c>
      <c r="C45" s="221" t="s">
        <v>98</v>
      </c>
      <c r="D45" s="222">
        <v>2.94060150377778</v>
      </c>
      <c r="E45" s="223"/>
      <c r="F45" s="224">
        <v>4.7E-2</v>
      </c>
      <c r="G45" s="224">
        <v>3.5999999999999997E-2</v>
      </c>
      <c r="H45" s="225"/>
      <c r="I45" s="226">
        <v>5</v>
      </c>
      <c r="J45" s="226">
        <v>5</v>
      </c>
      <c r="K45" s="223"/>
      <c r="L45" s="227">
        <v>3012.4400599999999</v>
      </c>
      <c r="M45" s="227">
        <v>1848.6750300000001</v>
      </c>
      <c r="N45" s="227">
        <v>4861.1150900000002</v>
      </c>
      <c r="O45" s="222">
        <v>1653.10229344403</v>
      </c>
      <c r="P45" s="228">
        <v>287.5</v>
      </c>
      <c r="Q45" s="234">
        <v>5.7499210206748899</v>
      </c>
      <c r="R45" s="235">
        <v>3937.9132478889701</v>
      </c>
      <c r="S45" s="224">
        <v>0.01</v>
      </c>
      <c r="T45" s="224">
        <v>0.01</v>
      </c>
      <c r="U45" s="231">
        <v>0</v>
      </c>
      <c r="V45" s="232">
        <v>0</v>
      </c>
      <c r="W45" s="223"/>
      <c r="X45" s="231">
        <v>1787.14922</v>
      </c>
      <c r="Y45" s="222">
        <v>607.74954297753595</v>
      </c>
      <c r="Z45" s="233">
        <v>573</v>
      </c>
      <c r="AA45" s="238">
        <v>1.0606449266623701</v>
      </c>
      <c r="AB45" s="239">
        <v>-52.832190537817702</v>
      </c>
      <c r="AC45" s="224">
        <v>1.7000000000000001E-2</v>
      </c>
      <c r="AD45" s="224">
        <v>6.0000000000000001E-3</v>
      </c>
      <c r="AE45" s="232">
        <v>0</v>
      </c>
      <c r="AF45" s="232">
        <v>235</v>
      </c>
      <c r="AG45" s="223"/>
      <c r="AH45" s="236">
        <v>102.85</v>
      </c>
      <c r="AI45" s="222">
        <v>34.975837381525203</v>
      </c>
      <c r="AJ45" s="237" t="s">
        <v>54</v>
      </c>
      <c r="AK45" s="229">
        <v>0.55517202192897097</v>
      </c>
      <c r="AL45" s="230">
        <v>-99.451621053896204</v>
      </c>
      <c r="AM45" s="224"/>
      <c r="AN45" s="224"/>
      <c r="AO45" s="232">
        <v>83</v>
      </c>
      <c r="AP45" s="232">
        <v>120</v>
      </c>
      <c r="AQ45" s="223"/>
      <c r="AR45" s="236">
        <v>17.8</v>
      </c>
      <c r="AS45" s="222">
        <v>6.0531833290340202</v>
      </c>
      <c r="AT45" s="237" t="s">
        <v>55</v>
      </c>
      <c r="AU45" s="229">
        <v>0.37832395806462599</v>
      </c>
      <c r="AV45" s="230">
        <v>-33.578189474005399</v>
      </c>
      <c r="AW45" s="224"/>
      <c r="AX45" s="224"/>
      <c r="AY45" s="232">
        <v>30</v>
      </c>
      <c r="AZ45" s="232">
        <v>39</v>
      </c>
      <c r="BA45" s="223"/>
      <c r="BB45" s="240">
        <v>119</v>
      </c>
      <c r="BC45" s="236">
        <v>40.467911019946499</v>
      </c>
      <c r="BD45" s="237" t="s">
        <v>56</v>
      </c>
      <c r="BE45" s="234">
        <v>1.2646222193733301</v>
      </c>
      <c r="BF45" s="235">
        <v>16.243621051989201</v>
      </c>
      <c r="BG45" s="224">
        <v>0.02</v>
      </c>
      <c r="BH45" s="224">
        <v>0.02</v>
      </c>
      <c r="BI45" s="232">
        <v>0</v>
      </c>
      <c r="BJ45" s="232">
        <v>0</v>
      </c>
      <c r="BK45" s="225"/>
      <c r="BL45" s="241">
        <v>0.8</v>
      </c>
      <c r="BM45" s="238">
        <v>0.81</v>
      </c>
      <c r="BN45" s="242">
        <v>3.7500000000000001E-4</v>
      </c>
      <c r="BO45" s="243">
        <v>0.95</v>
      </c>
      <c r="BP45" s="234">
        <v>1</v>
      </c>
      <c r="BQ45" s="242">
        <v>2.5000000000000001E-3</v>
      </c>
    </row>
    <row r="46" spans="1:69" s="211" customFormat="1" ht="22.35" customHeight="1" x14ac:dyDescent="0.2">
      <c r="A46" s="221" t="s">
        <v>81</v>
      </c>
      <c r="B46" s="221" t="s">
        <v>82</v>
      </c>
      <c r="C46" s="221" t="s">
        <v>99</v>
      </c>
      <c r="D46" s="222">
        <v>8.6630214135555601</v>
      </c>
      <c r="E46" s="223"/>
      <c r="F46" s="224">
        <v>0.02</v>
      </c>
      <c r="G46" s="224">
        <v>1.0999999999999999E-2</v>
      </c>
      <c r="H46" s="225"/>
      <c r="I46" s="226">
        <v>3</v>
      </c>
      <c r="J46" s="226">
        <v>3</v>
      </c>
      <c r="K46" s="223"/>
      <c r="L46" s="227">
        <v>3919.2051000000001</v>
      </c>
      <c r="M46" s="227">
        <v>4469.9478600000002</v>
      </c>
      <c r="N46" s="227">
        <v>8389.1529599999994</v>
      </c>
      <c r="O46" s="222">
        <v>968.38649698741199</v>
      </c>
      <c r="P46" s="228">
        <v>276.44</v>
      </c>
      <c r="Q46" s="234">
        <v>3.5030621364035999</v>
      </c>
      <c r="R46" s="235">
        <v>5774.0252015968799</v>
      </c>
      <c r="S46" s="224">
        <v>0.01</v>
      </c>
      <c r="T46" s="224">
        <v>0.01</v>
      </c>
      <c r="U46" s="231">
        <v>0</v>
      </c>
      <c r="V46" s="232">
        <v>0</v>
      </c>
      <c r="W46" s="223"/>
      <c r="X46" s="231">
        <v>4243.0989099999997</v>
      </c>
      <c r="Y46" s="222">
        <v>489.79434627283302</v>
      </c>
      <c r="Z46" s="233">
        <v>573</v>
      </c>
      <c r="AA46" s="244">
        <v>0.85478943503112303</v>
      </c>
      <c r="AB46" s="227">
        <v>-1177.49219680433</v>
      </c>
      <c r="AC46" s="224"/>
      <c r="AD46" s="224"/>
      <c r="AE46" s="232">
        <v>721</v>
      </c>
      <c r="AF46" s="232">
        <v>1714</v>
      </c>
      <c r="AG46" s="223"/>
      <c r="AH46" s="236">
        <v>480.75</v>
      </c>
      <c r="AI46" s="222">
        <v>55.494495170904401</v>
      </c>
      <c r="AJ46" s="237" t="s">
        <v>54</v>
      </c>
      <c r="AK46" s="244">
        <v>0.88086500271276802</v>
      </c>
      <c r="AL46" s="227">
        <v>-115.231221166968</v>
      </c>
      <c r="AM46" s="224"/>
      <c r="AN46" s="224"/>
      <c r="AO46" s="232">
        <v>66</v>
      </c>
      <c r="AP46" s="232">
        <v>175</v>
      </c>
      <c r="AQ46" s="223"/>
      <c r="AR46" s="236">
        <v>20</v>
      </c>
      <c r="AS46" s="222">
        <v>2.30866334564345</v>
      </c>
      <c r="AT46" s="237" t="s">
        <v>55</v>
      </c>
      <c r="AU46" s="229">
        <v>0.14429145910271601</v>
      </c>
      <c r="AV46" s="230">
        <v>-131.36031013764301</v>
      </c>
      <c r="AW46" s="224"/>
      <c r="AX46" s="224"/>
      <c r="AY46" s="232">
        <v>119</v>
      </c>
      <c r="AZ46" s="232">
        <v>147</v>
      </c>
      <c r="BA46" s="223"/>
      <c r="BB46" s="240">
        <v>278</v>
      </c>
      <c r="BC46" s="236">
        <v>32.090420504443898</v>
      </c>
      <c r="BD46" s="237" t="s">
        <v>56</v>
      </c>
      <c r="BE46" s="238">
        <v>1.00282564076387</v>
      </c>
      <c r="BF46" s="239">
        <v>-24.720620275285501</v>
      </c>
      <c r="BG46" s="224">
        <v>0.01</v>
      </c>
      <c r="BH46" s="224">
        <v>1E-3</v>
      </c>
      <c r="BI46" s="232">
        <v>0</v>
      </c>
      <c r="BJ46" s="232">
        <v>55</v>
      </c>
      <c r="BK46" s="225"/>
      <c r="BL46" s="241">
        <v>0.8</v>
      </c>
      <c r="BM46" s="244">
        <v>0.7</v>
      </c>
      <c r="BN46" s="242"/>
      <c r="BO46" s="243">
        <v>0.95</v>
      </c>
      <c r="BP46" s="234">
        <v>1</v>
      </c>
      <c r="BQ46" s="242">
        <v>2.5000000000000001E-3</v>
      </c>
    </row>
    <row r="47" spans="1:69" s="211" customFormat="1" ht="22.35" customHeight="1" x14ac:dyDescent="0.2">
      <c r="A47" s="221" t="s">
        <v>81</v>
      </c>
      <c r="B47" s="221" t="s">
        <v>82</v>
      </c>
      <c r="C47" s="221" t="s">
        <v>100</v>
      </c>
      <c r="D47" s="222">
        <v>2.3098195907777801</v>
      </c>
      <c r="E47" s="223"/>
      <c r="F47" s="224">
        <v>0.01</v>
      </c>
      <c r="G47" s="224">
        <v>0.01</v>
      </c>
      <c r="H47" s="225"/>
      <c r="I47" s="226">
        <v>2</v>
      </c>
      <c r="J47" s="226">
        <v>2</v>
      </c>
      <c r="K47" s="223"/>
      <c r="L47" s="227">
        <v>245.21225999999999</v>
      </c>
      <c r="M47" s="227">
        <v>1114.6409699999999</v>
      </c>
      <c r="N47" s="227">
        <v>1359.8532299999999</v>
      </c>
      <c r="O47" s="222">
        <v>588.72703107609402</v>
      </c>
      <c r="P47" s="228">
        <v>236.59800000000001</v>
      </c>
      <c r="Q47" s="234">
        <v>2.4883009622908698</v>
      </c>
      <c r="R47" s="235">
        <v>763.07665447158502</v>
      </c>
      <c r="S47" s="224">
        <v>0.01</v>
      </c>
      <c r="T47" s="224">
        <v>0.01</v>
      </c>
      <c r="U47" s="231">
        <v>0</v>
      </c>
      <c r="V47" s="232">
        <v>0</v>
      </c>
      <c r="W47" s="223"/>
      <c r="X47" s="231">
        <v>1076.2046</v>
      </c>
      <c r="Y47" s="222">
        <v>465.92582567784598</v>
      </c>
      <c r="Z47" s="233">
        <v>573</v>
      </c>
      <c r="AA47" s="244">
        <v>0.81313407622660705</v>
      </c>
      <c r="AB47" s="227">
        <v>-369.08647506310899</v>
      </c>
      <c r="AC47" s="224"/>
      <c r="AD47" s="224"/>
      <c r="AE47" s="232">
        <v>248</v>
      </c>
      <c r="AF47" s="232">
        <v>513</v>
      </c>
      <c r="AG47" s="223"/>
      <c r="AH47" s="236">
        <v>96.25</v>
      </c>
      <c r="AI47" s="222">
        <v>41.6699210554319</v>
      </c>
      <c r="AJ47" s="237" t="s">
        <v>54</v>
      </c>
      <c r="AK47" s="229">
        <v>0.66142731834018897</v>
      </c>
      <c r="AL47" s="230">
        <v>-62.6563485671482</v>
      </c>
      <c r="AM47" s="224"/>
      <c r="AN47" s="224"/>
      <c r="AO47" s="232">
        <v>50</v>
      </c>
      <c r="AP47" s="232">
        <v>79</v>
      </c>
      <c r="AQ47" s="223"/>
      <c r="AR47" s="236">
        <v>1</v>
      </c>
      <c r="AS47" s="222">
        <v>0.43293424473176001</v>
      </c>
      <c r="AT47" s="237" t="s">
        <v>55</v>
      </c>
      <c r="AU47" s="229">
        <v>2.7058390295735001E-2</v>
      </c>
      <c r="AV47" s="230">
        <v>-39.357167890069398</v>
      </c>
      <c r="AW47" s="224"/>
      <c r="AX47" s="224"/>
      <c r="AY47" s="232">
        <v>36</v>
      </c>
      <c r="AZ47" s="232">
        <v>44</v>
      </c>
      <c r="BA47" s="223"/>
      <c r="BB47" s="240">
        <v>63.2</v>
      </c>
      <c r="BC47" s="236">
        <v>27.361444267047201</v>
      </c>
      <c r="BD47" s="237" t="s">
        <v>56</v>
      </c>
      <c r="BE47" s="244">
        <v>0.85504513334522603</v>
      </c>
      <c r="BF47" s="227">
        <v>-17.514335780138801</v>
      </c>
      <c r="BG47" s="224"/>
      <c r="BH47" s="224"/>
      <c r="BI47" s="232">
        <v>11</v>
      </c>
      <c r="BJ47" s="232">
        <v>26</v>
      </c>
      <c r="BK47" s="225"/>
      <c r="BL47" s="241">
        <v>0.8</v>
      </c>
      <c r="BM47" s="244">
        <v>0.72</v>
      </c>
      <c r="BN47" s="242"/>
      <c r="BO47" s="243">
        <v>0.95</v>
      </c>
      <c r="BP47" s="234">
        <v>1</v>
      </c>
      <c r="BQ47" s="242">
        <v>2.5000000000000001E-3</v>
      </c>
    </row>
    <row r="48" spans="1:69" s="211" customFormat="1" ht="22.35" customHeight="1" x14ac:dyDescent="0.2">
      <c r="A48" s="221" t="s">
        <v>81</v>
      </c>
      <c r="B48" s="221" t="s">
        <v>101</v>
      </c>
      <c r="C48" s="221" t="s">
        <v>102</v>
      </c>
      <c r="D48" s="222">
        <v>2.9631336405555602</v>
      </c>
      <c r="E48" s="223"/>
      <c r="F48" s="224">
        <v>0.04</v>
      </c>
      <c r="G48" s="224">
        <v>0.04</v>
      </c>
      <c r="H48" s="225"/>
      <c r="I48" s="226">
        <v>4</v>
      </c>
      <c r="J48" s="226">
        <v>4</v>
      </c>
      <c r="K48" s="223"/>
      <c r="L48" s="227">
        <v>1553.1058599999999</v>
      </c>
      <c r="M48" s="227">
        <v>1460.2248500000001</v>
      </c>
      <c r="N48" s="227">
        <v>3013.3307100000002</v>
      </c>
      <c r="O48" s="222">
        <v>1016.94053510021</v>
      </c>
      <c r="P48" s="228">
        <v>287.5</v>
      </c>
      <c r="Q48" s="234">
        <v>3.53718446991377</v>
      </c>
      <c r="R48" s="235">
        <v>2083.0549035475801</v>
      </c>
      <c r="S48" s="224">
        <v>0.01</v>
      </c>
      <c r="T48" s="224">
        <v>0.01</v>
      </c>
      <c r="U48" s="231">
        <v>0</v>
      </c>
      <c r="V48" s="232">
        <v>0</v>
      </c>
      <c r="W48" s="223"/>
      <c r="X48" s="231">
        <v>1375.4146149999999</v>
      </c>
      <c r="Y48" s="222">
        <v>464.17569433085902</v>
      </c>
      <c r="Z48" s="233">
        <v>573</v>
      </c>
      <c r="AA48" s="244">
        <v>0.81007974577811304</v>
      </c>
      <c r="AB48" s="227">
        <v>-478.66551403386302</v>
      </c>
      <c r="AC48" s="224"/>
      <c r="AD48" s="224"/>
      <c r="AE48" s="232">
        <v>323</v>
      </c>
      <c r="AF48" s="232">
        <v>663</v>
      </c>
      <c r="AG48" s="223"/>
      <c r="AH48" s="236">
        <v>155.5</v>
      </c>
      <c r="AI48" s="222">
        <v>52.4782270606078</v>
      </c>
      <c r="AJ48" s="237" t="s">
        <v>54</v>
      </c>
      <c r="AK48" s="244">
        <v>0.83298773112075897</v>
      </c>
      <c r="AL48" s="227">
        <v>-48.3517419356603</v>
      </c>
      <c r="AM48" s="224"/>
      <c r="AN48" s="224"/>
      <c r="AO48" s="232">
        <v>32</v>
      </c>
      <c r="AP48" s="232">
        <v>69</v>
      </c>
      <c r="AQ48" s="223"/>
      <c r="AR48" s="236">
        <v>56.9</v>
      </c>
      <c r="AS48" s="222">
        <v>19.2026438569041</v>
      </c>
      <c r="AT48" s="237" t="s">
        <v>55</v>
      </c>
      <c r="AU48" s="234">
        <v>1.20016524105651</v>
      </c>
      <c r="AV48" s="235">
        <v>5.1281290322132396</v>
      </c>
      <c r="AW48" s="224">
        <v>0.01</v>
      </c>
      <c r="AX48" s="224">
        <v>0.01</v>
      </c>
      <c r="AY48" s="232">
        <v>0</v>
      </c>
      <c r="AZ48" s="232">
        <v>0</v>
      </c>
      <c r="BA48" s="223"/>
      <c r="BB48" s="240">
        <v>118</v>
      </c>
      <c r="BC48" s="236">
        <v>39.8227060652844</v>
      </c>
      <c r="BD48" s="237" t="s">
        <v>56</v>
      </c>
      <c r="BE48" s="234">
        <v>1.24445956454014</v>
      </c>
      <c r="BF48" s="235">
        <v>14.4562580644265</v>
      </c>
      <c r="BG48" s="224">
        <v>0.02</v>
      </c>
      <c r="BH48" s="224">
        <v>0.02</v>
      </c>
      <c r="BI48" s="232">
        <v>0</v>
      </c>
      <c r="BJ48" s="232">
        <v>0</v>
      </c>
      <c r="BK48" s="225"/>
      <c r="BL48" s="241">
        <v>0.8</v>
      </c>
      <c r="BM48" s="229">
        <v>0.64</v>
      </c>
      <c r="BN48" s="242"/>
      <c r="BO48" s="243">
        <v>0.95</v>
      </c>
      <c r="BP48" s="234">
        <v>1</v>
      </c>
      <c r="BQ48" s="242">
        <v>2.5000000000000001E-3</v>
      </c>
    </row>
    <row r="49" spans="1:69" s="211" customFormat="1" ht="22.35" customHeight="1" x14ac:dyDescent="0.2">
      <c r="A49" s="221" t="s">
        <v>81</v>
      </c>
      <c r="B49" s="221" t="s">
        <v>101</v>
      </c>
      <c r="C49" s="221" t="s">
        <v>103</v>
      </c>
      <c r="D49" s="222">
        <v>3.6627518924444402</v>
      </c>
      <c r="E49" s="223"/>
      <c r="F49" s="224">
        <v>0.01</v>
      </c>
      <c r="G49" s="224">
        <v>0.01</v>
      </c>
      <c r="H49" s="225"/>
      <c r="I49" s="226">
        <v>2</v>
      </c>
      <c r="J49" s="226">
        <v>2</v>
      </c>
      <c r="K49" s="223"/>
      <c r="L49" s="227">
        <v>3311.2720100000001</v>
      </c>
      <c r="M49" s="227">
        <v>305.02474000000001</v>
      </c>
      <c r="N49" s="227">
        <v>3616.29675</v>
      </c>
      <c r="O49" s="222">
        <v>987.31687435879201</v>
      </c>
      <c r="P49" s="228">
        <v>265.84899999999999</v>
      </c>
      <c r="Q49" s="234">
        <v>3.7138257971961202</v>
      </c>
      <c r="R49" s="235">
        <v>2552.97384078293</v>
      </c>
      <c r="S49" s="224">
        <v>0.01</v>
      </c>
      <c r="T49" s="224">
        <v>0.01</v>
      </c>
      <c r="U49" s="231">
        <v>0</v>
      </c>
      <c r="V49" s="232">
        <v>0</v>
      </c>
      <c r="W49" s="223"/>
      <c r="X49" s="231">
        <v>1623.6324750000001</v>
      </c>
      <c r="Y49" s="222">
        <v>443.28213394667603</v>
      </c>
      <c r="Z49" s="233">
        <v>573</v>
      </c>
      <c r="AA49" s="244">
        <v>0.77361628961025497</v>
      </c>
      <c r="AB49" s="227">
        <v>-668.20998813276503</v>
      </c>
      <c r="AC49" s="224"/>
      <c r="AD49" s="224"/>
      <c r="AE49" s="232">
        <v>476</v>
      </c>
      <c r="AF49" s="232">
        <v>895</v>
      </c>
      <c r="AG49" s="223"/>
      <c r="AH49" s="236">
        <v>120.5</v>
      </c>
      <c r="AI49" s="222">
        <v>32.898761242487801</v>
      </c>
      <c r="AJ49" s="237" t="s">
        <v>54</v>
      </c>
      <c r="AK49" s="229">
        <v>0.52220255940456795</v>
      </c>
      <c r="AL49" s="230">
        <v>-131.482679192608</v>
      </c>
      <c r="AM49" s="224"/>
      <c r="AN49" s="224"/>
      <c r="AO49" s="232">
        <v>111</v>
      </c>
      <c r="AP49" s="232">
        <v>157</v>
      </c>
      <c r="AQ49" s="223"/>
      <c r="AR49" s="236">
        <v>3.8</v>
      </c>
      <c r="AS49" s="222">
        <v>1.03747130889173</v>
      </c>
      <c r="AT49" s="237" t="s">
        <v>55</v>
      </c>
      <c r="AU49" s="229">
        <v>6.4841956805733098E-2</v>
      </c>
      <c r="AV49" s="230">
        <v>-60.195601064789301</v>
      </c>
      <c r="AW49" s="224"/>
      <c r="AX49" s="224"/>
      <c r="AY49" s="232">
        <v>55</v>
      </c>
      <c r="AZ49" s="232">
        <v>67</v>
      </c>
      <c r="BA49" s="223"/>
      <c r="BB49" s="240">
        <v>90.6</v>
      </c>
      <c r="BC49" s="236">
        <v>24.735500154102802</v>
      </c>
      <c r="BD49" s="237" t="s">
        <v>56</v>
      </c>
      <c r="BE49" s="244">
        <v>0.772984379815713</v>
      </c>
      <c r="BF49" s="227">
        <v>-37.391202129578502</v>
      </c>
      <c r="BG49" s="224"/>
      <c r="BH49" s="224"/>
      <c r="BI49" s="232">
        <v>27</v>
      </c>
      <c r="BJ49" s="232">
        <v>51</v>
      </c>
      <c r="BK49" s="225"/>
      <c r="BL49" s="241">
        <v>0.8</v>
      </c>
      <c r="BM49" s="229">
        <v>0.64</v>
      </c>
      <c r="BN49" s="242"/>
      <c r="BO49" s="243">
        <v>0.95</v>
      </c>
      <c r="BP49" s="234">
        <v>1</v>
      </c>
      <c r="BQ49" s="242">
        <v>2.5000000000000001E-3</v>
      </c>
    </row>
    <row r="50" spans="1:69" s="211" customFormat="1" ht="22.35" customHeight="1" x14ac:dyDescent="0.2">
      <c r="A50" s="221" t="s">
        <v>81</v>
      </c>
      <c r="B50" s="221" t="s">
        <v>101</v>
      </c>
      <c r="C50" s="221" t="s">
        <v>104</v>
      </c>
      <c r="D50" s="222">
        <v>4.5139963626666697</v>
      </c>
      <c r="E50" s="223"/>
      <c r="F50" s="224">
        <v>0.01</v>
      </c>
      <c r="G50" s="224">
        <v>0.01</v>
      </c>
      <c r="H50" s="225"/>
      <c r="I50" s="226">
        <v>2</v>
      </c>
      <c r="J50" s="226">
        <v>2</v>
      </c>
      <c r="K50" s="223"/>
      <c r="L50" s="227">
        <v>3301.9454799999999</v>
      </c>
      <c r="M50" s="227">
        <v>2189.7244500000002</v>
      </c>
      <c r="N50" s="227">
        <v>5491.66993</v>
      </c>
      <c r="O50" s="222">
        <v>1216.58714114598</v>
      </c>
      <c r="P50" s="228">
        <v>287.5</v>
      </c>
      <c r="Q50" s="234">
        <v>4.2316074474642802</v>
      </c>
      <c r="R50" s="235">
        <v>4074.5007719408</v>
      </c>
      <c r="S50" s="224">
        <v>0.01</v>
      </c>
      <c r="T50" s="224">
        <v>0.01</v>
      </c>
      <c r="U50" s="231">
        <v>0</v>
      </c>
      <c r="V50" s="232">
        <v>0</v>
      </c>
      <c r="W50" s="223"/>
      <c r="X50" s="231">
        <v>1433.9956099999999</v>
      </c>
      <c r="Y50" s="222">
        <v>317.67761752312498</v>
      </c>
      <c r="Z50" s="233">
        <v>573</v>
      </c>
      <c r="AA50" s="229">
        <v>0.55441119986583798</v>
      </c>
      <c r="AB50" s="230">
        <v>-1390.48413806234</v>
      </c>
      <c r="AC50" s="224"/>
      <c r="AD50" s="224"/>
      <c r="AE50" s="232">
        <v>1153</v>
      </c>
      <c r="AF50" s="232">
        <v>1670</v>
      </c>
      <c r="AG50" s="223"/>
      <c r="AH50" s="236">
        <v>143.1</v>
      </c>
      <c r="AI50" s="222">
        <v>31.701399049303401</v>
      </c>
      <c r="AJ50" s="237" t="s">
        <v>54</v>
      </c>
      <c r="AK50" s="229">
        <v>0.50319681030640295</v>
      </c>
      <c r="AL50" s="230">
        <v>-167.44489376601601</v>
      </c>
      <c r="AM50" s="224"/>
      <c r="AN50" s="224"/>
      <c r="AO50" s="232">
        <v>142</v>
      </c>
      <c r="AP50" s="232">
        <v>199</v>
      </c>
      <c r="AQ50" s="223"/>
      <c r="AR50" s="236">
        <v>17.100000000000001</v>
      </c>
      <c r="AS50" s="222">
        <v>3.7882174964576398</v>
      </c>
      <c r="AT50" s="237" t="s">
        <v>55</v>
      </c>
      <c r="AU50" s="229">
        <v>0.23676359352860299</v>
      </c>
      <c r="AV50" s="230">
        <v>-61.768544448512102</v>
      </c>
      <c r="AW50" s="224"/>
      <c r="AX50" s="224"/>
      <c r="AY50" s="232">
        <v>56</v>
      </c>
      <c r="AZ50" s="232">
        <v>70</v>
      </c>
      <c r="BA50" s="223"/>
      <c r="BB50" s="240">
        <v>102.6</v>
      </c>
      <c r="BC50" s="236">
        <v>22.729304978745802</v>
      </c>
      <c r="BD50" s="237" t="s">
        <v>56</v>
      </c>
      <c r="BE50" s="229">
        <v>0.71029078058580697</v>
      </c>
      <c r="BF50" s="230">
        <v>-55.1370888970241</v>
      </c>
      <c r="BG50" s="224"/>
      <c r="BH50" s="224"/>
      <c r="BI50" s="232">
        <v>42</v>
      </c>
      <c r="BJ50" s="232">
        <v>71</v>
      </c>
      <c r="BK50" s="225"/>
      <c r="BL50" s="241">
        <v>0.8</v>
      </c>
      <c r="BM50" s="229">
        <v>0.68</v>
      </c>
      <c r="BN50" s="242"/>
      <c r="BO50" s="243">
        <v>0.95</v>
      </c>
      <c r="BP50" s="234">
        <v>1</v>
      </c>
      <c r="BQ50" s="242">
        <v>2.5000000000000001E-3</v>
      </c>
    </row>
    <row r="51" spans="1:69" s="211" customFormat="1" ht="22.35" customHeight="1" x14ac:dyDescent="0.2">
      <c r="A51" s="221" t="s">
        <v>81</v>
      </c>
      <c r="B51" s="221" t="s">
        <v>101</v>
      </c>
      <c r="C51" s="221" t="s">
        <v>105</v>
      </c>
      <c r="D51" s="222">
        <v>2.2098362645555598</v>
      </c>
      <c r="E51" s="223"/>
      <c r="F51" s="224">
        <v>4.2999999999999997E-2</v>
      </c>
      <c r="G51" s="224">
        <v>3.3000000000000002E-2</v>
      </c>
      <c r="H51" s="225"/>
      <c r="I51" s="226">
        <v>4</v>
      </c>
      <c r="J51" s="226">
        <v>4</v>
      </c>
      <c r="K51" s="223"/>
      <c r="L51" s="227">
        <v>-422.94718999999998</v>
      </c>
      <c r="M51" s="227">
        <v>2039.14518</v>
      </c>
      <c r="N51" s="227">
        <v>1616.1979899999999</v>
      </c>
      <c r="O51" s="222">
        <v>731.36549341815203</v>
      </c>
      <c r="P51" s="228">
        <v>287.5</v>
      </c>
      <c r="Q51" s="234">
        <v>2.5438799771066201</v>
      </c>
      <c r="R51" s="235">
        <v>922.41989474278205</v>
      </c>
      <c r="S51" s="224">
        <v>0.01</v>
      </c>
      <c r="T51" s="224">
        <v>0.01</v>
      </c>
      <c r="U51" s="231">
        <v>0</v>
      </c>
      <c r="V51" s="232">
        <v>0</v>
      </c>
      <c r="W51" s="223"/>
      <c r="X51" s="231">
        <v>1098.531555</v>
      </c>
      <c r="Y51" s="222">
        <v>497.10993190752902</v>
      </c>
      <c r="Z51" s="233">
        <v>573</v>
      </c>
      <c r="AA51" s="244">
        <v>0.86755660018765901</v>
      </c>
      <c r="AB51" s="227">
        <v>-284.198353112647</v>
      </c>
      <c r="AC51" s="224"/>
      <c r="AD51" s="224"/>
      <c r="AE51" s="232">
        <v>168</v>
      </c>
      <c r="AF51" s="232">
        <v>421</v>
      </c>
      <c r="AG51" s="223"/>
      <c r="AH51" s="236">
        <v>143.44999999999999</v>
      </c>
      <c r="AI51" s="222">
        <v>64.914311662294494</v>
      </c>
      <c r="AJ51" s="237" t="s">
        <v>54</v>
      </c>
      <c r="AK51" s="238">
        <v>1.0303858994015</v>
      </c>
      <c r="AL51" s="239">
        <v>-8.5778956563642907</v>
      </c>
      <c r="AM51" s="224">
        <v>1.2999999999999999E-2</v>
      </c>
      <c r="AN51" s="224">
        <v>3.0000000000000001E-3</v>
      </c>
      <c r="AO51" s="232">
        <v>0</v>
      </c>
      <c r="AP51" s="232">
        <v>24</v>
      </c>
      <c r="AQ51" s="223"/>
      <c r="AR51" s="236">
        <v>9.3000000000000007</v>
      </c>
      <c r="AS51" s="222">
        <v>4.2084565943488199</v>
      </c>
      <c r="AT51" s="237" t="s">
        <v>55</v>
      </c>
      <c r="AU51" s="229">
        <v>0.26302853714680102</v>
      </c>
      <c r="AV51" s="230">
        <v>-29.310259214314701</v>
      </c>
      <c r="AW51" s="224"/>
      <c r="AX51" s="224"/>
      <c r="AY51" s="232">
        <v>27</v>
      </c>
      <c r="AZ51" s="232">
        <v>34</v>
      </c>
      <c r="BA51" s="223"/>
      <c r="BB51" s="240">
        <v>102.6</v>
      </c>
      <c r="BC51" s="236">
        <v>46.428779202170901</v>
      </c>
      <c r="BD51" s="237" t="s">
        <v>56</v>
      </c>
      <c r="BE51" s="234">
        <v>1.45089935006784</v>
      </c>
      <c r="BF51" s="235">
        <v>25.379481571370501</v>
      </c>
      <c r="BG51" s="224">
        <v>0.02</v>
      </c>
      <c r="BH51" s="224">
        <v>0.02</v>
      </c>
      <c r="BI51" s="232">
        <v>0</v>
      </c>
      <c r="BJ51" s="232">
        <v>0</v>
      </c>
      <c r="BK51" s="225"/>
      <c r="BL51" s="241">
        <v>0.8</v>
      </c>
      <c r="BM51" s="244">
        <v>0.73</v>
      </c>
      <c r="BN51" s="242"/>
      <c r="BO51" s="243">
        <v>0.95</v>
      </c>
      <c r="BP51" s="234">
        <v>1</v>
      </c>
      <c r="BQ51" s="242">
        <v>2.5000000000000001E-3</v>
      </c>
    </row>
    <row r="52" spans="1:69" s="211" customFormat="1" ht="22.35" customHeight="1" x14ac:dyDescent="0.2">
      <c r="A52" s="221" t="s">
        <v>81</v>
      </c>
      <c r="B52" s="221" t="s">
        <v>101</v>
      </c>
      <c r="C52" s="221" t="s">
        <v>106</v>
      </c>
      <c r="D52" s="222">
        <v>7.7514398572222198</v>
      </c>
      <c r="E52" s="223"/>
      <c r="F52" s="224">
        <v>3.4000000000000002E-2</v>
      </c>
      <c r="G52" s="224">
        <v>1.4E-2</v>
      </c>
      <c r="H52" s="225"/>
      <c r="I52" s="226">
        <v>4</v>
      </c>
      <c r="J52" s="226">
        <v>3</v>
      </c>
      <c r="K52" s="223"/>
      <c r="L52" s="227">
        <v>6012.0926799999997</v>
      </c>
      <c r="M52" s="227">
        <v>3321.23855</v>
      </c>
      <c r="N52" s="227">
        <v>9333.3312299999998</v>
      </c>
      <c r="O52" s="222">
        <v>1204.0771007600499</v>
      </c>
      <c r="P52" s="228">
        <v>287.5</v>
      </c>
      <c r="Q52" s="234">
        <v>4.1880942635132197</v>
      </c>
      <c r="R52" s="235">
        <v>6899.7666868250799</v>
      </c>
      <c r="S52" s="224">
        <v>0.01</v>
      </c>
      <c r="T52" s="224">
        <v>0.01</v>
      </c>
      <c r="U52" s="231">
        <v>0</v>
      </c>
      <c r="V52" s="232">
        <v>0</v>
      </c>
      <c r="W52" s="223"/>
      <c r="X52" s="231">
        <v>4627.2380400000002</v>
      </c>
      <c r="Y52" s="222">
        <v>596.95206635560498</v>
      </c>
      <c r="Z52" s="233">
        <v>573</v>
      </c>
      <c r="AA52" s="238">
        <v>1.0418011629242701</v>
      </c>
      <c r="AB52" s="239">
        <v>-222.96190170165801</v>
      </c>
      <c r="AC52" s="224">
        <v>1.4E-2</v>
      </c>
      <c r="AD52" s="224">
        <v>4.0000000000000001E-3</v>
      </c>
      <c r="AE52" s="232">
        <v>0</v>
      </c>
      <c r="AF52" s="232">
        <v>703</v>
      </c>
      <c r="AG52" s="223"/>
      <c r="AH52" s="236">
        <v>415.7</v>
      </c>
      <c r="AI52" s="222">
        <v>53.6287460984015</v>
      </c>
      <c r="AJ52" s="237" t="s">
        <v>54</v>
      </c>
      <c r="AK52" s="244">
        <v>0.85124993806986504</v>
      </c>
      <c r="AL52" s="227">
        <v>-117.56805641746</v>
      </c>
      <c r="AM52" s="224"/>
      <c r="AN52" s="224"/>
      <c r="AO52" s="232">
        <v>73</v>
      </c>
      <c r="AP52" s="232">
        <v>171</v>
      </c>
      <c r="AQ52" s="223"/>
      <c r="AR52" s="236">
        <v>80.599999999999994</v>
      </c>
      <c r="AS52" s="222">
        <v>10.3980681634139</v>
      </c>
      <c r="AT52" s="237" t="s">
        <v>55</v>
      </c>
      <c r="AU52" s="229">
        <v>0.64987926021336895</v>
      </c>
      <c r="AV52" s="230">
        <v>-54.833157185386597</v>
      </c>
      <c r="AW52" s="224"/>
      <c r="AX52" s="224"/>
      <c r="AY52" s="232">
        <v>44</v>
      </c>
      <c r="AZ52" s="232">
        <v>69</v>
      </c>
      <c r="BA52" s="223"/>
      <c r="BB52" s="240">
        <v>247.6</v>
      </c>
      <c r="BC52" s="236">
        <v>31.942452571479901</v>
      </c>
      <c r="BD52" s="237" t="s">
        <v>56</v>
      </c>
      <c r="BE52" s="238">
        <v>0.99820164285874802</v>
      </c>
      <c r="BF52" s="239">
        <v>-23.266314370773301</v>
      </c>
      <c r="BG52" s="224">
        <v>0.01</v>
      </c>
      <c r="BH52" s="224">
        <v>0</v>
      </c>
      <c r="BI52" s="232">
        <v>1</v>
      </c>
      <c r="BJ52" s="232">
        <v>51</v>
      </c>
      <c r="BK52" s="225"/>
      <c r="BL52" s="241">
        <v>0.8</v>
      </c>
      <c r="BM52" s="244">
        <v>0.73</v>
      </c>
      <c r="BN52" s="242"/>
      <c r="BO52" s="243">
        <v>0.95</v>
      </c>
      <c r="BP52" s="234">
        <v>1</v>
      </c>
      <c r="BQ52" s="242">
        <v>2.5000000000000001E-3</v>
      </c>
    </row>
    <row r="53" spans="1:69" s="211" customFormat="1" ht="22.35" customHeight="1" x14ac:dyDescent="0.2">
      <c r="A53" s="221" t="s">
        <v>81</v>
      </c>
      <c r="B53" s="221" t="s">
        <v>101</v>
      </c>
      <c r="C53" s="221" t="s">
        <v>107</v>
      </c>
      <c r="D53" s="222">
        <v>4.7798890690000002</v>
      </c>
      <c r="E53" s="223"/>
      <c r="F53" s="224">
        <v>2.4E-2</v>
      </c>
      <c r="G53" s="224">
        <v>1.4E-2</v>
      </c>
      <c r="H53" s="225"/>
      <c r="I53" s="226">
        <v>3</v>
      </c>
      <c r="J53" s="226">
        <v>3</v>
      </c>
      <c r="K53" s="223"/>
      <c r="L53" s="227">
        <v>942.15089999999998</v>
      </c>
      <c r="M53" s="227">
        <v>1482.28673</v>
      </c>
      <c r="N53" s="227">
        <v>2424.4376299999999</v>
      </c>
      <c r="O53" s="222">
        <v>507.21629623660198</v>
      </c>
      <c r="P53" s="228">
        <v>284.87700000000001</v>
      </c>
      <c r="Q53" s="234">
        <v>1.78047471798917</v>
      </c>
      <c r="R53" s="235">
        <v>937.48256952601105</v>
      </c>
      <c r="S53" s="224">
        <v>0.01</v>
      </c>
      <c r="T53" s="224">
        <v>0.01</v>
      </c>
      <c r="U53" s="231">
        <v>0</v>
      </c>
      <c r="V53" s="232">
        <v>0</v>
      </c>
      <c r="W53" s="223"/>
      <c r="X53" s="231">
        <v>2289.9461249999999</v>
      </c>
      <c r="Y53" s="222">
        <v>479.079345136158</v>
      </c>
      <c r="Z53" s="233">
        <v>573</v>
      </c>
      <c r="AA53" s="244">
        <v>0.83608960756746598</v>
      </c>
      <c r="AB53" s="227">
        <v>-700.90694369840401</v>
      </c>
      <c r="AC53" s="224"/>
      <c r="AD53" s="224"/>
      <c r="AE53" s="232">
        <v>449</v>
      </c>
      <c r="AF53" s="232">
        <v>997</v>
      </c>
      <c r="AG53" s="223"/>
      <c r="AH53" s="236">
        <v>163.15</v>
      </c>
      <c r="AI53" s="222">
        <v>34.132591289222603</v>
      </c>
      <c r="AJ53" s="237" t="s">
        <v>54</v>
      </c>
      <c r="AK53" s="229">
        <v>0.54178716332099397</v>
      </c>
      <c r="AL53" s="230">
        <v>-165.687248390924</v>
      </c>
      <c r="AM53" s="224"/>
      <c r="AN53" s="224"/>
      <c r="AO53" s="232">
        <v>138</v>
      </c>
      <c r="AP53" s="232">
        <v>199</v>
      </c>
      <c r="AQ53" s="223"/>
      <c r="AR53" s="236">
        <v>23.2</v>
      </c>
      <c r="AS53" s="222">
        <v>4.8536691260187901</v>
      </c>
      <c r="AT53" s="237" t="s">
        <v>55</v>
      </c>
      <c r="AU53" s="229">
        <v>0.30335432037617399</v>
      </c>
      <c r="AV53" s="230">
        <v>-60.314221813567997</v>
      </c>
      <c r="AW53" s="224"/>
      <c r="AX53" s="224"/>
      <c r="AY53" s="232">
        <v>54</v>
      </c>
      <c r="AZ53" s="232">
        <v>69</v>
      </c>
      <c r="BA53" s="223"/>
      <c r="BB53" s="240">
        <v>158.80000000000001</v>
      </c>
      <c r="BC53" s="236">
        <v>33.2225283280941</v>
      </c>
      <c r="BD53" s="237" t="s">
        <v>56</v>
      </c>
      <c r="BE53" s="238">
        <v>1.03820401025294</v>
      </c>
      <c r="BF53" s="239">
        <v>-8.22844362713602</v>
      </c>
      <c r="BG53" s="224">
        <v>1.4E-2</v>
      </c>
      <c r="BH53" s="224">
        <v>4.0000000000000001E-3</v>
      </c>
      <c r="BI53" s="232">
        <v>0</v>
      </c>
      <c r="BJ53" s="232">
        <v>25</v>
      </c>
      <c r="BK53" s="225"/>
      <c r="BL53" s="241">
        <v>0.8</v>
      </c>
      <c r="BM53" s="244">
        <v>0.7</v>
      </c>
      <c r="BN53" s="242"/>
      <c r="BO53" s="243">
        <v>0.95</v>
      </c>
      <c r="BP53" s="234">
        <v>1</v>
      </c>
      <c r="BQ53" s="242">
        <v>2.5000000000000001E-3</v>
      </c>
    </row>
    <row r="54" spans="1:69" s="211" customFormat="1" ht="22.35" customHeight="1" x14ac:dyDescent="0.2">
      <c r="A54" s="221" t="s">
        <v>81</v>
      </c>
      <c r="B54" s="221" t="s">
        <v>101</v>
      </c>
      <c r="C54" s="221" t="s">
        <v>108</v>
      </c>
      <c r="D54" s="222">
        <v>2.5187938062222202</v>
      </c>
      <c r="E54" s="223"/>
      <c r="F54" s="224">
        <v>5.2999999999999999E-2</v>
      </c>
      <c r="G54" s="224">
        <v>3.5000000000000003E-2</v>
      </c>
      <c r="H54" s="225"/>
      <c r="I54" s="226">
        <v>5</v>
      </c>
      <c r="J54" s="226">
        <v>4</v>
      </c>
      <c r="K54" s="223"/>
      <c r="L54" s="227">
        <v>1242.9356600000001</v>
      </c>
      <c r="M54" s="227">
        <v>-56.166049999999998</v>
      </c>
      <c r="N54" s="227">
        <v>1186.7696100000001</v>
      </c>
      <c r="O54" s="222">
        <v>471.16584417045198</v>
      </c>
      <c r="P54" s="228">
        <v>239.02500000000001</v>
      </c>
      <c r="Q54" s="234">
        <v>1.9711990133686901</v>
      </c>
      <c r="R54" s="235">
        <v>529.32588903076498</v>
      </c>
      <c r="S54" s="224">
        <v>0.01</v>
      </c>
      <c r="T54" s="224">
        <v>0.01</v>
      </c>
      <c r="U54" s="231">
        <v>0</v>
      </c>
      <c r="V54" s="232">
        <v>0</v>
      </c>
      <c r="W54" s="223"/>
      <c r="X54" s="231">
        <v>1750.849835</v>
      </c>
      <c r="Y54" s="222">
        <v>695.11439589649797</v>
      </c>
      <c r="Z54" s="233">
        <v>573</v>
      </c>
      <c r="AA54" s="234">
        <v>1.21311412896422</v>
      </c>
      <c r="AB54" s="235">
        <v>174.800249745857</v>
      </c>
      <c r="AC54" s="224">
        <v>0.02</v>
      </c>
      <c r="AD54" s="224">
        <v>0.02</v>
      </c>
      <c r="AE54" s="232">
        <v>0</v>
      </c>
      <c r="AF54" s="232">
        <v>0</v>
      </c>
      <c r="AG54" s="223"/>
      <c r="AH54" s="236">
        <v>167.3</v>
      </c>
      <c r="AI54" s="222">
        <v>66.420681036580206</v>
      </c>
      <c r="AJ54" s="237" t="s">
        <v>54</v>
      </c>
      <c r="AK54" s="238">
        <v>1.0542965243901601</v>
      </c>
      <c r="AL54" s="239">
        <v>-5.9829386928638497</v>
      </c>
      <c r="AM54" s="224">
        <v>1.6E-2</v>
      </c>
      <c r="AN54" s="224">
        <v>5.0000000000000001E-3</v>
      </c>
      <c r="AO54" s="232">
        <v>0</v>
      </c>
      <c r="AP54" s="232">
        <v>24</v>
      </c>
      <c r="AQ54" s="223"/>
      <c r="AR54" s="236">
        <v>15.8</v>
      </c>
      <c r="AS54" s="222">
        <v>6.2728437559950203</v>
      </c>
      <c r="AT54" s="237" t="s">
        <v>55</v>
      </c>
      <c r="AU54" s="229">
        <v>0.39205273474968899</v>
      </c>
      <c r="AV54" s="230">
        <v>-28.2083653823146</v>
      </c>
      <c r="AW54" s="224"/>
      <c r="AX54" s="224"/>
      <c r="AY54" s="232">
        <v>25</v>
      </c>
      <c r="AZ54" s="232">
        <v>33</v>
      </c>
      <c r="BA54" s="223"/>
      <c r="BB54" s="240">
        <v>78.8</v>
      </c>
      <c r="BC54" s="236">
        <v>31.284815694456199</v>
      </c>
      <c r="BD54" s="237" t="s">
        <v>56</v>
      </c>
      <c r="BE54" s="238">
        <v>0.977650490451756</v>
      </c>
      <c r="BF54" s="239">
        <v>-9.2167307646292702</v>
      </c>
      <c r="BG54" s="224">
        <v>7.0000000000000001E-3</v>
      </c>
      <c r="BH54" s="224"/>
      <c r="BI54" s="232">
        <v>2</v>
      </c>
      <c r="BJ54" s="232">
        <v>18</v>
      </c>
      <c r="BK54" s="225"/>
      <c r="BL54" s="241">
        <v>0.8</v>
      </c>
      <c r="BM54" s="244">
        <v>0.7</v>
      </c>
      <c r="BN54" s="242"/>
      <c r="BO54" s="243">
        <v>0.95</v>
      </c>
      <c r="BP54" s="234">
        <v>1</v>
      </c>
      <c r="BQ54" s="242">
        <v>2.5000000000000001E-3</v>
      </c>
    </row>
    <row r="55" spans="1:69" s="211" customFormat="1" ht="22.35" customHeight="1" x14ac:dyDescent="0.2">
      <c r="A55" s="221" t="s">
        <v>81</v>
      </c>
      <c r="B55" s="221" t="s">
        <v>101</v>
      </c>
      <c r="C55" s="221" t="s">
        <v>109</v>
      </c>
      <c r="D55" s="222">
        <v>2.56970437377778</v>
      </c>
      <c r="E55" s="223"/>
      <c r="F55" s="224">
        <v>0.01</v>
      </c>
      <c r="G55" s="224">
        <v>0.01</v>
      </c>
      <c r="H55" s="225"/>
      <c r="I55" s="226">
        <v>2</v>
      </c>
      <c r="J55" s="226">
        <v>2</v>
      </c>
      <c r="K55" s="223"/>
      <c r="L55" s="227">
        <v>466.75184999999999</v>
      </c>
      <c r="M55" s="227">
        <v>391.03870000000001</v>
      </c>
      <c r="N55" s="227">
        <v>857.79055000000005</v>
      </c>
      <c r="O55" s="222">
        <v>333.80903996320097</v>
      </c>
      <c r="P55" s="228">
        <v>273.43799999999999</v>
      </c>
      <c r="Q55" s="234">
        <v>1.2207851138583601</v>
      </c>
      <c r="R55" s="235">
        <v>90.491481583702793</v>
      </c>
      <c r="S55" s="224">
        <v>0.01</v>
      </c>
      <c r="T55" s="224">
        <v>0.01</v>
      </c>
      <c r="U55" s="231">
        <v>0</v>
      </c>
      <c r="V55" s="232">
        <v>0</v>
      </c>
      <c r="W55" s="223"/>
      <c r="X55" s="231">
        <v>1005.73497</v>
      </c>
      <c r="Y55" s="222">
        <v>391.381584692346</v>
      </c>
      <c r="Z55" s="233">
        <v>573</v>
      </c>
      <c r="AA55" s="229">
        <v>0.68303941482084896</v>
      </c>
      <c r="AB55" s="230">
        <v>-602.17017194273706</v>
      </c>
      <c r="AC55" s="224"/>
      <c r="AD55" s="224"/>
      <c r="AE55" s="232">
        <v>467</v>
      </c>
      <c r="AF55" s="232">
        <v>762</v>
      </c>
      <c r="AG55" s="223"/>
      <c r="AH55" s="236">
        <v>97.9</v>
      </c>
      <c r="AI55" s="222">
        <v>38.097767587201098</v>
      </c>
      <c r="AJ55" s="237" t="s">
        <v>54</v>
      </c>
      <c r="AK55" s="229">
        <v>0.60472646963811305</v>
      </c>
      <c r="AL55" s="230">
        <v>-78.885382098416201</v>
      </c>
      <c r="AM55" s="224"/>
      <c r="AN55" s="224"/>
      <c r="AO55" s="232">
        <v>64</v>
      </c>
      <c r="AP55" s="232">
        <v>97</v>
      </c>
      <c r="AQ55" s="223"/>
      <c r="AR55" s="236">
        <v>7</v>
      </c>
      <c r="AS55" s="222">
        <v>2.7240487549582002</v>
      </c>
      <c r="AT55" s="237" t="s">
        <v>55</v>
      </c>
      <c r="AU55" s="229">
        <v>0.17025304718488701</v>
      </c>
      <c r="AV55" s="230">
        <v>-37.897874818645398</v>
      </c>
      <c r="AW55" s="224"/>
      <c r="AX55" s="224"/>
      <c r="AY55" s="232">
        <v>35</v>
      </c>
      <c r="AZ55" s="232">
        <v>43</v>
      </c>
      <c r="BA55" s="223"/>
      <c r="BB55" s="240">
        <v>59.4</v>
      </c>
      <c r="BC55" s="236">
        <v>23.115499434930999</v>
      </c>
      <c r="BD55" s="237" t="s">
        <v>56</v>
      </c>
      <c r="BE55" s="229">
        <v>0.72235935734159396</v>
      </c>
      <c r="BF55" s="230">
        <v>-30.395749637290798</v>
      </c>
      <c r="BG55" s="224"/>
      <c r="BH55" s="224"/>
      <c r="BI55" s="232">
        <v>23</v>
      </c>
      <c r="BJ55" s="232">
        <v>40</v>
      </c>
      <c r="BK55" s="225"/>
      <c r="BL55" s="241">
        <v>0.8</v>
      </c>
      <c r="BM55" s="244">
        <v>0.74</v>
      </c>
      <c r="BN55" s="242"/>
      <c r="BO55" s="243">
        <v>0.95</v>
      </c>
      <c r="BP55" s="234">
        <v>1</v>
      </c>
      <c r="BQ55" s="242">
        <v>2.5000000000000001E-3</v>
      </c>
    </row>
    <row r="56" spans="1:69" s="211" customFormat="1" ht="22.35" customHeight="1" x14ac:dyDescent="0.2">
      <c r="A56" s="221" t="s">
        <v>81</v>
      </c>
      <c r="B56" s="221" t="s">
        <v>101</v>
      </c>
      <c r="C56" s="221" t="s">
        <v>110</v>
      </c>
      <c r="D56" s="222">
        <v>5.2395012254444397</v>
      </c>
      <c r="E56" s="223"/>
      <c r="F56" s="224">
        <v>2.7E-2</v>
      </c>
      <c r="G56" s="224">
        <v>1.7000000000000001E-2</v>
      </c>
      <c r="H56" s="225"/>
      <c r="I56" s="226">
        <v>3</v>
      </c>
      <c r="J56" s="226">
        <v>3</v>
      </c>
      <c r="K56" s="223"/>
      <c r="L56" s="227">
        <v>2040.5803000000001</v>
      </c>
      <c r="M56" s="227">
        <v>1305.0040100000001</v>
      </c>
      <c r="N56" s="227">
        <v>3345.5843100000002</v>
      </c>
      <c r="O56" s="222">
        <v>638.531067375828</v>
      </c>
      <c r="P56" s="228">
        <v>287.5</v>
      </c>
      <c r="Q56" s="234">
        <v>2.22097762565505</v>
      </c>
      <c r="R56" s="235">
        <v>1700.64290027172</v>
      </c>
      <c r="S56" s="224">
        <v>0.01</v>
      </c>
      <c r="T56" s="224">
        <v>0.01</v>
      </c>
      <c r="U56" s="231">
        <v>0</v>
      </c>
      <c r="V56" s="232">
        <v>0</v>
      </c>
      <c r="W56" s="223"/>
      <c r="X56" s="231">
        <v>2171.8479699999998</v>
      </c>
      <c r="Y56" s="222">
        <v>414.51425938272803</v>
      </c>
      <c r="Z56" s="233">
        <v>573</v>
      </c>
      <c r="AA56" s="229">
        <v>0.72341057483896698</v>
      </c>
      <c r="AB56" s="230">
        <v>-1106.59177878019</v>
      </c>
      <c r="AC56" s="224"/>
      <c r="AD56" s="224"/>
      <c r="AE56" s="232">
        <v>831</v>
      </c>
      <c r="AF56" s="232">
        <v>1431</v>
      </c>
      <c r="AG56" s="223"/>
      <c r="AH56" s="236">
        <v>145.80000000000001</v>
      </c>
      <c r="AI56" s="222">
        <v>27.827076228545501</v>
      </c>
      <c r="AJ56" s="237" t="s">
        <v>54</v>
      </c>
      <c r="AK56" s="229">
        <v>0.44169962267532498</v>
      </c>
      <c r="AL56" s="230">
        <v>-214.65672630567599</v>
      </c>
      <c r="AM56" s="224"/>
      <c r="AN56" s="224"/>
      <c r="AO56" s="232">
        <v>185</v>
      </c>
      <c r="AP56" s="232">
        <v>251</v>
      </c>
      <c r="AQ56" s="223"/>
      <c r="AR56" s="236">
        <v>26.3</v>
      </c>
      <c r="AS56" s="222">
        <v>5.0195617613905803</v>
      </c>
      <c r="AT56" s="237" t="s">
        <v>55</v>
      </c>
      <c r="AU56" s="229">
        <v>0.31372261008691099</v>
      </c>
      <c r="AV56" s="230">
        <v>-65.244565410965293</v>
      </c>
      <c r="AW56" s="224"/>
      <c r="AX56" s="224"/>
      <c r="AY56" s="232">
        <v>58</v>
      </c>
      <c r="AZ56" s="232">
        <v>75</v>
      </c>
      <c r="BA56" s="223"/>
      <c r="BB56" s="240">
        <v>178.8</v>
      </c>
      <c r="BC56" s="236">
        <v>34.125385662989899</v>
      </c>
      <c r="BD56" s="237" t="s">
        <v>56</v>
      </c>
      <c r="BE56" s="238">
        <v>1.0664183019684399</v>
      </c>
      <c r="BF56" s="239">
        <v>-4.2891308219305104</v>
      </c>
      <c r="BG56" s="224">
        <v>1.7000000000000001E-2</v>
      </c>
      <c r="BH56" s="224">
        <v>7.0000000000000001E-3</v>
      </c>
      <c r="BI56" s="232">
        <v>0</v>
      </c>
      <c r="BJ56" s="232">
        <v>23</v>
      </c>
      <c r="BK56" s="225"/>
      <c r="BL56" s="241">
        <v>0.8</v>
      </c>
      <c r="BM56" s="244">
        <v>0.7</v>
      </c>
      <c r="BN56" s="242"/>
      <c r="BO56" s="243">
        <v>0.95</v>
      </c>
      <c r="BP56" s="234">
        <v>1</v>
      </c>
      <c r="BQ56" s="242">
        <v>2.5000000000000001E-3</v>
      </c>
    </row>
    <row r="57" spans="1:69" s="211" customFormat="1" ht="22.35" customHeight="1" x14ac:dyDescent="0.2">
      <c r="A57" s="221" t="s">
        <v>81</v>
      </c>
      <c r="B57" s="221" t="s">
        <v>101</v>
      </c>
      <c r="C57" s="221" t="s">
        <v>111</v>
      </c>
      <c r="D57" s="222">
        <v>2.6352440239999999</v>
      </c>
      <c r="E57" s="223"/>
      <c r="F57" s="224">
        <v>0.06</v>
      </c>
      <c r="G57" s="224">
        <v>0.06</v>
      </c>
      <c r="H57" s="225"/>
      <c r="I57" s="226">
        <v>5</v>
      </c>
      <c r="J57" s="226">
        <v>5</v>
      </c>
      <c r="K57" s="223"/>
      <c r="L57" s="227">
        <v>1834.59843</v>
      </c>
      <c r="M57" s="227">
        <v>2826.4283099999998</v>
      </c>
      <c r="N57" s="227">
        <v>4661.0267400000002</v>
      </c>
      <c r="O57" s="222">
        <v>1768.7268038749201</v>
      </c>
      <c r="P57" s="228">
        <v>269.755</v>
      </c>
      <c r="Q57" s="234">
        <v>6.5567896938886001</v>
      </c>
      <c r="R57" s="235">
        <v>3884.7564251500198</v>
      </c>
      <c r="S57" s="224">
        <v>0.01</v>
      </c>
      <c r="T57" s="224">
        <v>0.01</v>
      </c>
      <c r="U57" s="231">
        <v>0</v>
      </c>
      <c r="V57" s="232">
        <v>0</v>
      </c>
      <c r="W57" s="223"/>
      <c r="X57" s="231">
        <v>1869.0135700000001</v>
      </c>
      <c r="Y57" s="222">
        <v>709.23738104642405</v>
      </c>
      <c r="Z57" s="233">
        <v>573</v>
      </c>
      <c r="AA57" s="234">
        <v>1.23776157250685</v>
      </c>
      <c r="AB57" s="235">
        <v>220.09922027881601</v>
      </c>
      <c r="AC57" s="224">
        <v>0.02</v>
      </c>
      <c r="AD57" s="224">
        <v>0.02</v>
      </c>
      <c r="AE57" s="232">
        <v>0</v>
      </c>
      <c r="AF57" s="232">
        <v>0</v>
      </c>
      <c r="AG57" s="223"/>
      <c r="AH57" s="236">
        <v>148.94999999999999</v>
      </c>
      <c r="AI57" s="222">
        <v>56.522279775028501</v>
      </c>
      <c r="AJ57" s="237" t="s">
        <v>54</v>
      </c>
      <c r="AK57" s="244">
        <v>0.89717904404807203</v>
      </c>
      <c r="AL57" s="227">
        <v>-32.344247875104003</v>
      </c>
      <c r="AM57" s="224"/>
      <c r="AN57" s="224"/>
      <c r="AO57" s="232">
        <v>18</v>
      </c>
      <c r="AP57" s="232">
        <v>51</v>
      </c>
      <c r="AQ57" s="223"/>
      <c r="AR57" s="236">
        <v>63.4</v>
      </c>
      <c r="AS57" s="222">
        <v>24.058493036165199</v>
      </c>
      <c r="AT57" s="237" t="s">
        <v>55</v>
      </c>
      <c r="AU57" s="234">
        <v>1.5036558147603301</v>
      </c>
      <c r="AV57" s="235">
        <v>17.357016412671999</v>
      </c>
      <c r="AW57" s="224">
        <v>0.01</v>
      </c>
      <c r="AX57" s="224">
        <v>0.01</v>
      </c>
      <c r="AY57" s="232">
        <v>0</v>
      </c>
      <c r="AZ57" s="232">
        <v>0</v>
      </c>
      <c r="BA57" s="223"/>
      <c r="BB57" s="240">
        <v>134.80000000000001</v>
      </c>
      <c r="BC57" s="236">
        <v>51.152758064275602</v>
      </c>
      <c r="BD57" s="237" t="s">
        <v>56</v>
      </c>
      <c r="BE57" s="234">
        <v>1.5985236895086099</v>
      </c>
      <c r="BF57" s="235">
        <v>42.714032825343999</v>
      </c>
      <c r="BG57" s="224">
        <v>0.02</v>
      </c>
      <c r="BH57" s="224">
        <v>0.02</v>
      </c>
      <c r="BI57" s="232">
        <v>0</v>
      </c>
      <c r="BJ57" s="232">
        <v>0</v>
      </c>
      <c r="BK57" s="225"/>
      <c r="BL57" s="241">
        <v>0.8</v>
      </c>
      <c r="BM57" s="244">
        <v>0.73</v>
      </c>
      <c r="BN57" s="242"/>
      <c r="BO57" s="243">
        <v>0.95</v>
      </c>
      <c r="BP57" s="234">
        <v>1</v>
      </c>
      <c r="BQ57" s="242">
        <v>2.5000000000000001E-3</v>
      </c>
    </row>
    <row r="58" spans="1:69" s="211" customFormat="1" ht="22.35" customHeight="1" x14ac:dyDescent="0.2">
      <c r="A58" s="221" t="s">
        <v>81</v>
      </c>
      <c r="B58" s="221" t="s">
        <v>101</v>
      </c>
      <c r="C58" s="221" t="s">
        <v>112</v>
      </c>
      <c r="D58" s="222">
        <v>5.3559300766666702</v>
      </c>
      <c r="E58" s="223"/>
      <c r="F58" s="224">
        <v>0.03</v>
      </c>
      <c r="G58" s="224">
        <v>0.02</v>
      </c>
      <c r="H58" s="225"/>
      <c r="I58" s="226">
        <v>3</v>
      </c>
      <c r="J58" s="226">
        <v>3</v>
      </c>
      <c r="K58" s="223"/>
      <c r="L58" s="227">
        <v>3012.1510400000002</v>
      </c>
      <c r="M58" s="227">
        <v>703.85756000000003</v>
      </c>
      <c r="N58" s="227">
        <v>3716.0086000000001</v>
      </c>
      <c r="O58" s="222">
        <v>693.812007776006</v>
      </c>
      <c r="P58" s="228">
        <v>280.08499999999998</v>
      </c>
      <c r="Q58" s="234">
        <v>2.4771480364032601</v>
      </c>
      <c r="R58" s="235">
        <v>2077.88228232868</v>
      </c>
      <c r="S58" s="224">
        <v>0.01</v>
      </c>
      <c r="T58" s="224">
        <v>0.01</v>
      </c>
      <c r="U58" s="231">
        <v>0</v>
      </c>
      <c r="V58" s="232">
        <v>0</v>
      </c>
      <c r="W58" s="223"/>
      <c r="X58" s="231">
        <v>1907.5543150000001</v>
      </c>
      <c r="Y58" s="222">
        <v>356.15743441280898</v>
      </c>
      <c r="Z58" s="233">
        <v>573</v>
      </c>
      <c r="AA58" s="229">
        <v>0.62156620316371602</v>
      </c>
      <c r="AB58" s="230">
        <v>-1443.7368288515599</v>
      </c>
      <c r="AC58" s="224"/>
      <c r="AD58" s="224"/>
      <c r="AE58" s="232">
        <v>1162</v>
      </c>
      <c r="AF58" s="232">
        <v>1776</v>
      </c>
      <c r="AG58" s="223"/>
      <c r="AH58" s="236">
        <v>237.7</v>
      </c>
      <c r="AI58" s="222">
        <v>44.380713825139402</v>
      </c>
      <c r="AJ58" s="237" t="s">
        <v>54</v>
      </c>
      <c r="AK58" s="229">
        <v>0.70445577500221201</v>
      </c>
      <c r="AL58" s="230">
        <v>-130.76656555436</v>
      </c>
      <c r="AM58" s="224"/>
      <c r="AN58" s="224"/>
      <c r="AO58" s="232">
        <v>100</v>
      </c>
      <c r="AP58" s="232">
        <v>168</v>
      </c>
      <c r="AQ58" s="223"/>
      <c r="AR58" s="236">
        <v>26.9</v>
      </c>
      <c r="AS58" s="222">
        <v>5.0224703487431599</v>
      </c>
      <c r="AT58" s="237" t="s">
        <v>55</v>
      </c>
      <c r="AU58" s="229">
        <v>0.31390439679644699</v>
      </c>
      <c r="AV58" s="230">
        <v>-66.678810299520094</v>
      </c>
      <c r="AW58" s="224"/>
      <c r="AX58" s="224"/>
      <c r="AY58" s="232">
        <v>59</v>
      </c>
      <c r="AZ58" s="232">
        <v>76</v>
      </c>
      <c r="BA58" s="223"/>
      <c r="BB58" s="240">
        <v>188.2</v>
      </c>
      <c r="BC58" s="236">
        <v>35.138621547712297</v>
      </c>
      <c r="BD58" s="237" t="s">
        <v>56</v>
      </c>
      <c r="BE58" s="234">
        <v>1.09808192336601</v>
      </c>
      <c r="BF58" s="235">
        <v>1.0423794009598999</v>
      </c>
      <c r="BG58" s="224">
        <v>0.02</v>
      </c>
      <c r="BH58" s="224">
        <v>0.01</v>
      </c>
      <c r="BI58" s="232">
        <v>0</v>
      </c>
      <c r="BJ58" s="232">
        <v>18</v>
      </c>
      <c r="BK58" s="225"/>
      <c r="BL58" s="241">
        <v>0.8</v>
      </c>
      <c r="BM58" s="229">
        <v>0.65</v>
      </c>
      <c r="BN58" s="242"/>
      <c r="BO58" s="243">
        <v>0.95</v>
      </c>
      <c r="BP58" s="234">
        <v>1</v>
      </c>
      <c r="BQ58" s="242">
        <v>2.5000000000000001E-3</v>
      </c>
    </row>
    <row r="59" spans="1:69" s="211" customFormat="1" ht="22.35" customHeight="1" x14ac:dyDescent="0.2">
      <c r="A59" s="221" t="s">
        <v>81</v>
      </c>
      <c r="B59" s="221" t="s">
        <v>101</v>
      </c>
      <c r="C59" s="221" t="s">
        <v>113</v>
      </c>
      <c r="D59" s="222">
        <v>1.38279080044444</v>
      </c>
      <c r="E59" s="223"/>
      <c r="F59" s="224">
        <v>0.01</v>
      </c>
      <c r="G59" s="224">
        <v>0.01</v>
      </c>
      <c r="H59" s="225"/>
      <c r="I59" s="226">
        <v>2</v>
      </c>
      <c r="J59" s="226">
        <v>2</v>
      </c>
      <c r="K59" s="223"/>
      <c r="L59" s="227">
        <v>155.45249000000001</v>
      </c>
      <c r="M59" s="227">
        <v>1435.7973300000001</v>
      </c>
      <c r="N59" s="227">
        <v>1591.24982</v>
      </c>
      <c r="O59" s="222">
        <v>1150.7523910981699</v>
      </c>
      <c r="P59" s="228">
        <v>280.08499999999998</v>
      </c>
      <c r="Q59" s="234">
        <v>4.1085827198820697</v>
      </c>
      <c r="R59" s="235">
        <v>1168.31935421401</v>
      </c>
      <c r="S59" s="224">
        <v>0.01</v>
      </c>
      <c r="T59" s="224">
        <v>0.01</v>
      </c>
      <c r="U59" s="231">
        <v>0</v>
      </c>
      <c r="V59" s="232">
        <v>0</v>
      </c>
      <c r="W59" s="223"/>
      <c r="X59" s="231">
        <v>698.67079000000001</v>
      </c>
      <c r="Y59" s="222">
        <v>505.26138138570099</v>
      </c>
      <c r="Z59" s="233">
        <v>573</v>
      </c>
      <c r="AA59" s="244">
        <v>0.881782515507332</v>
      </c>
      <c r="AB59" s="227">
        <v>-166.563538490893</v>
      </c>
      <c r="AC59" s="224"/>
      <c r="AD59" s="224"/>
      <c r="AE59" s="232">
        <v>94</v>
      </c>
      <c r="AF59" s="232">
        <v>253</v>
      </c>
      <c r="AG59" s="223"/>
      <c r="AH59" s="236">
        <v>61.3</v>
      </c>
      <c r="AI59" s="222">
        <v>44.330639154019202</v>
      </c>
      <c r="AJ59" s="237" t="s">
        <v>54</v>
      </c>
      <c r="AK59" s="229">
        <v>0.703660938952685</v>
      </c>
      <c r="AL59" s="230">
        <v>-33.8304759073757</v>
      </c>
      <c r="AM59" s="224"/>
      <c r="AN59" s="224"/>
      <c r="AO59" s="232">
        <v>26</v>
      </c>
      <c r="AP59" s="232">
        <v>44</v>
      </c>
      <c r="AQ59" s="223"/>
      <c r="AR59" s="236">
        <v>4</v>
      </c>
      <c r="AS59" s="222">
        <v>2.8927007604580202</v>
      </c>
      <c r="AT59" s="237" t="s">
        <v>55</v>
      </c>
      <c r="AU59" s="229">
        <v>0.18079379752862601</v>
      </c>
      <c r="AV59" s="230">
        <v>-20.1601208653653</v>
      </c>
      <c r="AW59" s="224"/>
      <c r="AX59" s="224"/>
      <c r="AY59" s="232">
        <v>19</v>
      </c>
      <c r="AZ59" s="232">
        <v>23</v>
      </c>
      <c r="BA59" s="223"/>
      <c r="BB59" s="240">
        <v>34</v>
      </c>
      <c r="BC59" s="236">
        <v>24.5879564638932</v>
      </c>
      <c r="BD59" s="237" t="s">
        <v>56</v>
      </c>
      <c r="BE59" s="244">
        <v>0.76837363949666104</v>
      </c>
      <c r="BF59" s="227">
        <v>-14.320241730730499</v>
      </c>
      <c r="BG59" s="224"/>
      <c r="BH59" s="224"/>
      <c r="BI59" s="232">
        <v>11</v>
      </c>
      <c r="BJ59" s="232">
        <v>20</v>
      </c>
      <c r="BK59" s="225"/>
      <c r="BL59" s="241">
        <v>0.8</v>
      </c>
      <c r="BM59" s="244">
        <v>0.75</v>
      </c>
      <c r="BN59" s="242"/>
      <c r="BO59" s="243">
        <v>0.95</v>
      </c>
      <c r="BP59" s="234">
        <v>1</v>
      </c>
      <c r="BQ59" s="242">
        <v>2.5000000000000001E-3</v>
      </c>
    </row>
    <row r="60" spans="1:69" s="211" customFormat="1" ht="22.35" customHeight="1" x14ac:dyDescent="0.2">
      <c r="A60" s="221" t="s">
        <v>81</v>
      </c>
      <c r="B60" s="221" t="s">
        <v>101</v>
      </c>
      <c r="C60" s="221" t="s">
        <v>114</v>
      </c>
      <c r="D60" s="222">
        <v>3.0026688585555599</v>
      </c>
      <c r="E60" s="223"/>
      <c r="F60" s="224">
        <v>0.05</v>
      </c>
      <c r="G60" s="224">
        <v>4.2000000000000003E-2</v>
      </c>
      <c r="H60" s="225"/>
      <c r="I60" s="226">
        <v>4</v>
      </c>
      <c r="J60" s="226">
        <v>4</v>
      </c>
      <c r="K60" s="223"/>
      <c r="L60" s="227">
        <v>1197.3513600000001</v>
      </c>
      <c r="M60" s="227">
        <v>624.41645000000005</v>
      </c>
      <c r="N60" s="227">
        <v>1821.7678100000001</v>
      </c>
      <c r="O60" s="222">
        <v>606.71619010175095</v>
      </c>
      <c r="P60" s="228">
        <v>239.26400000000001</v>
      </c>
      <c r="Q60" s="234">
        <v>2.5357604574936099</v>
      </c>
      <c r="R60" s="235">
        <v>1037.2416365434101</v>
      </c>
      <c r="S60" s="224">
        <v>0.01</v>
      </c>
      <c r="T60" s="224">
        <v>0.01</v>
      </c>
      <c r="U60" s="231">
        <v>0</v>
      </c>
      <c r="V60" s="232">
        <v>0</v>
      </c>
      <c r="W60" s="223"/>
      <c r="X60" s="231">
        <v>1932.6159299999999</v>
      </c>
      <c r="Y60" s="222">
        <v>643.63272176795795</v>
      </c>
      <c r="Z60" s="233">
        <v>573</v>
      </c>
      <c r="AA60" s="234">
        <v>1.12326827533675</v>
      </c>
      <c r="AB60" s="235">
        <v>53.797982500048903</v>
      </c>
      <c r="AC60" s="224">
        <v>0.02</v>
      </c>
      <c r="AD60" s="224">
        <v>1.2E-2</v>
      </c>
      <c r="AE60" s="232">
        <v>0</v>
      </c>
      <c r="AF60" s="232">
        <v>133</v>
      </c>
      <c r="AG60" s="223"/>
      <c r="AH60" s="236">
        <v>168.3</v>
      </c>
      <c r="AI60" s="222">
        <v>56.0501367043721</v>
      </c>
      <c r="AJ60" s="237" t="s">
        <v>54</v>
      </c>
      <c r="AK60" s="244">
        <v>0.889684709593209</v>
      </c>
      <c r="AL60" s="227">
        <v>-38.271606793188298</v>
      </c>
      <c r="AM60" s="224"/>
      <c r="AN60" s="224"/>
      <c r="AO60" s="232">
        <v>21</v>
      </c>
      <c r="AP60" s="232">
        <v>59</v>
      </c>
      <c r="AQ60" s="223"/>
      <c r="AR60" s="236">
        <v>26.5</v>
      </c>
      <c r="AS60" s="222">
        <v>8.8254820122748807</v>
      </c>
      <c r="AT60" s="237" t="s">
        <v>55</v>
      </c>
      <c r="AU60" s="229">
        <v>0.55159262576718004</v>
      </c>
      <c r="AV60" s="230">
        <v>-25.9626302966828</v>
      </c>
      <c r="AW60" s="224"/>
      <c r="AX60" s="224"/>
      <c r="AY60" s="232">
        <v>22</v>
      </c>
      <c r="AZ60" s="232">
        <v>32</v>
      </c>
      <c r="BA60" s="223"/>
      <c r="BB60" s="240">
        <v>129.80000000000001</v>
      </c>
      <c r="BC60" s="236">
        <v>43.228210007293598</v>
      </c>
      <c r="BD60" s="237" t="s">
        <v>56</v>
      </c>
      <c r="BE60" s="234">
        <v>1.35088156272792</v>
      </c>
      <c r="BF60" s="235">
        <v>24.8747394066345</v>
      </c>
      <c r="BG60" s="224">
        <v>0.02</v>
      </c>
      <c r="BH60" s="224">
        <v>0.02</v>
      </c>
      <c r="BI60" s="232">
        <v>0</v>
      </c>
      <c r="BJ60" s="232">
        <v>0</v>
      </c>
      <c r="BK60" s="225"/>
      <c r="BL60" s="241">
        <v>0.8</v>
      </c>
      <c r="BM60" s="244">
        <v>0.73</v>
      </c>
      <c r="BN60" s="242"/>
      <c r="BO60" s="243">
        <v>0.95</v>
      </c>
      <c r="BP60" s="234">
        <v>1</v>
      </c>
      <c r="BQ60" s="242">
        <v>2.5000000000000001E-3</v>
      </c>
    </row>
    <row r="61" spans="1:69" s="211" customFormat="1" ht="22.35" customHeight="1" x14ac:dyDescent="0.2">
      <c r="A61" s="221" t="s">
        <v>81</v>
      </c>
      <c r="B61" s="221" t="s">
        <v>101</v>
      </c>
      <c r="C61" s="221" t="s">
        <v>115</v>
      </c>
      <c r="D61" s="222">
        <v>8.0969419465555603</v>
      </c>
      <c r="E61" s="223"/>
      <c r="F61" s="224">
        <v>4.4999999999999998E-2</v>
      </c>
      <c r="G61" s="224">
        <v>2.8000000000000001E-2</v>
      </c>
      <c r="H61" s="225"/>
      <c r="I61" s="226">
        <v>4</v>
      </c>
      <c r="J61" s="226">
        <v>4</v>
      </c>
      <c r="K61" s="223"/>
      <c r="L61" s="227">
        <v>4538.8215399999999</v>
      </c>
      <c r="M61" s="227">
        <v>3328.8561</v>
      </c>
      <c r="N61" s="227">
        <v>7867.6776399999999</v>
      </c>
      <c r="O61" s="222">
        <v>971.68507467771997</v>
      </c>
      <c r="P61" s="228">
        <v>262.83</v>
      </c>
      <c r="Q61" s="234">
        <v>3.6970097579337202</v>
      </c>
      <c r="R61" s="235">
        <v>5543.7714170199897</v>
      </c>
      <c r="S61" s="224">
        <v>0.01</v>
      </c>
      <c r="T61" s="224">
        <v>0.01</v>
      </c>
      <c r="U61" s="231">
        <v>0</v>
      </c>
      <c r="V61" s="232">
        <v>0</v>
      </c>
      <c r="W61" s="223"/>
      <c r="X61" s="231">
        <v>4849.3081000000002</v>
      </c>
      <c r="Y61" s="222">
        <v>598.90612184306201</v>
      </c>
      <c r="Z61" s="233">
        <v>573</v>
      </c>
      <c r="AA61" s="238">
        <v>1.0452113819250599</v>
      </c>
      <c r="AB61" s="239">
        <v>-217.07802703095999</v>
      </c>
      <c r="AC61" s="224">
        <v>1.4999999999999999E-2</v>
      </c>
      <c r="AD61" s="224">
        <v>5.0000000000000001E-3</v>
      </c>
      <c r="AE61" s="232">
        <v>0</v>
      </c>
      <c r="AF61" s="232">
        <v>719</v>
      </c>
      <c r="AG61" s="223"/>
      <c r="AH61" s="236">
        <v>410.8</v>
      </c>
      <c r="AI61" s="222">
        <v>50.7352038228154</v>
      </c>
      <c r="AJ61" s="237" t="s">
        <v>54</v>
      </c>
      <c r="AK61" s="244">
        <v>0.805320695600245</v>
      </c>
      <c r="AL61" s="227">
        <v>-146.23721815523601</v>
      </c>
      <c r="AM61" s="224"/>
      <c r="AN61" s="224"/>
      <c r="AO61" s="232">
        <v>100</v>
      </c>
      <c r="AP61" s="232">
        <v>202</v>
      </c>
      <c r="AQ61" s="223"/>
      <c r="AR61" s="236">
        <v>35.9</v>
      </c>
      <c r="AS61" s="222">
        <v>4.43377268071829</v>
      </c>
      <c r="AT61" s="237" t="s">
        <v>55</v>
      </c>
      <c r="AU61" s="229">
        <v>0.27711079254489301</v>
      </c>
      <c r="AV61" s="230">
        <v>-105.569769690219</v>
      </c>
      <c r="AW61" s="224"/>
      <c r="AX61" s="224"/>
      <c r="AY61" s="232">
        <v>94</v>
      </c>
      <c r="AZ61" s="232">
        <v>120</v>
      </c>
      <c r="BA61" s="223"/>
      <c r="BB61" s="240">
        <v>292.60000000000002</v>
      </c>
      <c r="BC61" s="236">
        <v>36.137099899113402</v>
      </c>
      <c r="BD61" s="237" t="s">
        <v>56</v>
      </c>
      <c r="BE61" s="234">
        <v>1.12928437184729</v>
      </c>
      <c r="BF61" s="235">
        <v>9.6604606195625102</v>
      </c>
      <c r="BG61" s="224">
        <v>0.02</v>
      </c>
      <c r="BH61" s="224">
        <v>1.2999999999999999E-2</v>
      </c>
      <c r="BI61" s="232">
        <v>0</v>
      </c>
      <c r="BJ61" s="232">
        <v>19</v>
      </c>
      <c r="BK61" s="225"/>
      <c r="BL61" s="241">
        <v>0.8</v>
      </c>
      <c r="BM61" s="229">
        <v>0.68</v>
      </c>
      <c r="BN61" s="242"/>
      <c r="BO61" s="243">
        <v>0.95</v>
      </c>
      <c r="BP61" s="234">
        <v>1</v>
      </c>
      <c r="BQ61" s="242">
        <v>2.5000000000000001E-3</v>
      </c>
    </row>
    <row r="62" spans="1:69" s="211" customFormat="1" ht="22.35" customHeight="1" x14ac:dyDescent="0.2">
      <c r="A62" s="221" t="s">
        <v>81</v>
      </c>
      <c r="B62" s="221" t="s">
        <v>101</v>
      </c>
      <c r="C62" s="221" t="s">
        <v>116</v>
      </c>
      <c r="D62" s="222">
        <v>1.895420369</v>
      </c>
      <c r="E62" s="223"/>
      <c r="F62" s="224">
        <v>5.3999999999999999E-2</v>
      </c>
      <c r="G62" s="224">
        <v>3.9E-2</v>
      </c>
      <c r="H62" s="225"/>
      <c r="I62" s="226">
        <v>5</v>
      </c>
      <c r="J62" s="226">
        <v>4</v>
      </c>
      <c r="K62" s="223"/>
      <c r="L62" s="227">
        <v>2330.3993599999999</v>
      </c>
      <c r="M62" s="227">
        <v>348.15463999999997</v>
      </c>
      <c r="N62" s="227">
        <v>2678.5540000000001</v>
      </c>
      <c r="O62" s="222">
        <v>1413.1714757361001</v>
      </c>
      <c r="P62" s="228">
        <v>248.27199999999999</v>
      </c>
      <c r="Q62" s="234">
        <v>5.6920292088358702</v>
      </c>
      <c r="R62" s="235">
        <v>2164.68085200921</v>
      </c>
      <c r="S62" s="224">
        <v>0.01</v>
      </c>
      <c r="T62" s="224">
        <v>0.01</v>
      </c>
      <c r="U62" s="231">
        <v>0</v>
      </c>
      <c r="V62" s="232">
        <v>0</v>
      </c>
      <c r="W62" s="223"/>
      <c r="X62" s="231">
        <v>1029.84358</v>
      </c>
      <c r="Y62" s="222">
        <v>543.33254872813905</v>
      </c>
      <c r="Z62" s="233">
        <v>573</v>
      </c>
      <c r="AA62" s="238">
        <v>0.94822434333008598</v>
      </c>
      <c r="AB62" s="239">
        <v>-156.151271609204</v>
      </c>
      <c r="AC62" s="224">
        <v>4.0000000000000001E-3</v>
      </c>
      <c r="AD62" s="224"/>
      <c r="AE62" s="232">
        <v>57</v>
      </c>
      <c r="AF62" s="232">
        <v>274</v>
      </c>
      <c r="AG62" s="223"/>
      <c r="AH62" s="236">
        <v>130.4</v>
      </c>
      <c r="AI62" s="222">
        <v>68.797403537874501</v>
      </c>
      <c r="AJ62" s="237" t="s">
        <v>54</v>
      </c>
      <c r="AK62" s="234">
        <v>1.0920222783789599</v>
      </c>
      <c r="AL62" s="235">
        <v>2.66029427598369E-3</v>
      </c>
      <c r="AM62" s="224">
        <v>0.02</v>
      </c>
      <c r="AN62" s="224">
        <v>8.9999999999999993E-3</v>
      </c>
      <c r="AO62" s="232">
        <v>0</v>
      </c>
      <c r="AP62" s="232">
        <v>13</v>
      </c>
      <c r="AQ62" s="223"/>
      <c r="AR62" s="236">
        <v>26.9</v>
      </c>
      <c r="AS62" s="222">
        <v>14.1921024169388</v>
      </c>
      <c r="AT62" s="237" t="s">
        <v>55</v>
      </c>
      <c r="AU62" s="244">
        <v>0.88700640105867701</v>
      </c>
      <c r="AV62" s="227">
        <v>-6.2167846871680004</v>
      </c>
      <c r="AW62" s="224"/>
      <c r="AX62" s="224"/>
      <c r="AY62" s="232">
        <v>4</v>
      </c>
      <c r="AZ62" s="232">
        <v>10</v>
      </c>
      <c r="BA62" s="223"/>
      <c r="BB62" s="240">
        <v>77</v>
      </c>
      <c r="BC62" s="236">
        <v>40.624233684174399</v>
      </c>
      <c r="BD62" s="237" t="s">
        <v>56</v>
      </c>
      <c r="BE62" s="234">
        <v>1.26950730263045</v>
      </c>
      <c r="BF62" s="235">
        <v>10.766430625664</v>
      </c>
      <c r="BG62" s="224">
        <v>0.02</v>
      </c>
      <c r="BH62" s="224">
        <v>0.02</v>
      </c>
      <c r="BI62" s="232">
        <v>0</v>
      </c>
      <c r="BJ62" s="232">
        <v>0</v>
      </c>
      <c r="BK62" s="225"/>
      <c r="BL62" s="241">
        <v>0.8</v>
      </c>
      <c r="BM62" s="244">
        <v>0.8</v>
      </c>
      <c r="BN62" s="242">
        <v>0</v>
      </c>
      <c r="BO62" s="243">
        <v>0.95</v>
      </c>
      <c r="BP62" s="234">
        <v>1</v>
      </c>
      <c r="BQ62" s="242">
        <v>2.5000000000000001E-3</v>
      </c>
    </row>
    <row r="63" spans="1:69" s="211" customFormat="1" ht="22.35" customHeight="1" x14ac:dyDescent="0.2">
      <c r="A63" s="221" t="s">
        <v>81</v>
      </c>
      <c r="B63" s="221" t="s">
        <v>101</v>
      </c>
      <c r="C63" s="221" t="s">
        <v>117</v>
      </c>
      <c r="D63" s="222">
        <v>2.1204174575555599</v>
      </c>
      <c r="E63" s="223"/>
      <c r="F63" s="224">
        <v>5.2999999999999999E-2</v>
      </c>
      <c r="G63" s="224">
        <v>3.4000000000000002E-2</v>
      </c>
      <c r="H63" s="225"/>
      <c r="I63" s="226">
        <v>4</v>
      </c>
      <c r="J63" s="226">
        <v>3</v>
      </c>
      <c r="K63" s="223"/>
      <c r="L63" s="227">
        <v>230.20095000000001</v>
      </c>
      <c r="M63" s="227">
        <v>650.33914000000004</v>
      </c>
      <c r="N63" s="227">
        <v>880.54008999999996</v>
      </c>
      <c r="O63" s="222">
        <v>415.26732713052502</v>
      </c>
      <c r="P63" s="228">
        <v>256.27100000000002</v>
      </c>
      <c r="Q63" s="234">
        <v>1.6204226273379601</v>
      </c>
      <c r="R63" s="235">
        <v>287.14564952637897</v>
      </c>
      <c r="S63" s="224">
        <v>0.01</v>
      </c>
      <c r="T63" s="224">
        <v>0.01</v>
      </c>
      <c r="U63" s="231">
        <v>0</v>
      </c>
      <c r="V63" s="232">
        <v>0</v>
      </c>
      <c r="W63" s="223"/>
      <c r="X63" s="231">
        <v>1198.4255000000001</v>
      </c>
      <c r="Y63" s="222">
        <v>565.18375460913296</v>
      </c>
      <c r="Z63" s="233">
        <v>573</v>
      </c>
      <c r="AA63" s="238">
        <v>0.98635908308749198</v>
      </c>
      <c r="AB63" s="239">
        <v>-128.35362987183501</v>
      </c>
      <c r="AC63" s="224">
        <v>8.0000000000000002E-3</v>
      </c>
      <c r="AD63" s="224"/>
      <c r="AE63" s="232">
        <v>17</v>
      </c>
      <c r="AF63" s="232">
        <v>260</v>
      </c>
      <c r="AG63" s="223"/>
      <c r="AH63" s="236">
        <v>139.5</v>
      </c>
      <c r="AI63" s="222">
        <v>65.788932034552005</v>
      </c>
      <c r="AJ63" s="237" t="s">
        <v>54</v>
      </c>
      <c r="AK63" s="238">
        <v>1.0442687624532101</v>
      </c>
      <c r="AL63" s="239">
        <v>-6.3762394099923103</v>
      </c>
      <c r="AM63" s="224">
        <v>1.4999999999999999E-2</v>
      </c>
      <c r="AN63" s="224">
        <v>4.0000000000000001E-3</v>
      </c>
      <c r="AO63" s="232">
        <v>0</v>
      </c>
      <c r="AP63" s="232">
        <v>21</v>
      </c>
      <c r="AQ63" s="223"/>
      <c r="AR63" s="236">
        <v>12.8</v>
      </c>
      <c r="AS63" s="222">
        <v>6.0365471687617598</v>
      </c>
      <c r="AT63" s="237" t="s">
        <v>55</v>
      </c>
      <c r="AU63" s="229">
        <v>0.37728419804760999</v>
      </c>
      <c r="AV63" s="230">
        <v>-24.247933818410701</v>
      </c>
      <c r="AW63" s="224"/>
      <c r="AX63" s="224"/>
      <c r="AY63" s="232">
        <v>22</v>
      </c>
      <c r="AZ63" s="232">
        <v>28</v>
      </c>
      <c r="BA63" s="223"/>
      <c r="BB63" s="240">
        <v>89.8</v>
      </c>
      <c r="BC63" s="236">
        <v>42.350151230844197</v>
      </c>
      <c r="BD63" s="237" t="s">
        <v>56</v>
      </c>
      <c r="BE63" s="234">
        <v>1.3234422259638801</v>
      </c>
      <c r="BF63" s="235">
        <v>15.7041323631785</v>
      </c>
      <c r="BG63" s="224">
        <v>0.02</v>
      </c>
      <c r="BH63" s="224">
        <v>0.02</v>
      </c>
      <c r="BI63" s="232">
        <v>0</v>
      </c>
      <c r="BJ63" s="232">
        <v>0</v>
      </c>
      <c r="BK63" s="225"/>
      <c r="BL63" s="241">
        <v>0.8</v>
      </c>
      <c r="BM63" s="244">
        <v>0.73</v>
      </c>
      <c r="BN63" s="242"/>
      <c r="BO63" s="243">
        <v>0.95</v>
      </c>
      <c r="BP63" s="229">
        <v>0.71</v>
      </c>
      <c r="BQ63" s="242"/>
    </row>
    <row r="64" spans="1:69" s="211" customFormat="1" ht="22.35" customHeight="1" x14ac:dyDescent="0.2">
      <c r="A64" s="221" t="s">
        <v>81</v>
      </c>
      <c r="B64" s="221" t="s">
        <v>101</v>
      </c>
      <c r="C64" s="221" t="s">
        <v>118</v>
      </c>
      <c r="D64" s="222">
        <v>2.5505437582222199</v>
      </c>
      <c r="E64" s="223"/>
      <c r="F64" s="224">
        <v>0.05</v>
      </c>
      <c r="G64" s="224">
        <v>0.05</v>
      </c>
      <c r="H64" s="225"/>
      <c r="I64" s="226">
        <v>4</v>
      </c>
      <c r="J64" s="226">
        <v>4</v>
      </c>
      <c r="K64" s="223"/>
      <c r="L64" s="227">
        <v>1358.1736599999999</v>
      </c>
      <c r="M64" s="227">
        <v>2756.9408800000001</v>
      </c>
      <c r="N64" s="227">
        <v>4115.1145399999996</v>
      </c>
      <c r="O64" s="222">
        <v>1613.4263631957101</v>
      </c>
      <c r="P64" s="228">
        <v>273.43799999999999</v>
      </c>
      <c r="Q64" s="234">
        <v>5.9005199101650501</v>
      </c>
      <c r="R64" s="235">
        <v>3353.5367220964399</v>
      </c>
      <c r="S64" s="224">
        <v>0.01</v>
      </c>
      <c r="T64" s="224">
        <v>0.01</v>
      </c>
      <c r="U64" s="231">
        <v>0</v>
      </c>
      <c r="V64" s="232">
        <v>0</v>
      </c>
      <c r="W64" s="223"/>
      <c r="X64" s="231">
        <v>1774.87022</v>
      </c>
      <c r="Y64" s="222">
        <v>695.87914901609804</v>
      </c>
      <c r="Z64" s="233">
        <v>573</v>
      </c>
      <c r="AA64" s="234">
        <v>1.2144487766423999</v>
      </c>
      <c r="AB64" s="235">
        <v>178.95418178022601</v>
      </c>
      <c r="AC64" s="224">
        <v>0.02</v>
      </c>
      <c r="AD64" s="224">
        <v>0.02</v>
      </c>
      <c r="AE64" s="232">
        <v>0</v>
      </c>
      <c r="AF64" s="232">
        <v>0</v>
      </c>
      <c r="AG64" s="223"/>
      <c r="AH64" s="236">
        <v>121.45</v>
      </c>
      <c r="AI64" s="222">
        <v>47.6172971384945</v>
      </c>
      <c r="AJ64" s="237" t="s">
        <v>54</v>
      </c>
      <c r="AK64" s="244">
        <v>0.75583011330943595</v>
      </c>
      <c r="AL64" s="227">
        <v>-54.017208390655902</v>
      </c>
      <c r="AM64" s="224"/>
      <c r="AN64" s="224"/>
      <c r="AO64" s="232">
        <v>40</v>
      </c>
      <c r="AP64" s="232">
        <v>72</v>
      </c>
      <c r="AQ64" s="223"/>
      <c r="AR64" s="236">
        <v>10.6</v>
      </c>
      <c r="AS64" s="222">
        <v>4.1559765308196104</v>
      </c>
      <c r="AT64" s="237" t="s">
        <v>55</v>
      </c>
      <c r="AU64" s="229">
        <v>0.25974853317622598</v>
      </c>
      <c r="AV64" s="230">
        <v>-33.963100543658598</v>
      </c>
      <c r="AW64" s="224"/>
      <c r="AX64" s="224"/>
      <c r="AY64" s="232">
        <v>31</v>
      </c>
      <c r="AZ64" s="232">
        <v>39</v>
      </c>
      <c r="BA64" s="223"/>
      <c r="BB64" s="240">
        <v>100.8</v>
      </c>
      <c r="BC64" s="236">
        <v>39.520984368548703</v>
      </c>
      <c r="BD64" s="237" t="s">
        <v>56</v>
      </c>
      <c r="BE64" s="234">
        <v>1.2350307615171501</v>
      </c>
      <c r="BF64" s="235">
        <v>11.673798912682701</v>
      </c>
      <c r="BG64" s="224">
        <v>0.02</v>
      </c>
      <c r="BH64" s="224">
        <v>0.02</v>
      </c>
      <c r="BI64" s="232">
        <v>0</v>
      </c>
      <c r="BJ64" s="232">
        <v>0</v>
      </c>
      <c r="BK64" s="225"/>
      <c r="BL64" s="241">
        <v>0.8</v>
      </c>
      <c r="BM64" s="229">
        <v>0.66</v>
      </c>
      <c r="BN64" s="242"/>
      <c r="BO64" s="243">
        <v>0.95</v>
      </c>
      <c r="BP64" s="234">
        <v>1</v>
      </c>
      <c r="BQ64" s="242">
        <v>2.5000000000000001E-3</v>
      </c>
    </row>
    <row r="65" spans="1:69" s="211" customFormat="1" ht="22.35" customHeight="1" x14ac:dyDescent="0.2">
      <c r="A65" s="221" t="s">
        <v>81</v>
      </c>
      <c r="B65" s="221" t="s">
        <v>119</v>
      </c>
      <c r="C65" s="221" t="s">
        <v>120</v>
      </c>
      <c r="D65" s="222">
        <v>2.7952903572222199</v>
      </c>
      <c r="E65" s="223"/>
      <c r="F65" s="224">
        <v>0.03</v>
      </c>
      <c r="G65" s="224">
        <v>0.03</v>
      </c>
      <c r="H65" s="225"/>
      <c r="I65" s="226">
        <v>2</v>
      </c>
      <c r="J65" s="226">
        <v>2</v>
      </c>
      <c r="K65" s="223"/>
      <c r="L65" s="227">
        <v>2630.0652</v>
      </c>
      <c r="M65" s="227">
        <v>683.55390999999997</v>
      </c>
      <c r="N65" s="227">
        <v>3313.6191100000001</v>
      </c>
      <c r="O65" s="222">
        <v>1185.4293066330499</v>
      </c>
      <c r="P65" s="228">
        <v>264.72899999999998</v>
      </c>
      <c r="Q65" s="234">
        <v>4.4778974220166701</v>
      </c>
      <c r="R65" s="235">
        <v>2505.5452022930299</v>
      </c>
      <c r="S65" s="224">
        <v>0.01</v>
      </c>
      <c r="T65" s="224">
        <v>0.01</v>
      </c>
      <c r="U65" s="231">
        <v>0</v>
      </c>
      <c r="V65" s="232">
        <v>0</v>
      </c>
      <c r="W65" s="223"/>
      <c r="X65" s="231">
        <v>1382.06512</v>
      </c>
      <c r="Y65" s="222">
        <v>494.42631833546102</v>
      </c>
      <c r="Z65" s="233">
        <v>573</v>
      </c>
      <c r="AA65" s="244">
        <v>0.86287315590830904</v>
      </c>
      <c r="AB65" s="227">
        <v>-366.99278115965802</v>
      </c>
      <c r="AC65" s="224"/>
      <c r="AD65" s="224"/>
      <c r="AE65" s="232">
        <v>220</v>
      </c>
      <c r="AF65" s="232">
        <v>540</v>
      </c>
      <c r="AG65" s="223"/>
      <c r="AH65" s="236">
        <v>149.75</v>
      </c>
      <c r="AI65" s="222">
        <v>53.5722522038146</v>
      </c>
      <c r="AJ65" s="237" t="s">
        <v>54</v>
      </c>
      <c r="AK65" s="244">
        <v>0.850353209584359</v>
      </c>
      <c r="AL65" s="227">
        <v>-42.5547954154599</v>
      </c>
      <c r="AM65" s="224"/>
      <c r="AN65" s="224"/>
      <c r="AO65" s="232">
        <v>27</v>
      </c>
      <c r="AP65" s="232">
        <v>62</v>
      </c>
      <c r="AQ65" s="223"/>
      <c r="AR65" s="236">
        <v>14</v>
      </c>
      <c r="AS65" s="222">
        <v>5.0084242460995299</v>
      </c>
      <c r="AT65" s="237" t="s">
        <v>55</v>
      </c>
      <c r="AU65" s="229">
        <v>0.313026515381221</v>
      </c>
      <c r="AV65" s="230">
        <v>-34.839313121386603</v>
      </c>
      <c r="AW65" s="224"/>
      <c r="AX65" s="224"/>
      <c r="AY65" s="232">
        <v>31</v>
      </c>
      <c r="AZ65" s="232">
        <v>40</v>
      </c>
      <c r="BA65" s="223"/>
      <c r="BB65" s="240">
        <v>124.2</v>
      </c>
      <c r="BC65" s="236">
        <v>44.431877954683003</v>
      </c>
      <c r="BD65" s="237" t="s">
        <v>56</v>
      </c>
      <c r="BE65" s="234">
        <v>1.3884961860838401</v>
      </c>
      <c r="BF65" s="235">
        <v>26.521373757226701</v>
      </c>
      <c r="BG65" s="224">
        <v>0.02</v>
      </c>
      <c r="BH65" s="224">
        <v>0.02</v>
      </c>
      <c r="BI65" s="232">
        <v>0</v>
      </c>
      <c r="BJ65" s="232">
        <v>0</v>
      </c>
      <c r="BK65" s="225"/>
      <c r="BL65" s="241">
        <v>0.8</v>
      </c>
      <c r="BM65" s="229">
        <v>0.68</v>
      </c>
      <c r="BN65" s="242"/>
      <c r="BO65" s="243">
        <v>0.95</v>
      </c>
      <c r="BP65" s="244">
        <v>0.9</v>
      </c>
      <c r="BQ65" s="242"/>
    </row>
    <row r="66" spans="1:69" s="211" customFormat="1" ht="22.35" customHeight="1" x14ac:dyDescent="0.2">
      <c r="A66" s="221" t="s">
        <v>81</v>
      </c>
      <c r="B66" s="221" t="s">
        <v>119</v>
      </c>
      <c r="C66" s="221" t="s">
        <v>121</v>
      </c>
      <c r="D66" s="222">
        <v>1.42108807377778</v>
      </c>
      <c r="E66" s="223"/>
      <c r="F66" s="224">
        <v>0.03</v>
      </c>
      <c r="G66" s="224">
        <v>0.03</v>
      </c>
      <c r="H66" s="225"/>
      <c r="I66" s="226">
        <v>3</v>
      </c>
      <c r="J66" s="226">
        <v>3</v>
      </c>
      <c r="K66" s="223"/>
      <c r="L66" s="227">
        <v>2098.7774300000001</v>
      </c>
      <c r="M66" s="227">
        <v>1048.6189199999999</v>
      </c>
      <c r="N66" s="227">
        <v>3147.39635</v>
      </c>
      <c r="O66" s="222">
        <v>2214.7792301381101</v>
      </c>
      <c r="P66" s="228">
        <v>287.5</v>
      </c>
      <c r="Q66" s="234">
        <v>7.7035799309151596</v>
      </c>
      <c r="R66" s="235">
        <v>2701.2457492374701</v>
      </c>
      <c r="S66" s="224">
        <v>0.01</v>
      </c>
      <c r="T66" s="224">
        <v>0.01</v>
      </c>
      <c r="U66" s="231">
        <v>0</v>
      </c>
      <c r="V66" s="232">
        <v>0</v>
      </c>
      <c r="W66" s="223"/>
      <c r="X66" s="231">
        <v>980.39894000000004</v>
      </c>
      <c r="Y66" s="222">
        <v>689.89315869334996</v>
      </c>
      <c r="Z66" s="233">
        <v>573</v>
      </c>
      <c r="AA66" s="234">
        <v>1.2040020221524399</v>
      </c>
      <c r="AB66" s="235">
        <v>91.201394828062803</v>
      </c>
      <c r="AC66" s="224">
        <v>0.02</v>
      </c>
      <c r="AD66" s="224">
        <v>0.02</v>
      </c>
      <c r="AE66" s="232">
        <v>0</v>
      </c>
      <c r="AF66" s="232">
        <v>0</v>
      </c>
      <c r="AG66" s="223"/>
      <c r="AH66" s="236">
        <v>61.2</v>
      </c>
      <c r="AI66" s="222">
        <v>43.065592576051799</v>
      </c>
      <c r="AJ66" s="237" t="s">
        <v>54</v>
      </c>
      <c r="AK66" s="229">
        <v>0.683580834540504</v>
      </c>
      <c r="AL66" s="230">
        <v>-36.5651751236161</v>
      </c>
      <c r="AM66" s="224"/>
      <c r="AN66" s="224"/>
      <c r="AO66" s="232">
        <v>29</v>
      </c>
      <c r="AP66" s="232">
        <v>47</v>
      </c>
      <c r="AQ66" s="223"/>
      <c r="AR66" s="236">
        <v>10.6</v>
      </c>
      <c r="AS66" s="222">
        <v>7.4590732239566799</v>
      </c>
      <c r="AT66" s="237" t="s">
        <v>55</v>
      </c>
      <c r="AU66" s="229">
        <v>0.466192076497292</v>
      </c>
      <c r="AV66" s="230">
        <v>-14.2292508250454</v>
      </c>
      <c r="AW66" s="224"/>
      <c r="AX66" s="224"/>
      <c r="AY66" s="232">
        <v>13</v>
      </c>
      <c r="AZ66" s="232">
        <v>17</v>
      </c>
      <c r="BA66" s="223"/>
      <c r="BB66" s="240">
        <v>40.6</v>
      </c>
      <c r="BC66" s="236">
        <v>28.569657820060499</v>
      </c>
      <c r="BD66" s="237" t="s">
        <v>56</v>
      </c>
      <c r="BE66" s="244">
        <v>0.89280180687689004</v>
      </c>
      <c r="BF66" s="227">
        <v>-9.05850165009074</v>
      </c>
      <c r="BG66" s="224"/>
      <c r="BH66" s="224"/>
      <c r="BI66" s="232">
        <v>5</v>
      </c>
      <c r="BJ66" s="232">
        <v>14</v>
      </c>
      <c r="BK66" s="225"/>
      <c r="BL66" s="241">
        <v>0.8</v>
      </c>
      <c r="BM66" s="244">
        <v>0.75</v>
      </c>
      <c r="BN66" s="242"/>
      <c r="BO66" s="243">
        <v>0.95</v>
      </c>
      <c r="BP66" s="234">
        <v>1</v>
      </c>
      <c r="BQ66" s="242">
        <v>2.5000000000000001E-3</v>
      </c>
    </row>
    <row r="67" spans="1:69" s="211" customFormat="1" ht="22.35" customHeight="1" x14ac:dyDescent="0.2">
      <c r="A67" s="221" t="s">
        <v>81</v>
      </c>
      <c r="B67" s="221" t="s">
        <v>119</v>
      </c>
      <c r="C67" s="221" t="s">
        <v>122</v>
      </c>
      <c r="D67" s="222">
        <v>4.3565891625555597</v>
      </c>
      <c r="E67" s="223"/>
      <c r="F67" s="224">
        <v>0.03</v>
      </c>
      <c r="G67" s="224">
        <v>0.03</v>
      </c>
      <c r="H67" s="225"/>
      <c r="I67" s="226">
        <v>3</v>
      </c>
      <c r="J67" s="226">
        <v>3</v>
      </c>
      <c r="K67" s="223"/>
      <c r="L67" s="227">
        <v>3638.6355400000002</v>
      </c>
      <c r="M67" s="227">
        <v>1926.11736</v>
      </c>
      <c r="N67" s="227">
        <v>5564.7529000000004</v>
      </c>
      <c r="O67" s="222">
        <v>1277.3187216799099</v>
      </c>
      <c r="P67" s="228">
        <v>287.5</v>
      </c>
      <c r="Q67" s="234">
        <v>4.4428477275822997</v>
      </c>
      <c r="R67" s="235">
        <v>4197.0017324156797</v>
      </c>
      <c r="S67" s="224">
        <v>0.01</v>
      </c>
      <c r="T67" s="224">
        <v>0.01</v>
      </c>
      <c r="U67" s="231">
        <v>0</v>
      </c>
      <c r="V67" s="232">
        <v>0</v>
      </c>
      <c r="W67" s="223"/>
      <c r="X67" s="231">
        <v>1950.4331050000001</v>
      </c>
      <c r="Y67" s="222">
        <v>447.69727698075701</v>
      </c>
      <c r="Z67" s="233">
        <v>573</v>
      </c>
      <c r="AA67" s="244">
        <v>0.78132160031545805</v>
      </c>
      <c r="AB67" s="227">
        <v>-775.55443943761497</v>
      </c>
      <c r="AC67" s="224"/>
      <c r="AD67" s="224"/>
      <c r="AE67" s="232">
        <v>546</v>
      </c>
      <c r="AF67" s="232">
        <v>1046</v>
      </c>
      <c r="AG67" s="223"/>
      <c r="AH67" s="236">
        <v>153.4</v>
      </c>
      <c r="AI67" s="222">
        <v>35.211031905064097</v>
      </c>
      <c r="AJ67" s="237" t="s">
        <v>54</v>
      </c>
      <c r="AK67" s="229">
        <v>0.55890526833434995</v>
      </c>
      <c r="AL67" s="230">
        <v>-146.31590802717199</v>
      </c>
      <c r="AM67" s="224"/>
      <c r="AN67" s="224"/>
      <c r="AO67" s="232">
        <v>122</v>
      </c>
      <c r="AP67" s="232">
        <v>176</v>
      </c>
      <c r="AQ67" s="223"/>
      <c r="AR67" s="236">
        <v>44.4</v>
      </c>
      <c r="AS67" s="222">
        <v>10.1914590390146</v>
      </c>
      <c r="AT67" s="237" t="s">
        <v>55</v>
      </c>
      <c r="AU67" s="229">
        <v>0.63696618993841403</v>
      </c>
      <c r="AV67" s="230">
        <v>-31.7183258481707</v>
      </c>
      <c r="AW67" s="224"/>
      <c r="AX67" s="224"/>
      <c r="AY67" s="232">
        <v>26</v>
      </c>
      <c r="AZ67" s="232">
        <v>40</v>
      </c>
      <c r="BA67" s="223"/>
      <c r="BB67" s="240">
        <v>191.6</v>
      </c>
      <c r="BC67" s="236">
        <v>43.9793592764685</v>
      </c>
      <c r="BD67" s="237" t="s">
        <v>56</v>
      </c>
      <c r="BE67" s="234">
        <v>1.37435497738964</v>
      </c>
      <c r="BF67" s="235">
        <v>39.363348303658498</v>
      </c>
      <c r="BG67" s="224">
        <v>0.02</v>
      </c>
      <c r="BH67" s="224">
        <v>0.02</v>
      </c>
      <c r="BI67" s="232">
        <v>0</v>
      </c>
      <c r="BJ67" s="232">
        <v>0</v>
      </c>
      <c r="BK67" s="225"/>
      <c r="BL67" s="241">
        <v>0.8</v>
      </c>
      <c r="BM67" s="244">
        <v>0.75</v>
      </c>
      <c r="BN67" s="242"/>
      <c r="BO67" s="243">
        <v>0.95</v>
      </c>
      <c r="BP67" s="234">
        <v>1</v>
      </c>
      <c r="BQ67" s="242">
        <v>2.5000000000000001E-3</v>
      </c>
    </row>
    <row r="68" spans="1:69" s="211" customFormat="1" ht="22.35" customHeight="1" x14ac:dyDescent="0.2">
      <c r="A68" s="221" t="s">
        <v>81</v>
      </c>
      <c r="B68" s="221" t="s">
        <v>119</v>
      </c>
      <c r="C68" s="221" t="s">
        <v>123</v>
      </c>
      <c r="D68" s="222">
        <v>4.5469934366666704</v>
      </c>
      <c r="E68" s="223"/>
      <c r="F68" s="224">
        <v>5.1999999999999998E-2</v>
      </c>
      <c r="G68" s="224">
        <v>3.4000000000000002E-2</v>
      </c>
      <c r="H68" s="225"/>
      <c r="I68" s="226">
        <v>5</v>
      </c>
      <c r="J68" s="226">
        <v>4</v>
      </c>
      <c r="K68" s="223"/>
      <c r="L68" s="227">
        <v>4450.64534</v>
      </c>
      <c r="M68" s="227">
        <v>1519.26342</v>
      </c>
      <c r="N68" s="227">
        <v>5969.9087600000003</v>
      </c>
      <c r="O68" s="222">
        <v>1312.9354249467401</v>
      </c>
      <c r="P68" s="228">
        <v>287.5</v>
      </c>
      <c r="Q68" s="234">
        <v>4.5667319128582298</v>
      </c>
      <c r="R68" s="235">
        <v>4542.3801705585001</v>
      </c>
      <c r="S68" s="224">
        <v>0.01</v>
      </c>
      <c r="T68" s="224">
        <v>0.01</v>
      </c>
      <c r="U68" s="231">
        <v>0</v>
      </c>
      <c r="V68" s="232">
        <v>0</v>
      </c>
      <c r="W68" s="223"/>
      <c r="X68" s="231">
        <v>2706.602085</v>
      </c>
      <c r="Y68" s="222">
        <v>595.25093288548305</v>
      </c>
      <c r="Z68" s="233">
        <v>573</v>
      </c>
      <c r="AA68" s="238">
        <v>1.03883234360468</v>
      </c>
      <c r="AB68" s="239">
        <v>-138.524460217322</v>
      </c>
      <c r="AC68" s="224">
        <v>1.4E-2</v>
      </c>
      <c r="AD68" s="224">
        <v>4.0000000000000001E-3</v>
      </c>
      <c r="AE68" s="232">
        <v>0</v>
      </c>
      <c r="AF68" s="232">
        <v>420</v>
      </c>
      <c r="AG68" s="223"/>
      <c r="AH68" s="236">
        <v>280.55</v>
      </c>
      <c r="AI68" s="222">
        <v>61.700111053089003</v>
      </c>
      <c r="AJ68" s="237" t="s">
        <v>54</v>
      </c>
      <c r="AK68" s="238">
        <v>0.97936684211252301</v>
      </c>
      <c r="AL68" s="239">
        <v>-32.264960468920201</v>
      </c>
      <c r="AM68" s="224">
        <v>8.0000000000000002E-3</v>
      </c>
      <c r="AN68" s="224"/>
      <c r="AO68" s="232">
        <v>6</v>
      </c>
      <c r="AP68" s="232">
        <v>64</v>
      </c>
      <c r="AQ68" s="223"/>
      <c r="AR68" s="236">
        <v>39.200000000000003</v>
      </c>
      <c r="AS68" s="222">
        <v>8.6210812806312198</v>
      </c>
      <c r="AT68" s="237" t="s">
        <v>55</v>
      </c>
      <c r="AU68" s="229">
        <v>0.53881758003945102</v>
      </c>
      <c r="AV68" s="230">
        <v>-40.245069325440099</v>
      </c>
      <c r="AW68" s="224"/>
      <c r="AX68" s="224"/>
      <c r="AY68" s="232">
        <v>34</v>
      </c>
      <c r="AZ68" s="232">
        <v>49</v>
      </c>
      <c r="BA68" s="223"/>
      <c r="BB68" s="240">
        <v>208.8</v>
      </c>
      <c r="BC68" s="236">
        <v>45.920453351933602</v>
      </c>
      <c r="BD68" s="237" t="s">
        <v>56</v>
      </c>
      <c r="BE68" s="234">
        <v>1.43501416724793</v>
      </c>
      <c r="BF68" s="235">
        <v>49.9098613491199</v>
      </c>
      <c r="BG68" s="224">
        <v>0.02</v>
      </c>
      <c r="BH68" s="224">
        <v>0.02</v>
      </c>
      <c r="BI68" s="232">
        <v>0</v>
      </c>
      <c r="BJ68" s="232">
        <v>0</v>
      </c>
      <c r="BK68" s="225"/>
      <c r="BL68" s="241">
        <v>0.8</v>
      </c>
      <c r="BM68" s="244">
        <v>0.77</v>
      </c>
      <c r="BN68" s="242"/>
      <c r="BO68" s="243">
        <v>0.95</v>
      </c>
      <c r="BP68" s="234">
        <v>1</v>
      </c>
      <c r="BQ68" s="242">
        <v>2.5000000000000001E-3</v>
      </c>
    </row>
    <row r="69" spans="1:69" s="211" customFormat="1" ht="22.35" customHeight="1" x14ac:dyDescent="0.2">
      <c r="A69" s="221" t="s">
        <v>81</v>
      </c>
      <c r="B69" s="221" t="s">
        <v>119</v>
      </c>
      <c r="C69" s="221" t="s">
        <v>124</v>
      </c>
      <c r="D69" s="222">
        <v>1.5103209235555599</v>
      </c>
      <c r="E69" s="223"/>
      <c r="F69" s="224">
        <v>3.1E-2</v>
      </c>
      <c r="G69" s="224">
        <v>1.2500000000000001E-2</v>
      </c>
      <c r="H69" s="225"/>
      <c r="I69" s="226">
        <v>4</v>
      </c>
      <c r="J69" s="226">
        <v>3</v>
      </c>
      <c r="K69" s="223"/>
      <c r="L69" s="227">
        <v>542.33698000000004</v>
      </c>
      <c r="M69" s="227">
        <v>-335.13474000000002</v>
      </c>
      <c r="N69" s="227">
        <v>207.20223999999999</v>
      </c>
      <c r="O69" s="222">
        <v>137.19086901889099</v>
      </c>
      <c r="P69" s="228">
        <v>287.5</v>
      </c>
      <c r="Q69" s="229">
        <v>0.47718563137005399</v>
      </c>
      <c r="R69" s="230">
        <v>-266.96301395026802</v>
      </c>
      <c r="S69" s="224"/>
      <c r="T69" s="224"/>
      <c r="U69" s="231">
        <v>228</v>
      </c>
      <c r="V69" s="232">
        <v>314</v>
      </c>
      <c r="W69" s="223"/>
      <c r="X69" s="231">
        <v>617.26729499999999</v>
      </c>
      <c r="Y69" s="222">
        <v>408.69942630924203</v>
      </c>
      <c r="Z69" s="233">
        <v>573</v>
      </c>
      <c r="AA69" s="229">
        <v>0.71326252409989899</v>
      </c>
      <c r="AB69" s="230">
        <v>-327.764672003491</v>
      </c>
      <c r="AC69" s="224"/>
      <c r="AD69" s="224"/>
      <c r="AE69" s="232">
        <v>249</v>
      </c>
      <c r="AF69" s="232">
        <v>422</v>
      </c>
      <c r="AG69" s="223"/>
      <c r="AH69" s="236">
        <v>89.15</v>
      </c>
      <c r="AI69" s="222">
        <v>59.027189923400897</v>
      </c>
      <c r="AJ69" s="237" t="s">
        <v>54</v>
      </c>
      <c r="AK69" s="238">
        <v>0.93693952259366498</v>
      </c>
      <c r="AL69" s="239">
        <v>-14.7540382569283</v>
      </c>
      <c r="AM69" s="224">
        <v>3.0000000000000001E-3</v>
      </c>
      <c r="AN69" s="224"/>
      <c r="AO69" s="232">
        <v>7</v>
      </c>
      <c r="AP69" s="232">
        <v>26</v>
      </c>
      <c r="AQ69" s="223"/>
      <c r="AR69" s="236">
        <v>25.4</v>
      </c>
      <c r="AS69" s="222">
        <v>16.817617768417101</v>
      </c>
      <c r="AT69" s="237" t="s">
        <v>55</v>
      </c>
      <c r="AU69" s="238">
        <v>1.0511011105260699</v>
      </c>
      <c r="AV69" s="239">
        <v>-0.98832717636274103</v>
      </c>
      <c r="AW69" s="224">
        <v>8.0000000000000002E-3</v>
      </c>
      <c r="AX69" s="224">
        <v>2.5000000000000001E-3</v>
      </c>
      <c r="AY69" s="232">
        <v>0</v>
      </c>
      <c r="AZ69" s="232">
        <v>4</v>
      </c>
      <c r="BA69" s="223"/>
      <c r="BB69" s="240">
        <v>53.4</v>
      </c>
      <c r="BC69" s="236">
        <v>35.356723969821701</v>
      </c>
      <c r="BD69" s="237" t="s">
        <v>56</v>
      </c>
      <c r="BE69" s="234">
        <v>1.1048976240569299</v>
      </c>
      <c r="BF69" s="235">
        <v>0.62334564727451203</v>
      </c>
      <c r="BG69" s="224">
        <v>0.02</v>
      </c>
      <c r="BH69" s="224">
        <v>0.01</v>
      </c>
      <c r="BI69" s="232">
        <v>0</v>
      </c>
      <c r="BJ69" s="232">
        <v>5</v>
      </c>
      <c r="BK69" s="225"/>
      <c r="BL69" s="241">
        <v>0.8</v>
      </c>
      <c r="BM69" s="229">
        <v>0.65</v>
      </c>
      <c r="BN69" s="242"/>
      <c r="BO69" s="243">
        <v>0.95</v>
      </c>
      <c r="BP69" s="234">
        <v>1</v>
      </c>
      <c r="BQ69" s="242">
        <v>2.5000000000000001E-3</v>
      </c>
    </row>
    <row r="70" spans="1:69" s="211" customFormat="1" ht="22.35" customHeight="1" x14ac:dyDescent="0.2">
      <c r="A70" s="221" t="s">
        <v>81</v>
      </c>
      <c r="B70" s="221" t="s">
        <v>119</v>
      </c>
      <c r="C70" s="221" t="s">
        <v>125</v>
      </c>
      <c r="D70" s="222">
        <v>3.0536943671111101</v>
      </c>
      <c r="E70" s="223"/>
      <c r="F70" s="224">
        <v>3.4500000000000003E-2</v>
      </c>
      <c r="G70" s="224">
        <v>0.03</v>
      </c>
      <c r="H70" s="225"/>
      <c r="I70" s="226">
        <v>4</v>
      </c>
      <c r="J70" s="226">
        <v>3</v>
      </c>
      <c r="K70" s="223"/>
      <c r="L70" s="227">
        <v>2768.2326800000001</v>
      </c>
      <c r="M70" s="227">
        <v>650.34236999999996</v>
      </c>
      <c r="N70" s="227">
        <v>3418.5750499999999</v>
      </c>
      <c r="O70" s="222">
        <v>1119.4882784664801</v>
      </c>
      <c r="P70" s="228">
        <v>253.321</v>
      </c>
      <c r="Q70" s="234">
        <v>4.4192478257486796</v>
      </c>
      <c r="R70" s="235">
        <v>2573.8421674381202</v>
      </c>
      <c r="S70" s="224">
        <v>0.01</v>
      </c>
      <c r="T70" s="224">
        <v>0.01</v>
      </c>
      <c r="U70" s="231">
        <v>0</v>
      </c>
      <c r="V70" s="232">
        <v>0</v>
      </c>
      <c r="W70" s="223"/>
      <c r="X70" s="231">
        <v>1448.03431</v>
      </c>
      <c r="Y70" s="222">
        <v>474.19097523171098</v>
      </c>
      <c r="Z70" s="233">
        <v>573</v>
      </c>
      <c r="AA70" s="244">
        <v>0.82755842099775001</v>
      </c>
      <c r="AB70" s="227">
        <v>-462.71111461129499</v>
      </c>
      <c r="AC70" s="224"/>
      <c r="AD70" s="224"/>
      <c r="AE70" s="232">
        <v>302</v>
      </c>
      <c r="AF70" s="232">
        <v>652</v>
      </c>
      <c r="AG70" s="223"/>
      <c r="AH70" s="236">
        <v>119.3</v>
      </c>
      <c r="AI70" s="222">
        <v>39.0674329706615</v>
      </c>
      <c r="AJ70" s="237" t="s">
        <v>54</v>
      </c>
      <c r="AK70" s="229">
        <v>0.620117983661294</v>
      </c>
      <c r="AL70" s="230">
        <v>-90.7819576797759</v>
      </c>
      <c r="AM70" s="224"/>
      <c r="AN70" s="224"/>
      <c r="AO70" s="232">
        <v>74</v>
      </c>
      <c r="AP70" s="232">
        <v>112</v>
      </c>
      <c r="AQ70" s="223"/>
      <c r="AR70" s="236">
        <v>48.6</v>
      </c>
      <c r="AS70" s="222">
        <v>15.9151487206551</v>
      </c>
      <c r="AT70" s="237" t="s">
        <v>55</v>
      </c>
      <c r="AU70" s="238">
        <v>0.99469679504094199</v>
      </c>
      <c r="AV70" s="239">
        <v>-4.7541479821653096</v>
      </c>
      <c r="AW70" s="224">
        <v>4.4999999999999997E-3</v>
      </c>
      <c r="AX70" s="224"/>
      <c r="AY70" s="232">
        <v>1</v>
      </c>
      <c r="AZ70" s="232">
        <v>11</v>
      </c>
      <c r="BA70" s="223"/>
      <c r="BB70" s="240">
        <v>164</v>
      </c>
      <c r="BC70" s="236">
        <v>53.705440127313402</v>
      </c>
      <c r="BD70" s="237" t="s">
        <v>56</v>
      </c>
      <c r="BE70" s="234">
        <v>1.67829500397854</v>
      </c>
      <c r="BF70" s="235">
        <v>57.291704035669397</v>
      </c>
      <c r="BG70" s="224">
        <v>0.02</v>
      </c>
      <c r="BH70" s="224">
        <v>0.02</v>
      </c>
      <c r="BI70" s="232">
        <v>0</v>
      </c>
      <c r="BJ70" s="232">
        <v>0</v>
      </c>
      <c r="BK70" s="225"/>
      <c r="BL70" s="241">
        <v>0.8</v>
      </c>
      <c r="BM70" s="229">
        <v>0.62</v>
      </c>
      <c r="BN70" s="242"/>
      <c r="BO70" s="243">
        <v>0.95</v>
      </c>
      <c r="BP70" s="234">
        <v>1</v>
      </c>
      <c r="BQ70" s="242">
        <v>2.5000000000000001E-3</v>
      </c>
    </row>
    <row r="71" spans="1:69" s="211" customFormat="1" ht="22.35" customHeight="1" x14ac:dyDescent="0.2">
      <c r="A71" s="221" t="s">
        <v>81</v>
      </c>
      <c r="B71" s="221" t="s">
        <v>119</v>
      </c>
      <c r="C71" s="221" t="s">
        <v>126</v>
      </c>
      <c r="D71" s="222">
        <v>2.1938047859999998</v>
      </c>
      <c r="E71" s="223"/>
      <c r="F71" s="224">
        <v>4.1000000000000002E-2</v>
      </c>
      <c r="G71" s="224">
        <v>3.1E-2</v>
      </c>
      <c r="H71" s="225"/>
      <c r="I71" s="226">
        <v>4</v>
      </c>
      <c r="J71" s="226">
        <v>4</v>
      </c>
      <c r="K71" s="223"/>
      <c r="L71" s="227">
        <v>1984.3654300000001</v>
      </c>
      <c r="M71" s="227">
        <v>188.55948000000001</v>
      </c>
      <c r="N71" s="227">
        <v>2172.9249100000002</v>
      </c>
      <c r="O71" s="222">
        <v>990.48234549708002</v>
      </c>
      <c r="P71" s="228">
        <v>252.24799999999999</v>
      </c>
      <c r="Q71" s="234">
        <v>3.9266212041208699</v>
      </c>
      <c r="R71" s="235">
        <v>1568.63081633245</v>
      </c>
      <c r="S71" s="224">
        <v>0.01</v>
      </c>
      <c r="T71" s="224">
        <v>0.01</v>
      </c>
      <c r="U71" s="231">
        <v>0</v>
      </c>
      <c r="V71" s="232">
        <v>0</v>
      </c>
      <c r="W71" s="223"/>
      <c r="X71" s="231">
        <v>1267.2595550000001</v>
      </c>
      <c r="Y71" s="222">
        <v>577.65374708230797</v>
      </c>
      <c r="Z71" s="233">
        <v>573</v>
      </c>
      <c r="AA71" s="238">
        <v>1.0081217226567301</v>
      </c>
      <c r="AB71" s="239">
        <v>-105.43920047677599</v>
      </c>
      <c r="AC71" s="224">
        <v>1.0999999999999999E-2</v>
      </c>
      <c r="AD71" s="224">
        <v>1E-3</v>
      </c>
      <c r="AE71" s="232">
        <v>0</v>
      </c>
      <c r="AF71" s="232">
        <v>242</v>
      </c>
      <c r="AG71" s="223"/>
      <c r="AH71" s="236">
        <v>114.9</v>
      </c>
      <c r="AI71" s="222">
        <v>52.374760385813097</v>
      </c>
      <c r="AJ71" s="237" t="s">
        <v>54</v>
      </c>
      <c r="AK71" s="244">
        <v>0.83134540294941395</v>
      </c>
      <c r="AL71" s="227">
        <v>-36.024994057656002</v>
      </c>
      <c r="AM71" s="224"/>
      <c r="AN71" s="224"/>
      <c r="AO71" s="232">
        <v>24</v>
      </c>
      <c r="AP71" s="232">
        <v>51</v>
      </c>
      <c r="AQ71" s="223"/>
      <c r="AR71" s="236">
        <v>24.8</v>
      </c>
      <c r="AS71" s="222">
        <v>11.304560988408699</v>
      </c>
      <c r="AT71" s="237" t="s">
        <v>55</v>
      </c>
      <c r="AU71" s="229">
        <v>0.70653506177554604</v>
      </c>
      <c r="AV71" s="230">
        <v>-13.530157220992001</v>
      </c>
      <c r="AW71" s="224"/>
      <c r="AX71" s="224"/>
      <c r="AY71" s="232">
        <v>11</v>
      </c>
      <c r="AZ71" s="232">
        <v>18</v>
      </c>
      <c r="BA71" s="223"/>
      <c r="BB71" s="240">
        <v>85.4</v>
      </c>
      <c r="BC71" s="236">
        <v>38.927802758471998</v>
      </c>
      <c r="BD71" s="237" t="s">
        <v>56</v>
      </c>
      <c r="BE71" s="234">
        <v>1.2164938362022499</v>
      </c>
      <c r="BF71" s="235">
        <v>8.73968555801601</v>
      </c>
      <c r="BG71" s="224">
        <v>0.02</v>
      </c>
      <c r="BH71" s="224">
        <v>0.02</v>
      </c>
      <c r="BI71" s="232">
        <v>0</v>
      </c>
      <c r="BJ71" s="232">
        <v>0</v>
      </c>
      <c r="BK71" s="225"/>
      <c r="BL71" s="241">
        <v>0.8</v>
      </c>
      <c r="BM71" s="244">
        <v>0.74</v>
      </c>
      <c r="BN71" s="242"/>
      <c r="BO71" s="243">
        <v>0.95</v>
      </c>
      <c r="BP71" s="234">
        <v>1</v>
      </c>
      <c r="BQ71" s="242">
        <v>2.5000000000000001E-3</v>
      </c>
    </row>
    <row r="72" spans="1:69" s="211" customFormat="1" ht="22.35" customHeight="1" x14ac:dyDescent="0.2">
      <c r="A72" s="221" t="s">
        <v>81</v>
      </c>
      <c r="B72" s="221" t="s">
        <v>119</v>
      </c>
      <c r="C72" s="221" t="s">
        <v>127</v>
      </c>
      <c r="D72" s="222">
        <v>4.5919046557777801</v>
      </c>
      <c r="E72" s="223"/>
      <c r="F72" s="224">
        <v>0.08</v>
      </c>
      <c r="G72" s="224">
        <v>6.5500000000000003E-2</v>
      </c>
      <c r="H72" s="225"/>
      <c r="I72" s="226">
        <v>6</v>
      </c>
      <c r="J72" s="226">
        <v>6</v>
      </c>
      <c r="K72" s="223"/>
      <c r="L72" s="227">
        <v>2959.4050900000002</v>
      </c>
      <c r="M72" s="227">
        <v>1167.2518299999999</v>
      </c>
      <c r="N72" s="227">
        <v>4126.6569200000004</v>
      </c>
      <c r="O72" s="222">
        <v>898.68088066846497</v>
      </c>
      <c r="P72" s="228">
        <v>287.5</v>
      </c>
      <c r="Q72" s="234">
        <v>3.1258465414555299</v>
      </c>
      <c r="R72" s="235">
        <v>2685.02845331857</v>
      </c>
      <c r="S72" s="224">
        <v>0.01</v>
      </c>
      <c r="T72" s="224">
        <v>0.01</v>
      </c>
      <c r="U72" s="231">
        <v>0</v>
      </c>
      <c r="V72" s="232">
        <v>0</v>
      </c>
      <c r="W72" s="223"/>
      <c r="X72" s="231">
        <v>2881.034545</v>
      </c>
      <c r="Y72" s="222">
        <v>627.41602035985898</v>
      </c>
      <c r="Z72" s="233">
        <v>573</v>
      </c>
      <c r="AA72" s="234">
        <v>1.0949668767187799</v>
      </c>
      <c r="AB72" s="235">
        <v>7.8063314053511004</v>
      </c>
      <c r="AC72" s="224">
        <v>0.02</v>
      </c>
      <c r="AD72" s="224">
        <v>8.9999999999999993E-3</v>
      </c>
      <c r="AE72" s="232">
        <v>0</v>
      </c>
      <c r="AF72" s="232">
        <v>277</v>
      </c>
      <c r="AG72" s="223"/>
      <c r="AH72" s="236">
        <v>362.75</v>
      </c>
      <c r="AI72" s="222">
        <v>78.997720378093803</v>
      </c>
      <c r="AJ72" s="237" t="s">
        <v>54</v>
      </c>
      <c r="AK72" s="234">
        <v>1.2539320694935501</v>
      </c>
      <c r="AL72" s="235">
        <v>46.845327301111901</v>
      </c>
      <c r="AM72" s="224">
        <v>0.02</v>
      </c>
      <c r="AN72" s="224">
        <v>0.02</v>
      </c>
      <c r="AO72" s="232">
        <v>0</v>
      </c>
      <c r="AP72" s="232">
        <v>0</v>
      </c>
      <c r="AQ72" s="223"/>
      <c r="AR72" s="236">
        <v>83</v>
      </c>
      <c r="AS72" s="222">
        <v>18.0752881912661</v>
      </c>
      <c r="AT72" s="237" t="s">
        <v>55</v>
      </c>
      <c r="AU72" s="234">
        <v>1.1297055119541299</v>
      </c>
      <c r="AV72" s="235">
        <v>2.77024185425064</v>
      </c>
      <c r="AW72" s="224">
        <v>0.01</v>
      </c>
      <c r="AX72" s="224">
        <v>6.4999999999999997E-3</v>
      </c>
      <c r="AY72" s="232">
        <v>0</v>
      </c>
      <c r="AZ72" s="232">
        <v>6</v>
      </c>
      <c r="BA72" s="223"/>
      <c r="BB72" s="240">
        <v>232.8</v>
      </c>
      <c r="BC72" s="236">
        <v>50.697916758153603</v>
      </c>
      <c r="BD72" s="237" t="s">
        <v>56</v>
      </c>
      <c r="BE72" s="234">
        <v>1.5843098986923001</v>
      </c>
      <c r="BF72" s="235">
        <v>72.340483708501296</v>
      </c>
      <c r="BG72" s="224">
        <v>0.02</v>
      </c>
      <c r="BH72" s="224">
        <v>0.02</v>
      </c>
      <c r="BI72" s="232">
        <v>0</v>
      </c>
      <c r="BJ72" s="232">
        <v>0</v>
      </c>
      <c r="BK72" s="225"/>
      <c r="BL72" s="241">
        <v>0.8</v>
      </c>
      <c r="BM72" s="229">
        <v>0.62</v>
      </c>
      <c r="BN72" s="242"/>
      <c r="BO72" s="243">
        <v>0.95</v>
      </c>
      <c r="BP72" s="238">
        <v>0.96</v>
      </c>
      <c r="BQ72" s="242">
        <v>5.0000000000000001E-4</v>
      </c>
    </row>
    <row r="73" spans="1:69" s="211" customFormat="1" ht="22.35" customHeight="1" x14ac:dyDescent="0.2">
      <c r="A73" s="221" t="s">
        <v>81</v>
      </c>
      <c r="B73" s="221" t="s">
        <v>119</v>
      </c>
      <c r="C73" s="221" t="s">
        <v>128</v>
      </c>
      <c r="D73" s="222">
        <v>2.7606706158888898</v>
      </c>
      <c r="E73" s="223"/>
      <c r="F73" s="224">
        <v>0.05</v>
      </c>
      <c r="G73" s="224">
        <v>3.9E-2</v>
      </c>
      <c r="H73" s="225"/>
      <c r="I73" s="226">
        <v>4</v>
      </c>
      <c r="J73" s="226">
        <v>4</v>
      </c>
      <c r="K73" s="223"/>
      <c r="L73" s="227">
        <v>2026.9544699999999</v>
      </c>
      <c r="M73" s="227">
        <v>1026.9030499999999</v>
      </c>
      <c r="N73" s="227">
        <v>3053.85752</v>
      </c>
      <c r="O73" s="222">
        <v>1106.2013347132699</v>
      </c>
      <c r="P73" s="228">
        <v>276.39800000000002</v>
      </c>
      <c r="Q73" s="234">
        <v>4.0022045554355303</v>
      </c>
      <c r="R73" s="235">
        <v>2220.6136501156202</v>
      </c>
      <c r="S73" s="224">
        <v>0.01</v>
      </c>
      <c r="T73" s="224">
        <v>0.01</v>
      </c>
      <c r="U73" s="231">
        <v>0</v>
      </c>
      <c r="V73" s="232">
        <v>0</v>
      </c>
      <c r="W73" s="223"/>
      <c r="X73" s="231">
        <v>1751.522905</v>
      </c>
      <c r="Y73" s="222">
        <v>634.45559021753797</v>
      </c>
      <c r="Z73" s="233">
        <v>573</v>
      </c>
      <c r="AA73" s="234">
        <v>1.10725233894858</v>
      </c>
      <c r="AB73" s="235">
        <v>24.127129908467399</v>
      </c>
      <c r="AC73" s="224">
        <v>0.02</v>
      </c>
      <c r="AD73" s="224">
        <v>1.0999999999999999E-2</v>
      </c>
      <c r="AE73" s="232">
        <v>0</v>
      </c>
      <c r="AF73" s="232">
        <v>147</v>
      </c>
      <c r="AG73" s="223"/>
      <c r="AH73" s="236">
        <v>157.9</v>
      </c>
      <c r="AI73" s="222">
        <v>57.1962475679696</v>
      </c>
      <c r="AJ73" s="237" t="s">
        <v>54</v>
      </c>
      <c r="AK73" s="244">
        <v>0.90787694552332698</v>
      </c>
      <c r="AL73" s="227">
        <v>-32.023095690692102</v>
      </c>
      <c r="AM73" s="224">
        <v>0</v>
      </c>
      <c r="AN73" s="224"/>
      <c r="AO73" s="232">
        <v>17</v>
      </c>
      <c r="AP73" s="232">
        <v>51</v>
      </c>
      <c r="AQ73" s="223"/>
      <c r="AR73" s="236">
        <v>29.8</v>
      </c>
      <c r="AS73" s="222">
        <v>10.7944786417067</v>
      </c>
      <c r="AT73" s="237" t="s">
        <v>55</v>
      </c>
      <c r="AU73" s="229">
        <v>0.67465491510667097</v>
      </c>
      <c r="AV73" s="230">
        <v>-18.4344370008107</v>
      </c>
      <c r="AW73" s="224"/>
      <c r="AX73" s="224"/>
      <c r="AY73" s="232">
        <v>15</v>
      </c>
      <c r="AZ73" s="232">
        <v>24</v>
      </c>
      <c r="BA73" s="223"/>
      <c r="BB73" s="240">
        <v>104</v>
      </c>
      <c r="BC73" s="236">
        <v>37.672005997902701</v>
      </c>
      <c r="BD73" s="237" t="s">
        <v>56</v>
      </c>
      <c r="BE73" s="234">
        <v>1.1772501874344601</v>
      </c>
      <c r="BF73" s="235">
        <v>7.5311259983786298</v>
      </c>
      <c r="BG73" s="224">
        <v>0.02</v>
      </c>
      <c r="BH73" s="224">
        <v>1.7999999999999999E-2</v>
      </c>
      <c r="BI73" s="232">
        <v>0</v>
      </c>
      <c r="BJ73" s="232">
        <v>3</v>
      </c>
      <c r="BK73" s="225"/>
      <c r="BL73" s="241">
        <v>0.8</v>
      </c>
      <c r="BM73" s="244">
        <v>0.72</v>
      </c>
      <c r="BN73" s="242"/>
      <c r="BO73" s="243">
        <v>0.95</v>
      </c>
      <c r="BP73" s="234">
        <v>1</v>
      </c>
      <c r="BQ73" s="242">
        <v>2.5000000000000001E-3</v>
      </c>
    </row>
    <row r="74" spans="1:69" s="211" customFormat="1" ht="22.35" customHeight="1" x14ac:dyDescent="0.2">
      <c r="A74" s="221" t="s">
        <v>81</v>
      </c>
      <c r="B74" s="221" t="s">
        <v>119</v>
      </c>
      <c r="C74" s="221" t="s">
        <v>129</v>
      </c>
      <c r="D74" s="222">
        <v>5.5965996495555599</v>
      </c>
      <c r="E74" s="223"/>
      <c r="F74" s="224">
        <v>0.04</v>
      </c>
      <c r="G74" s="224">
        <v>3.5000000000000003E-2</v>
      </c>
      <c r="H74" s="225"/>
      <c r="I74" s="226">
        <v>4</v>
      </c>
      <c r="J74" s="226">
        <v>4</v>
      </c>
      <c r="K74" s="223"/>
      <c r="L74" s="227">
        <v>2613.0964100000001</v>
      </c>
      <c r="M74" s="227">
        <v>1358.6611</v>
      </c>
      <c r="N74" s="227">
        <v>3971.7575099999999</v>
      </c>
      <c r="O74" s="222">
        <v>709.67333000412305</v>
      </c>
      <c r="P74" s="228">
        <v>242.33799999999999</v>
      </c>
      <c r="Q74" s="234">
        <v>2.9284442803197299</v>
      </c>
      <c r="R74" s="235">
        <v>2490.7120176655999</v>
      </c>
      <c r="S74" s="224">
        <v>0.01</v>
      </c>
      <c r="T74" s="224">
        <v>0.01</v>
      </c>
      <c r="U74" s="231">
        <v>0</v>
      </c>
      <c r="V74" s="232">
        <v>0</v>
      </c>
      <c r="W74" s="223"/>
      <c r="X74" s="231">
        <v>2060.1639100000002</v>
      </c>
      <c r="Y74" s="222">
        <v>368.109930851245</v>
      </c>
      <c r="Z74" s="233">
        <v>573</v>
      </c>
      <c r="AA74" s="229">
        <v>0.64242570829187695</v>
      </c>
      <c r="AB74" s="230">
        <v>-1441.7180363213099</v>
      </c>
      <c r="AC74" s="224"/>
      <c r="AD74" s="224"/>
      <c r="AE74" s="232">
        <v>1147</v>
      </c>
      <c r="AF74" s="232">
        <v>1789</v>
      </c>
      <c r="AG74" s="223"/>
      <c r="AH74" s="236">
        <v>274.8</v>
      </c>
      <c r="AI74" s="222">
        <v>49.1012431131862</v>
      </c>
      <c r="AJ74" s="237" t="s">
        <v>54</v>
      </c>
      <c r="AK74" s="244">
        <v>0.77938481132041604</v>
      </c>
      <c r="AL74" s="227">
        <v>-110.22366949082399</v>
      </c>
      <c r="AM74" s="224"/>
      <c r="AN74" s="224"/>
      <c r="AO74" s="232">
        <v>78</v>
      </c>
      <c r="AP74" s="232">
        <v>149</v>
      </c>
      <c r="AQ74" s="223"/>
      <c r="AR74" s="236">
        <v>98.5</v>
      </c>
      <c r="AS74" s="222">
        <v>17.5999725132782</v>
      </c>
      <c r="AT74" s="237" t="s">
        <v>55</v>
      </c>
      <c r="AU74" s="234">
        <v>1.0999982820798799</v>
      </c>
      <c r="AV74" s="235">
        <v>0.71621092296526001</v>
      </c>
      <c r="AW74" s="224">
        <v>0.01</v>
      </c>
      <c r="AX74" s="224">
        <v>5.0000000000000001E-3</v>
      </c>
      <c r="AY74" s="232">
        <v>0</v>
      </c>
      <c r="AZ74" s="232">
        <v>9</v>
      </c>
      <c r="BA74" s="223"/>
      <c r="BB74" s="240">
        <v>261.60000000000002</v>
      </c>
      <c r="BC74" s="236">
        <v>46.742668116482903</v>
      </c>
      <c r="BD74" s="237" t="s">
        <v>56</v>
      </c>
      <c r="BE74" s="234">
        <v>1.4607083786400901</v>
      </c>
      <c r="BF74" s="235">
        <v>66.0324218459305</v>
      </c>
      <c r="BG74" s="224">
        <v>0.02</v>
      </c>
      <c r="BH74" s="224">
        <v>0.02</v>
      </c>
      <c r="BI74" s="232">
        <v>0</v>
      </c>
      <c r="BJ74" s="232">
        <v>0</v>
      </c>
      <c r="BK74" s="225"/>
      <c r="BL74" s="241">
        <v>0.8</v>
      </c>
      <c r="BM74" s="229">
        <v>0.69</v>
      </c>
      <c r="BN74" s="242"/>
      <c r="BO74" s="243">
        <v>0.95</v>
      </c>
      <c r="BP74" s="234">
        <v>1</v>
      </c>
      <c r="BQ74" s="242">
        <v>2.5000000000000001E-3</v>
      </c>
    </row>
    <row r="75" spans="1:69" s="211" customFormat="1" ht="22.35" customHeight="1" x14ac:dyDescent="0.2">
      <c r="A75" s="221" t="s">
        <v>81</v>
      </c>
      <c r="B75" s="221" t="s">
        <v>119</v>
      </c>
      <c r="C75" s="221" t="s">
        <v>130</v>
      </c>
      <c r="D75" s="222">
        <v>4.2868855297777797</v>
      </c>
      <c r="E75" s="223"/>
      <c r="F75" s="224">
        <v>3.0000000000000001E-3</v>
      </c>
      <c r="G75" s="224"/>
      <c r="H75" s="225"/>
      <c r="I75" s="226">
        <v>1</v>
      </c>
      <c r="J75" s="226">
        <v>0</v>
      </c>
      <c r="K75" s="223"/>
      <c r="L75" s="227">
        <v>1191.4129499999999</v>
      </c>
      <c r="M75" s="227">
        <v>-1503.8709699999999</v>
      </c>
      <c r="N75" s="227">
        <v>-312.45801999999998</v>
      </c>
      <c r="O75" s="222">
        <v>-72.886952037694599</v>
      </c>
      <c r="P75" s="228">
        <v>275.59500000000003</v>
      </c>
      <c r="Q75" s="229">
        <v>-0.264471242358151</v>
      </c>
      <c r="R75" s="230">
        <v>-1602.5951055963901</v>
      </c>
      <c r="S75" s="224"/>
      <c r="T75" s="224"/>
      <c r="U75" s="231">
        <v>1494</v>
      </c>
      <c r="V75" s="232">
        <v>1731</v>
      </c>
      <c r="W75" s="223"/>
      <c r="X75" s="231">
        <v>2293.6745999999998</v>
      </c>
      <c r="Y75" s="222">
        <v>535.04451753319802</v>
      </c>
      <c r="Z75" s="233">
        <v>573</v>
      </c>
      <c r="AA75" s="238">
        <v>0.93376006550296398</v>
      </c>
      <c r="AB75" s="239">
        <v>-388.69826615043303</v>
      </c>
      <c r="AC75" s="224">
        <v>3.0000000000000001E-3</v>
      </c>
      <c r="AD75" s="224"/>
      <c r="AE75" s="232">
        <v>163</v>
      </c>
      <c r="AF75" s="232">
        <v>654</v>
      </c>
      <c r="AG75" s="223"/>
      <c r="AH75" s="236">
        <v>165.4</v>
      </c>
      <c r="AI75" s="222">
        <v>38.5827890320584</v>
      </c>
      <c r="AJ75" s="237" t="s">
        <v>54</v>
      </c>
      <c r="AK75" s="229">
        <v>0.61242522273108602</v>
      </c>
      <c r="AL75" s="230">
        <v>-129.520576906592</v>
      </c>
      <c r="AM75" s="224"/>
      <c r="AN75" s="224"/>
      <c r="AO75" s="232">
        <v>105</v>
      </c>
      <c r="AP75" s="232">
        <v>159</v>
      </c>
      <c r="AQ75" s="223"/>
      <c r="AR75" s="236">
        <v>9</v>
      </c>
      <c r="AS75" s="222">
        <v>2.0994262472099501</v>
      </c>
      <c r="AT75" s="237" t="s">
        <v>55</v>
      </c>
      <c r="AU75" s="229">
        <v>0.13121414045062199</v>
      </c>
      <c r="AV75" s="230">
        <v>-65.900463976277393</v>
      </c>
      <c r="AW75" s="224"/>
      <c r="AX75" s="224"/>
      <c r="AY75" s="232">
        <v>60</v>
      </c>
      <c r="AZ75" s="232">
        <v>74</v>
      </c>
      <c r="BA75" s="223"/>
      <c r="BB75" s="240">
        <v>121.4</v>
      </c>
      <c r="BC75" s="236">
        <v>28.318927379032001</v>
      </c>
      <c r="BD75" s="237" t="s">
        <v>56</v>
      </c>
      <c r="BE75" s="244">
        <v>0.88496648059475003</v>
      </c>
      <c r="BF75" s="227">
        <v>-28.400927952554799</v>
      </c>
      <c r="BG75" s="224"/>
      <c r="BH75" s="224"/>
      <c r="BI75" s="232">
        <v>16</v>
      </c>
      <c r="BJ75" s="232">
        <v>44</v>
      </c>
      <c r="BK75" s="225"/>
      <c r="BL75" s="241">
        <v>0.8</v>
      </c>
      <c r="BM75" s="244">
        <v>0.72</v>
      </c>
      <c r="BN75" s="242"/>
      <c r="BO75" s="243">
        <v>0.95</v>
      </c>
      <c r="BP75" s="244">
        <v>0.89</v>
      </c>
      <c r="BQ75" s="242"/>
    </row>
    <row r="76" spans="1:69" s="211" customFormat="1" ht="22.35" customHeight="1" x14ac:dyDescent="0.2">
      <c r="A76" s="221" t="s">
        <v>81</v>
      </c>
      <c r="B76" s="221" t="s">
        <v>119</v>
      </c>
      <c r="C76" s="221" t="s">
        <v>131</v>
      </c>
      <c r="D76" s="222">
        <v>5.9599043151111104</v>
      </c>
      <c r="E76" s="223"/>
      <c r="F76" s="224">
        <v>2.5000000000000001E-2</v>
      </c>
      <c r="G76" s="224">
        <v>1.2E-2</v>
      </c>
      <c r="H76" s="225"/>
      <c r="I76" s="226">
        <v>4</v>
      </c>
      <c r="J76" s="226">
        <v>3</v>
      </c>
      <c r="K76" s="223"/>
      <c r="L76" s="227">
        <v>5538.96191</v>
      </c>
      <c r="M76" s="227">
        <v>4971.8768300000002</v>
      </c>
      <c r="N76" s="227">
        <v>10510.838739999999</v>
      </c>
      <c r="O76" s="222">
        <v>1763.5918605857801</v>
      </c>
      <c r="P76" s="228">
        <v>283.69400000000002</v>
      </c>
      <c r="Q76" s="234">
        <v>6.21652858567957</v>
      </c>
      <c r="R76" s="235">
        <v>8664.4970485099293</v>
      </c>
      <c r="S76" s="224">
        <v>0.01</v>
      </c>
      <c r="T76" s="224">
        <v>0.01</v>
      </c>
      <c r="U76" s="231">
        <v>0</v>
      </c>
      <c r="V76" s="232">
        <v>0</v>
      </c>
      <c r="W76" s="223"/>
      <c r="X76" s="231">
        <v>3209.54468</v>
      </c>
      <c r="Y76" s="222">
        <v>538.52285377507201</v>
      </c>
      <c r="Z76" s="233">
        <v>573</v>
      </c>
      <c r="AA76" s="238">
        <v>0.93983046034043904</v>
      </c>
      <c r="AB76" s="239">
        <v>-519.66280843406298</v>
      </c>
      <c r="AC76" s="224">
        <v>3.0000000000000001E-3</v>
      </c>
      <c r="AD76" s="224"/>
      <c r="AE76" s="232">
        <v>206</v>
      </c>
      <c r="AF76" s="232">
        <v>889</v>
      </c>
      <c r="AG76" s="223"/>
      <c r="AH76" s="236">
        <v>255.5</v>
      </c>
      <c r="AI76" s="222">
        <v>42.8698157707313</v>
      </c>
      <c r="AJ76" s="237" t="s">
        <v>54</v>
      </c>
      <c r="AK76" s="229">
        <v>0.68047326620208404</v>
      </c>
      <c r="AL76" s="230">
        <v>-154.51757726238401</v>
      </c>
      <c r="AM76" s="224"/>
      <c r="AN76" s="224"/>
      <c r="AO76" s="232">
        <v>120</v>
      </c>
      <c r="AP76" s="232">
        <v>196</v>
      </c>
      <c r="AQ76" s="223"/>
      <c r="AR76" s="236">
        <v>31.8</v>
      </c>
      <c r="AS76" s="222">
        <v>5.3356561311516897</v>
      </c>
      <c r="AT76" s="237" t="s">
        <v>55</v>
      </c>
      <c r="AU76" s="229">
        <v>0.33347850819698099</v>
      </c>
      <c r="AV76" s="230">
        <v>-72.331448193621299</v>
      </c>
      <c r="AW76" s="224"/>
      <c r="AX76" s="224"/>
      <c r="AY76" s="232">
        <v>64</v>
      </c>
      <c r="AZ76" s="232">
        <v>83</v>
      </c>
      <c r="BA76" s="223"/>
      <c r="BB76" s="240">
        <v>195</v>
      </c>
      <c r="BC76" s="236">
        <v>32.718646087250903</v>
      </c>
      <c r="BD76" s="237" t="s">
        <v>56</v>
      </c>
      <c r="BE76" s="238">
        <v>1.0224576902265901</v>
      </c>
      <c r="BF76" s="239">
        <v>-13.2628963872426</v>
      </c>
      <c r="BG76" s="224">
        <v>1.2E-2</v>
      </c>
      <c r="BH76" s="224">
        <v>2E-3</v>
      </c>
      <c r="BI76" s="232">
        <v>0</v>
      </c>
      <c r="BJ76" s="232">
        <v>34</v>
      </c>
      <c r="BK76" s="225"/>
      <c r="BL76" s="241">
        <v>0.8</v>
      </c>
      <c r="BM76" s="229">
        <v>0.62</v>
      </c>
      <c r="BN76" s="242"/>
      <c r="BO76" s="243">
        <v>0.95</v>
      </c>
      <c r="BP76" s="234">
        <v>1</v>
      </c>
      <c r="BQ76" s="242">
        <v>2.5000000000000001E-3</v>
      </c>
    </row>
    <row r="77" spans="1:69" s="211" customFormat="1" ht="22.35" customHeight="1" x14ac:dyDescent="0.2">
      <c r="A77" s="221" t="s">
        <v>81</v>
      </c>
      <c r="B77" s="221" t="s">
        <v>119</v>
      </c>
      <c r="C77" s="221" t="s">
        <v>132</v>
      </c>
      <c r="D77" s="222">
        <v>8.4737407848888893</v>
      </c>
      <c r="E77" s="223"/>
      <c r="F77" s="224">
        <v>0.04</v>
      </c>
      <c r="G77" s="224">
        <v>0.03</v>
      </c>
      <c r="H77" s="225"/>
      <c r="I77" s="226">
        <v>5</v>
      </c>
      <c r="J77" s="226">
        <v>3</v>
      </c>
      <c r="K77" s="223"/>
      <c r="L77" s="227">
        <v>12506.70824</v>
      </c>
      <c r="M77" s="227">
        <v>6327.1190800000004</v>
      </c>
      <c r="N77" s="227">
        <v>18833.82732</v>
      </c>
      <c r="O77" s="222">
        <v>2222.6107451370399</v>
      </c>
      <c r="P77" s="228">
        <v>248.64599999999999</v>
      </c>
      <c r="Q77" s="234">
        <v>8.9388558236892592</v>
      </c>
      <c r="R77" s="235">
        <v>16533.025087690199</v>
      </c>
      <c r="S77" s="224">
        <v>0.01</v>
      </c>
      <c r="T77" s="224">
        <v>0.01</v>
      </c>
      <c r="U77" s="231">
        <v>0</v>
      </c>
      <c r="V77" s="232">
        <v>0</v>
      </c>
      <c r="W77" s="223"/>
      <c r="X77" s="231">
        <v>3410.4607299999998</v>
      </c>
      <c r="Y77" s="222">
        <v>402.474045002867</v>
      </c>
      <c r="Z77" s="233">
        <v>573</v>
      </c>
      <c r="AA77" s="229">
        <v>0.702397984298197</v>
      </c>
      <c r="AB77" s="230">
        <v>-1891.6944589575401</v>
      </c>
      <c r="AC77" s="224"/>
      <c r="AD77" s="224"/>
      <c r="AE77" s="232">
        <v>1445</v>
      </c>
      <c r="AF77" s="232">
        <v>2417</v>
      </c>
      <c r="AG77" s="223"/>
      <c r="AH77" s="236">
        <v>517.6</v>
      </c>
      <c r="AI77" s="222">
        <v>61.082821995573603</v>
      </c>
      <c r="AJ77" s="237" t="s">
        <v>54</v>
      </c>
      <c r="AK77" s="238">
        <v>0.96956860310434201</v>
      </c>
      <c r="AL77" s="239">
        <v>-65.359471037216096</v>
      </c>
      <c r="AM77" s="224">
        <v>7.0000000000000001E-3</v>
      </c>
      <c r="AN77" s="224"/>
      <c r="AO77" s="232">
        <v>17</v>
      </c>
      <c r="AP77" s="232">
        <v>124</v>
      </c>
      <c r="AQ77" s="223"/>
      <c r="AR77" s="236">
        <v>130.80000000000001</v>
      </c>
      <c r="AS77" s="222">
        <v>15.4359217871349</v>
      </c>
      <c r="AT77" s="237" t="s">
        <v>55</v>
      </c>
      <c r="AU77" s="238">
        <v>0.96474511169593102</v>
      </c>
      <c r="AV77" s="239">
        <v>-17.2531989935787</v>
      </c>
      <c r="AW77" s="224">
        <v>3.0000000000000001E-3</v>
      </c>
      <c r="AX77" s="224"/>
      <c r="AY77" s="232">
        <v>5</v>
      </c>
      <c r="AZ77" s="232">
        <v>32</v>
      </c>
      <c r="BA77" s="223"/>
      <c r="BB77" s="240">
        <v>674.8</v>
      </c>
      <c r="BC77" s="236">
        <v>79.634250932405394</v>
      </c>
      <c r="BD77" s="237" t="s">
        <v>56</v>
      </c>
      <c r="BE77" s="234">
        <v>2.4885703416376699</v>
      </c>
      <c r="BF77" s="235">
        <v>378.69360201284297</v>
      </c>
      <c r="BG77" s="224">
        <v>0.02</v>
      </c>
      <c r="BH77" s="224">
        <v>0.02</v>
      </c>
      <c r="BI77" s="232">
        <v>0</v>
      </c>
      <c r="BJ77" s="232">
        <v>0</v>
      </c>
      <c r="BK77" s="225"/>
      <c r="BL77" s="241">
        <v>0.8</v>
      </c>
      <c r="BM77" s="229">
        <v>0.57999999999999996</v>
      </c>
      <c r="BN77" s="242"/>
      <c r="BO77" s="243">
        <v>0.95</v>
      </c>
      <c r="BP77" s="234">
        <v>1</v>
      </c>
      <c r="BQ77" s="242">
        <v>2.5000000000000001E-3</v>
      </c>
    </row>
    <row r="78" spans="1:69" s="211" customFormat="1" ht="22.35" customHeight="1" x14ac:dyDescent="0.2">
      <c r="A78" s="221" t="s">
        <v>81</v>
      </c>
      <c r="B78" s="221" t="s">
        <v>119</v>
      </c>
      <c r="C78" s="221" t="s">
        <v>133</v>
      </c>
      <c r="D78" s="222">
        <v>2.7902579681111099</v>
      </c>
      <c r="E78" s="223"/>
      <c r="F78" s="224">
        <v>1.2E-2</v>
      </c>
      <c r="G78" s="224">
        <v>2E-3</v>
      </c>
      <c r="H78" s="225"/>
      <c r="I78" s="226">
        <v>1</v>
      </c>
      <c r="J78" s="226">
        <v>1</v>
      </c>
      <c r="K78" s="223"/>
      <c r="L78" s="227">
        <v>866.89889000000005</v>
      </c>
      <c r="M78" s="227">
        <v>-827.78738999999996</v>
      </c>
      <c r="N78" s="227">
        <v>39.111499999999999</v>
      </c>
      <c r="O78" s="222">
        <v>14.017162730827</v>
      </c>
      <c r="P78" s="228">
        <v>256.80599999999998</v>
      </c>
      <c r="Q78" s="229">
        <v>5.4582691723818799E-2</v>
      </c>
      <c r="R78" s="230">
        <v>-743.36654663254603</v>
      </c>
      <c r="S78" s="224"/>
      <c r="T78" s="224"/>
      <c r="U78" s="231">
        <v>678</v>
      </c>
      <c r="V78" s="232">
        <v>821</v>
      </c>
      <c r="W78" s="223"/>
      <c r="X78" s="231">
        <v>628.49265500000001</v>
      </c>
      <c r="Y78" s="222">
        <v>225.24535802166801</v>
      </c>
      <c r="Z78" s="233">
        <v>573</v>
      </c>
      <c r="AA78" s="229">
        <v>0.39309835605875798</v>
      </c>
      <c r="AB78" s="230">
        <v>-1117.41639977461</v>
      </c>
      <c r="AC78" s="224"/>
      <c r="AD78" s="224"/>
      <c r="AE78" s="232">
        <v>971</v>
      </c>
      <c r="AF78" s="232">
        <v>1291</v>
      </c>
      <c r="AG78" s="223"/>
      <c r="AH78" s="236">
        <v>130.94999999999999</v>
      </c>
      <c r="AI78" s="222">
        <v>46.9311445380972</v>
      </c>
      <c r="AJ78" s="237" t="s">
        <v>54</v>
      </c>
      <c r="AK78" s="244">
        <v>0.74493880219201902</v>
      </c>
      <c r="AL78" s="227">
        <v>-61.0085871741719</v>
      </c>
      <c r="AM78" s="224"/>
      <c r="AN78" s="224"/>
      <c r="AO78" s="232">
        <v>45</v>
      </c>
      <c r="AP78" s="232">
        <v>80</v>
      </c>
      <c r="AQ78" s="223"/>
      <c r="AR78" s="236">
        <v>10.3</v>
      </c>
      <c r="AS78" s="222">
        <v>3.6914149579412099</v>
      </c>
      <c r="AT78" s="237" t="s">
        <v>55</v>
      </c>
      <c r="AU78" s="229">
        <v>0.23071343487132601</v>
      </c>
      <c r="AV78" s="230">
        <v>-38.451387218837297</v>
      </c>
      <c r="AW78" s="224"/>
      <c r="AX78" s="224"/>
      <c r="AY78" s="232">
        <v>35</v>
      </c>
      <c r="AZ78" s="232">
        <v>44</v>
      </c>
      <c r="BA78" s="223"/>
      <c r="BB78" s="240">
        <v>91.4</v>
      </c>
      <c r="BC78" s="236">
        <v>32.756827879206497</v>
      </c>
      <c r="BD78" s="237" t="s">
        <v>56</v>
      </c>
      <c r="BE78" s="238">
        <v>1.0236508712251999</v>
      </c>
      <c r="BF78" s="239">
        <v>-6.10277443767463</v>
      </c>
      <c r="BG78" s="224">
        <v>1.2E-2</v>
      </c>
      <c r="BH78" s="224">
        <v>2E-3</v>
      </c>
      <c r="BI78" s="232">
        <v>0</v>
      </c>
      <c r="BJ78" s="232">
        <v>16</v>
      </c>
      <c r="BK78" s="225"/>
      <c r="BL78" s="241">
        <v>0.8</v>
      </c>
      <c r="BM78" s="244">
        <v>0.73</v>
      </c>
      <c r="BN78" s="242"/>
      <c r="BO78" s="243">
        <v>0.95</v>
      </c>
      <c r="BP78" s="244">
        <v>0.88</v>
      </c>
      <c r="BQ78" s="242"/>
    </row>
    <row r="79" spans="1:69" s="211" customFormat="1" ht="22.35" customHeight="1" x14ac:dyDescent="0.2">
      <c r="A79" s="221" t="s">
        <v>81</v>
      </c>
      <c r="B79" s="221" t="s">
        <v>119</v>
      </c>
      <c r="C79" s="221" t="s">
        <v>134</v>
      </c>
      <c r="D79" s="222">
        <v>2.4499054332222201</v>
      </c>
      <c r="E79" s="223"/>
      <c r="F79" s="224">
        <v>0.06</v>
      </c>
      <c r="G79" s="224">
        <v>5.8999999999999997E-2</v>
      </c>
      <c r="H79" s="225"/>
      <c r="I79" s="226">
        <v>4</v>
      </c>
      <c r="J79" s="226">
        <v>4</v>
      </c>
      <c r="K79" s="223"/>
      <c r="L79" s="227">
        <v>1040.02478</v>
      </c>
      <c r="M79" s="227">
        <v>-573.30325000000005</v>
      </c>
      <c r="N79" s="227">
        <v>466.72152999999997</v>
      </c>
      <c r="O79" s="222">
        <v>190.505936952084</v>
      </c>
      <c r="P79" s="228">
        <v>249.55500000000001</v>
      </c>
      <c r="Q79" s="244">
        <v>0.76338256878076405</v>
      </c>
      <c r="R79" s="227">
        <v>-200.912146223446</v>
      </c>
      <c r="S79" s="224"/>
      <c r="T79" s="224"/>
      <c r="U79" s="231">
        <v>145</v>
      </c>
      <c r="V79" s="232">
        <v>267</v>
      </c>
      <c r="W79" s="223"/>
      <c r="X79" s="231">
        <v>1669.55961</v>
      </c>
      <c r="Y79" s="222">
        <v>681.47920624190101</v>
      </c>
      <c r="Z79" s="233">
        <v>573</v>
      </c>
      <c r="AA79" s="234">
        <v>1.1893179864605601</v>
      </c>
      <c r="AB79" s="235">
        <v>136.61458194592601</v>
      </c>
      <c r="AC79" s="224">
        <v>0.02</v>
      </c>
      <c r="AD79" s="224">
        <v>1.9E-2</v>
      </c>
      <c r="AE79" s="232">
        <v>0</v>
      </c>
      <c r="AF79" s="232">
        <v>15</v>
      </c>
      <c r="AG79" s="223"/>
      <c r="AH79" s="236">
        <v>202.4</v>
      </c>
      <c r="AI79" s="222">
        <v>82.615433745046502</v>
      </c>
      <c r="AJ79" s="237" t="s">
        <v>54</v>
      </c>
      <c r="AK79" s="234">
        <v>1.3113560911912101</v>
      </c>
      <c r="AL79" s="235">
        <v>33.856305816044198</v>
      </c>
      <c r="AM79" s="224">
        <v>0.02</v>
      </c>
      <c r="AN79" s="224">
        <v>0.02</v>
      </c>
      <c r="AO79" s="232">
        <v>0</v>
      </c>
      <c r="AP79" s="232">
        <v>0</v>
      </c>
      <c r="AQ79" s="223"/>
      <c r="AR79" s="236">
        <v>17.8</v>
      </c>
      <c r="AS79" s="222">
        <v>7.2655865645347202</v>
      </c>
      <c r="AT79" s="237" t="s">
        <v>55</v>
      </c>
      <c r="AU79" s="229">
        <v>0.45409916028342001</v>
      </c>
      <c r="AV79" s="230">
        <v>-25.0047477292586</v>
      </c>
      <c r="AW79" s="224"/>
      <c r="AX79" s="224"/>
      <c r="AY79" s="232">
        <v>22</v>
      </c>
      <c r="AZ79" s="232">
        <v>30</v>
      </c>
      <c r="BA79" s="223"/>
      <c r="BB79" s="240">
        <v>137</v>
      </c>
      <c r="BC79" s="236">
        <v>55.920525805688598</v>
      </c>
      <c r="BD79" s="237" t="s">
        <v>56</v>
      </c>
      <c r="BE79" s="234">
        <v>1.74751643142777</v>
      </c>
      <c r="BF79" s="235">
        <v>51.390504541482798</v>
      </c>
      <c r="BG79" s="224">
        <v>0.02</v>
      </c>
      <c r="BH79" s="224">
        <v>0.02</v>
      </c>
      <c r="BI79" s="232">
        <v>0</v>
      </c>
      <c r="BJ79" s="232">
        <v>0</v>
      </c>
      <c r="BK79" s="225"/>
      <c r="BL79" s="241">
        <v>0.8</v>
      </c>
      <c r="BM79" s="229">
        <v>0.67</v>
      </c>
      <c r="BN79" s="242"/>
      <c r="BO79" s="243">
        <v>0.95</v>
      </c>
      <c r="BP79" s="234">
        <v>1</v>
      </c>
      <c r="BQ79" s="242">
        <v>2.5000000000000001E-3</v>
      </c>
    </row>
    <row r="80" spans="1:69" s="211" customFormat="1" ht="22.35" customHeight="1" x14ac:dyDescent="0.2">
      <c r="A80" s="221" t="s">
        <v>81</v>
      </c>
      <c r="B80" s="221" t="s">
        <v>119</v>
      </c>
      <c r="C80" s="221" t="s">
        <v>135</v>
      </c>
      <c r="D80" s="222">
        <v>2.67748065066667</v>
      </c>
      <c r="E80" s="223"/>
      <c r="F80" s="224">
        <v>5.5E-2</v>
      </c>
      <c r="G80" s="224">
        <v>4.3999999999999997E-2</v>
      </c>
      <c r="H80" s="225"/>
      <c r="I80" s="226">
        <v>5</v>
      </c>
      <c r="J80" s="226">
        <v>4</v>
      </c>
      <c r="K80" s="223"/>
      <c r="L80" s="227">
        <v>1331.5432599999999</v>
      </c>
      <c r="M80" s="227">
        <v>525.03215</v>
      </c>
      <c r="N80" s="227">
        <v>1856.5754099999999</v>
      </c>
      <c r="O80" s="222">
        <v>693.40385691965002</v>
      </c>
      <c r="P80" s="228">
        <v>236.18299999999999</v>
      </c>
      <c r="Q80" s="234">
        <v>2.9358753886589999</v>
      </c>
      <c r="R80" s="235">
        <v>1166.0214595320799</v>
      </c>
      <c r="S80" s="224">
        <v>0.01</v>
      </c>
      <c r="T80" s="224">
        <v>0.01</v>
      </c>
      <c r="U80" s="231">
        <v>0</v>
      </c>
      <c r="V80" s="232">
        <v>0</v>
      </c>
      <c r="W80" s="223"/>
      <c r="X80" s="231">
        <v>1471.96901</v>
      </c>
      <c r="Y80" s="222">
        <v>549.758971977442</v>
      </c>
      <c r="Z80" s="233">
        <v>573</v>
      </c>
      <c r="AA80" s="238">
        <v>0.95943974167092905</v>
      </c>
      <c r="AB80" s="239">
        <v>-203.373472812546</v>
      </c>
      <c r="AC80" s="224">
        <v>5.0000000000000001E-3</v>
      </c>
      <c r="AD80" s="224"/>
      <c r="AE80" s="232">
        <v>63</v>
      </c>
      <c r="AF80" s="232">
        <v>370</v>
      </c>
      <c r="AG80" s="223"/>
      <c r="AH80" s="236">
        <v>192.05</v>
      </c>
      <c r="AI80" s="222">
        <v>71.727875961374906</v>
      </c>
      <c r="AJ80" s="237" t="s">
        <v>54</v>
      </c>
      <c r="AK80" s="234">
        <v>1.13853771367262</v>
      </c>
      <c r="AL80" s="235">
        <v>7.8500411567357302</v>
      </c>
      <c r="AM80" s="224">
        <v>0.02</v>
      </c>
      <c r="AN80" s="224">
        <v>1.4E-2</v>
      </c>
      <c r="AO80" s="232">
        <v>0</v>
      </c>
      <c r="AP80" s="232">
        <v>11</v>
      </c>
      <c r="AQ80" s="223"/>
      <c r="AR80" s="236">
        <v>29.2</v>
      </c>
      <c r="AS80" s="222">
        <v>10.9057744237029</v>
      </c>
      <c r="AT80" s="237" t="s">
        <v>55</v>
      </c>
      <c r="AU80" s="229">
        <v>0.681610901481432</v>
      </c>
      <c r="AV80" s="230">
        <v>-17.580941928448102</v>
      </c>
      <c r="AW80" s="224"/>
      <c r="AX80" s="224"/>
      <c r="AY80" s="232">
        <v>14</v>
      </c>
      <c r="AZ80" s="232">
        <v>23</v>
      </c>
      <c r="BA80" s="223"/>
      <c r="BB80" s="240">
        <v>132.6</v>
      </c>
      <c r="BC80" s="236">
        <v>49.524167417226302</v>
      </c>
      <c r="BD80" s="237" t="s">
        <v>56</v>
      </c>
      <c r="BE80" s="234">
        <v>1.5476302317883199</v>
      </c>
      <c r="BF80" s="235">
        <v>39.038116143103899</v>
      </c>
      <c r="BG80" s="224">
        <v>0.02</v>
      </c>
      <c r="BH80" s="224">
        <v>0.02</v>
      </c>
      <c r="BI80" s="232">
        <v>0</v>
      </c>
      <c r="BJ80" s="232">
        <v>0</v>
      </c>
      <c r="BK80" s="225"/>
      <c r="BL80" s="241">
        <v>0.8</v>
      </c>
      <c r="BM80" s="229">
        <v>0.68</v>
      </c>
      <c r="BN80" s="242"/>
      <c r="BO80" s="243">
        <v>0.95</v>
      </c>
      <c r="BP80" s="234">
        <v>1</v>
      </c>
      <c r="BQ80" s="242">
        <v>2.5000000000000001E-3</v>
      </c>
    </row>
    <row r="81" spans="1:69" s="211" customFormat="1" ht="22.35" customHeight="1" x14ac:dyDescent="0.2">
      <c r="A81" s="221" t="s">
        <v>81</v>
      </c>
      <c r="B81" s="221" t="s">
        <v>119</v>
      </c>
      <c r="C81" s="221" t="s">
        <v>136</v>
      </c>
      <c r="D81" s="222">
        <v>5.56134457377778</v>
      </c>
      <c r="E81" s="223"/>
      <c r="F81" s="224">
        <v>0.03</v>
      </c>
      <c r="G81" s="224">
        <v>0.03</v>
      </c>
      <c r="H81" s="225"/>
      <c r="I81" s="226">
        <v>3</v>
      </c>
      <c r="J81" s="226">
        <v>3</v>
      </c>
      <c r="K81" s="223"/>
      <c r="L81" s="227">
        <v>3887.80377</v>
      </c>
      <c r="M81" s="227">
        <v>322.66260999999997</v>
      </c>
      <c r="N81" s="227">
        <v>4210.4663799999998</v>
      </c>
      <c r="O81" s="222">
        <v>757.09503774549705</v>
      </c>
      <c r="P81" s="228">
        <v>255.63</v>
      </c>
      <c r="Q81" s="234">
        <v>2.9616830487247099</v>
      </c>
      <c r="R81" s="235">
        <v>2658.0283873728599</v>
      </c>
      <c r="S81" s="224">
        <v>0.01</v>
      </c>
      <c r="T81" s="224">
        <v>0.01</v>
      </c>
      <c r="U81" s="231">
        <v>0</v>
      </c>
      <c r="V81" s="232">
        <v>0</v>
      </c>
      <c r="W81" s="223"/>
      <c r="X81" s="231">
        <v>2339.0344650000002</v>
      </c>
      <c r="Y81" s="222">
        <v>420.58794127390502</v>
      </c>
      <c r="Z81" s="233">
        <v>573</v>
      </c>
      <c r="AA81" s="244">
        <v>0.73401036871536696</v>
      </c>
      <c r="AB81" s="227">
        <v>-1140.78781632594</v>
      </c>
      <c r="AC81" s="224"/>
      <c r="AD81" s="224"/>
      <c r="AE81" s="232">
        <v>848</v>
      </c>
      <c r="AF81" s="232">
        <v>1485</v>
      </c>
      <c r="AG81" s="223"/>
      <c r="AH81" s="236">
        <v>252.5</v>
      </c>
      <c r="AI81" s="222">
        <v>45.402689340732302</v>
      </c>
      <c r="AJ81" s="237" t="s">
        <v>54</v>
      </c>
      <c r="AK81" s="229">
        <v>0.72067760858305296</v>
      </c>
      <c r="AL81" s="230">
        <v>-130.09826129761601</v>
      </c>
      <c r="AM81" s="224"/>
      <c r="AN81" s="224"/>
      <c r="AO81" s="232">
        <v>98</v>
      </c>
      <c r="AP81" s="232">
        <v>168</v>
      </c>
      <c r="AQ81" s="223"/>
      <c r="AR81" s="236">
        <v>42.8</v>
      </c>
      <c r="AS81" s="222">
        <v>7.6959806090429499</v>
      </c>
      <c r="AT81" s="237" t="s">
        <v>55</v>
      </c>
      <c r="AU81" s="229">
        <v>0.48099878806518398</v>
      </c>
      <c r="AV81" s="230">
        <v>-54.367812393045398</v>
      </c>
      <c r="AW81" s="224"/>
      <c r="AX81" s="224"/>
      <c r="AY81" s="232">
        <v>47</v>
      </c>
      <c r="AZ81" s="232">
        <v>64</v>
      </c>
      <c r="BA81" s="223"/>
      <c r="BB81" s="240">
        <v>215.2</v>
      </c>
      <c r="BC81" s="236">
        <v>38.695678202477602</v>
      </c>
      <c r="BD81" s="237" t="s">
        <v>56</v>
      </c>
      <c r="BE81" s="234">
        <v>1.2092399438274299</v>
      </c>
      <c r="BF81" s="235">
        <v>20.864375213909302</v>
      </c>
      <c r="BG81" s="224">
        <v>0.02</v>
      </c>
      <c r="BH81" s="224">
        <v>0.02</v>
      </c>
      <c r="BI81" s="232">
        <v>0</v>
      </c>
      <c r="BJ81" s="232">
        <v>0</v>
      </c>
      <c r="BK81" s="225"/>
      <c r="BL81" s="241">
        <v>0.8</v>
      </c>
      <c r="BM81" s="229">
        <v>0.62</v>
      </c>
      <c r="BN81" s="242"/>
      <c r="BO81" s="243">
        <v>0.95</v>
      </c>
      <c r="BP81" s="234">
        <v>1</v>
      </c>
      <c r="BQ81" s="242">
        <v>2.5000000000000001E-3</v>
      </c>
    </row>
    <row r="82" spans="1:69" s="211" customFormat="1" ht="22.35" customHeight="1" x14ac:dyDescent="0.2">
      <c r="A82" s="221" t="s">
        <v>81</v>
      </c>
      <c r="B82" s="221" t="s">
        <v>119</v>
      </c>
      <c r="C82" s="221" t="s">
        <v>137</v>
      </c>
      <c r="D82" s="222">
        <v>4.6816910714444404</v>
      </c>
      <c r="E82" s="223"/>
      <c r="F82" s="224">
        <v>0.03</v>
      </c>
      <c r="G82" s="224">
        <v>0.03</v>
      </c>
      <c r="H82" s="225"/>
      <c r="I82" s="226">
        <v>3</v>
      </c>
      <c r="J82" s="226">
        <v>3</v>
      </c>
      <c r="K82" s="223"/>
      <c r="L82" s="227">
        <v>5057.3916200000003</v>
      </c>
      <c r="M82" s="227">
        <v>1754.2878599999999</v>
      </c>
      <c r="N82" s="227">
        <v>6811.6794799999998</v>
      </c>
      <c r="O82" s="222">
        <v>1454.96133257216</v>
      </c>
      <c r="P82" s="228">
        <v>287.5</v>
      </c>
      <c r="Q82" s="234">
        <v>5.0607350698162099</v>
      </c>
      <c r="R82" s="235">
        <v>5341.8625681200201</v>
      </c>
      <c r="S82" s="224">
        <v>0.01</v>
      </c>
      <c r="T82" s="224">
        <v>0.01</v>
      </c>
      <c r="U82" s="231">
        <v>0</v>
      </c>
      <c r="V82" s="232">
        <v>0</v>
      </c>
      <c r="W82" s="223"/>
      <c r="X82" s="231">
        <v>2291.71956</v>
      </c>
      <c r="Y82" s="222">
        <v>489.50678825823002</v>
      </c>
      <c r="Z82" s="233">
        <v>573</v>
      </c>
      <c r="AA82" s="244">
        <v>0.85428758858329801</v>
      </c>
      <c r="AB82" s="227">
        <v>-637.68945045992905</v>
      </c>
      <c r="AC82" s="224"/>
      <c r="AD82" s="224"/>
      <c r="AE82" s="232">
        <v>391</v>
      </c>
      <c r="AF82" s="232">
        <v>928</v>
      </c>
      <c r="AG82" s="223"/>
      <c r="AH82" s="236">
        <v>184.2</v>
      </c>
      <c r="AI82" s="222">
        <v>39.3447575222362</v>
      </c>
      <c r="AJ82" s="237" t="s">
        <v>54</v>
      </c>
      <c r="AK82" s="229">
        <v>0.62451996067041604</v>
      </c>
      <c r="AL82" s="230">
        <v>-137.88161895109201</v>
      </c>
      <c r="AM82" s="224"/>
      <c r="AN82" s="224"/>
      <c r="AO82" s="232">
        <v>111</v>
      </c>
      <c r="AP82" s="232">
        <v>170</v>
      </c>
      <c r="AQ82" s="223"/>
      <c r="AR82" s="236">
        <v>57</v>
      </c>
      <c r="AS82" s="222">
        <v>12.1750878326138</v>
      </c>
      <c r="AT82" s="237" t="s">
        <v>55</v>
      </c>
      <c r="AU82" s="244">
        <v>0.76094298953836303</v>
      </c>
      <c r="AV82" s="227">
        <v>-24.798506400277201</v>
      </c>
      <c r="AW82" s="224"/>
      <c r="AX82" s="224"/>
      <c r="AY82" s="232">
        <v>18</v>
      </c>
      <c r="AZ82" s="232">
        <v>33</v>
      </c>
      <c r="BA82" s="223"/>
      <c r="BB82" s="240">
        <v>206.2</v>
      </c>
      <c r="BC82" s="236">
        <v>44.043914229560897</v>
      </c>
      <c r="BD82" s="237" t="s">
        <v>56</v>
      </c>
      <c r="BE82" s="234">
        <v>1.37637231967378</v>
      </c>
      <c r="BF82" s="235">
        <v>42.602987199445501</v>
      </c>
      <c r="BG82" s="224">
        <v>0.02</v>
      </c>
      <c r="BH82" s="224">
        <v>0.02</v>
      </c>
      <c r="BI82" s="232">
        <v>0</v>
      </c>
      <c r="BJ82" s="232">
        <v>0</v>
      </c>
      <c r="BK82" s="225"/>
      <c r="BL82" s="241">
        <v>0.8</v>
      </c>
      <c r="BM82" s="229">
        <v>0.65</v>
      </c>
      <c r="BN82" s="242"/>
      <c r="BO82" s="243">
        <v>0.95</v>
      </c>
      <c r="BP82" s="234">
        <v>1</v>
      </c>
      <c r="BQ82" s="242">
        <v>2.5000000000000001E-3</v>
      </c>
    </row>
    <row r="83" spans="1:69" s="211" customFormat="1" ht="22.35" customHeight="1" x14ac:dyDescent="0.2">
      <c r="A83" s="221" t="s">
        <v>81</v>
      </c>
      <c r="B83" s="221" t="s">
        <v>119</v>
      </c>
      <c r="C83" s="221" t="s">
        <v>138</v>
      </c>
      <c r="D83" s="222">
        <v>2.8572871573333298</v>
      </c>
      <c r="E83" s="223"/>
      <c r="F83" s="224">
        <v>0.03</v>
      </c>
      <c r="G83" s="224">
        <v>0.03</v>
      </c>
      <c r="H83" s="225"/>
      <c r="I83" s="226">
        <v>3</v>
      </c>
      <c r="J83" s="226">
        <v>3</v>
      </c>
      <c r="K83" s="223"/>
      <c r="L83" s="227">
        <v>572.47702000000004</v>
      </c>
      <c r="M83" s="227">
        <v>707.64792999999997</v>
      </c>
      <c r="N83" s="227">
        <v>1280.1249499999999</v>
      </c>
      <c r="O83" s="222">
        <v>448.02110516421601</v>
      </c>
      <c r="P83" s="228">
        <v>255.63</v>
      </c>
      <c r="Q83" s="234">
        <v>1.7526155191652599</v>
      </c>
      <c r="R83" s="235">
        <v>482.51906889620199</v>
      </c>
      <c r="S83" s="224">
        <v>0.01</v>
      </c>
      <c r="T83" s="224">
        <v>0.01</v>
      </c>
      <c r="U83" s="231">
        <v>0</v>
      </c>
      <c r="V83" s="232">
        <v>0</v>
      </c>
      <c r="W83" s="223"/>
      <c r="X83" s="231">
        <v>598.53377999999998</v>
      </c>
      <c r="Y83" s="222">
        <v>209.47624338836201</v>
      </c>
      <c r="Z83" s="233">
        <v>573</v>
      </c>
      <c r="AA83" s="229">
        <v>0.36557808619260501</v>
      </c>
      <c r="AB83" s="230">
        <v>-1189.31651093798</v>
      </c>
      <c r="AC83" s="224"/>
      <c r="AD83" s="224"/>
      <c r="AE83" s="232">
        <v>1039</v>
      </c>
      <c r="AF83" s="232">
        <v>1367</v>
      </c>
      <c r="AG83" s="223"/>
      <c r="AH83" s="236">
        <v>141.1</v>
      </c>
      <c r="AI83" s="222">
        <v>49.382505933245703</v>
      </c>
      <c r="AJ83" s="237" t="s">
        <v>54</v>
      </c>
      <c r="AK83" s="244">
        <v>0.78384930052770896</v>
      </c>
      <c r="AL83" s="227">
        <v>-55.4699272759038</v>
      </c>
      <c r="AM83" s="224"/>
      <c r="AN83" s="224"/>
      <c r="AO83" s="232">
        <v>39</v>
      </c>
      <c r="AP83" s="232">
        <v>75</v>
      </c>
      <c r="AQ83" s="223"/>
      <c r="AR83" s="236">
        <v>15.6</v>
      </c>
      <c r="AS83" s="222">
        <v>5.4597242562624597</v>
      </c>
      <c r="AT83" s="237" t="s">
        <v>55</v>
      </c>
      <c r="AU83" s="229">
        <v>0.34123276601640401</v>
      </c>
      <c r="AV83" s="230">
        <v>-34.322521212927903</v>
      </c>
      <c r="AW83" s="224"/>
      <c r="AX83" s="224"/>
      <c r="AY83" s="232">
        <v>31</v>
      </c>
      <c r="AZ83" s="232">
        <v>40</v>
      </c>
      <c r="BA83" s="223"/>
      <c r="BB83" s="240">
        <v>118.4</v>
      </c>
      <c r="BC83" s="236">
        <v>41.437907175735603</v>
      </c>
      <c r="BD83" s="237" t="s">
        <v>56</v>
      </c>
      <c r="BE83" s="234">
        <v>1.29493459924174</v>
      </c>
      <c r="BF83" s="235">
        <v>18.554957574144101</v>
      </c>
      <c r="BG83" s="224">
        <v>0.02</v>
      </c>
      <c r="BH83" s="224">
        <v>0.02</v>
      </c>
      <c r="BI83" s="232">
        <v>0</v>
      </c>
      <c r="BJ83" s="232">
        <v>0</v>
      </c>
      <c r="BK83" s="225"/>
      <c r="BL83" s="241">
        <v>0.8</v>
      </c>
      <c r="BM83" s="229">
        <v>0.66</v>
      </c>
      <c r="BN83" s="242"/>
      <c r="BO83" s="243">
        <v>0.95</v>
      </c>
      <c r="BP83" s="234">
        <v>1</v>
      </c>
      <c r="BQ83" s="242">
        <v>2.5000000000000001E-3</v>
      </c>
    </row>
    <row r="84" spans="1:69" s="211" customFormat="1" ht="22.35" customHeight="1" x14ac:dyDescent="0.2">
      <c r="A84" s="221" t="s">
        <v>81</v>
      </c>
      <c r="B84" s="221" t="s">
        <v>119</v>
      </c>
      <c r="C84" s="221" t="s">
        <v>139</v>
      </c>
      <c r="D84" s="222">
        <v>3.2583336913333301</v>
      </c>
      <c r="E84" s="223"/>
      <c r="F84" s="224">
        <v>0.01</v>
      </c>
      <c r="G84" s="224">
        <v>0.01</v>
      </c>
      <c r="H84" s="225"/>
      <c r="I84" s="226">
        <v>1</v>
      </c>
      <c r="J84" s="226">
        <v>1</v>
      </c>
      <c r="K84" s="223"/>
      <c r="L84" s="227">
        <v>3569.1160399999999</v>
      </c>
      <c r="M84" s="227">
        <v>1180.90858</v>
      </c>
      <c r="N84" s="227">
        <v>4750.0246200000001</v>
      </c>
      <c r="O84" s="222">
        <v>1457.80790734673</v>
      </c>
      <c r="P84" s="228">
        <v>287.5</v>
      </c>
      <c r="Q84" s="234">
        <v>5.0706361994668896</v>
      </c>
      <c r="R84" s="235">
        <v>3727.0707576058999</v>
      </c>
      <c r="S84" s="224">
        <v>0.01</v>
      </c>
      <c r="T84" s="224">
        <v>0.01</v>
      </c>
      <c r="U84" s="231">
        <v>0</v>
      </c>
      <c r="V84" s="232">
        <v>0</v>
      </c>
      <c r="W84" s="223"/>
      <c r="X84" s="231">
        <v>1255.3790899999999</v>
      </c>
      <c r="Y84" s="222">
        <v>385.28254283442902</v>
      </c>
      <c r="Z84" s="233">
        <v>573</v>
      </c>
      <c r="AA84" s="229">
        <v>0.67239536271279099</v>
      </c>
      <c r="AB84" s="230">
        <v>-783.41243400632595</v>
      </c>
      <c r="AC84" s="224"/>
      <c r="AD84" s="224"/>
      <c r="AE84" s="232">
        <v>612</v>
      </c>
      <c r="AF84" s="232">
        <v>986</v>
      </c>
      <c r="AG84" s="223"/>
      <c r="AH84" s="236">
        <v>62.05</v>
      </c>
      <c r="AI84" s="222">
        <v>19.0434761685224</v>
      </c>
      <c r="AJ84" s="237" t="s">
        <v>54</v>
      </c>
      <c r="AK84" s="229">
        <v>0.30227739950035598</v>
      </c>
      <c r="AL84" s="230">
        <v>-162.11032462896799</v>
      </c>
      <c r="AM84" s="224"/>
      <c r="AN84" s="224"/>
      <c r="AO84" s="232">
        <v>144</v>
      </c>
      <c r="AP84" s="232">
        <v>185</v>
      </c>
      <c r="AQ84" s="223"/>
      <c r="AR84" s="236">
        <v>14.6</v>
      </c>
      <c r="AS84" s="222">
        <v>4.4808179220052704</v>
      </c>
      <c r="AT84" s="237" t="s">
        <v>55</v>
      </c>
      <c r="AU84" s="229">
        <v>0.28005112012532901</v>
      </c>
      <c r="AV84" s="230">
        <v>-42.3296062549759</v>
      </c>
      <c r="AW84" s="224"/>
      <c r="AX84" s="224"/>
      <c r="AY84" s="232">
        <v>38</v>
      </c>
      <c r="AZ84" s="232">
        <v>48</v>
      </c>
      <c r="BA84" s="223"/>
      <c r="BB84" s="240">
        <v>79.2</v>
      </c>
      <c r="BC84" s="236">
        <v>24.306902700193</v>
      </c>
      <c r="BD84" s="237" t="s">
        <v>56</v>
      </c>
      <c r="BE84" s="244">
        <v>0.75959070938103102</v>
      </c>
      <c r="BF84" s="227">
        <v>-34.6592125099519</v>
      </c>
      <c r="BG84" s="224"/>
      <c r="BH84" s="224"/>
      <c r="BI84" s="232">
        <v>26</v>
      </c>
      <c r="BJ84" s="232">
        <v>46</v>
      </c>
      <c r="BK84" s="225"/>
      <c r="BL84" s="241">
        <v>0.8</v>
      </c>
      <c r="BM84" s="229">
        <v>0.64</v>
      </c>
      <c r="BN84" s="242"/>
      <c r="BO84" s="243">
        <v>0.95</v>
      </c>
      <c r="BP84" s="229">
        <v>0.79</v>
      </c>
      <c r="BQ84" s="242"/>
    </row>
    <row r="85" spans="1:69" s="211" customFormat="1" ht="22.35" customHeight="1" x14ac:dyDescent="0.2">
      <c r="A85" s="221" t="s">
        <v>140</v>
      </c>
      <c r="B85" s="221" t="s">
        <v>141</v>
      </c>
      <c r="C85" s="221" t="s">
        <v>142</v>
      </c>
      <c r="D85" s="222">
        <v>3.7189131554444401</v>
      </c>
      <c r="E85" s="223"/>
      <c r="F85" s="224">
        <v>2.3E-2</v>
      </c>
      <c r="G85" s="224">
        <v>1.2E-2</v>
      </c>
      <c r="H85" s="225"/>
      <c r="I85" s="226">
        <v>3</v>
      </c>
      <c r="J85" s="226">
        <v>3</v>
      </c>
      <c r="K85" s="223"/>
      <c r="L85" s="227">
        <v>10981.78997</v>
      </c>
      <c r="M85" s="227">
        <v>2581.7432699999999</v>
      </c>
      <c r="N85" s="227">
        <v>13563.533240000001</v>
      </c>
      <c r="O85" s="222">
        <v>3647.1766543252402</v>
      </c>
      <c r="P85" s="228">
        <v>287.5</v>
      </c>
      <c r="Q85" s="234">
        <v>12.6858318411313</v>
      </c>
      <c r="R85" s="235">
        <v>12395.980454848201</v>
      </c>
      <c r="S85" s="224">
        <v>0.01</v>
      </c>
      <c r="T85" s="224">
        <v>0.01</v>
      </c>
      <c r="U85" s="231">
        <v>0</v>
      </c>
      <c r="V85" s="232">
        <v>0</v>
      </c>
      <c r="W85" s="223"/>
      <c r="X85" s="231">
        <v>2181.989615</v>
      </c>
      <c r="Y85" s="222">
        <v>586.72776797855397</v>
      </c>
      <c r="Z85" s="233">
        <v>573</v>
      </c>
      <c r="AA85" s="238">
        <v>1.0239577102592601</v>
      </c>
      <c r="AB85" s="239">
        <v>-144.99384897207301</v>
      </c>
      <c r="AC85" s="224">
        <v>1.2999999999999999E-2</v>
      </c>
      <c r="AD85" s="224">
        <v>2E-3</v>
      </c>
      <c r="AE85" s="232">
        <v>0</v>
      </c>
      <c r="AF85" s="232">
        <v>376</v>
      </c>
      <c r="AG85" s="223"/>
      <c r="AH85" s="236">
        <v>157.9</v>
      </c>
      <c r="AI85" s="222">
        <v>42.458641382586798</v>
      </c>
      <c r="AJ85" s="237" t="s">
        <v>54</v>
      </c>
      <c r="AK85" s="229">
        <v>0.67394668861248896</v>
      </c>
      <c r="AL85" s="230">
        <v>-97.946349441955704</v>
      </c>
      <c r="AM85" s="224"/>
      <c r="AN85" s="224"/>
      <c r="AO85" s="232">
        <v>77</v>
      </c>
      <c r="AP85" s="232">
        <v>124</v>
      </c>
      <c r="AQ85" s="223"/>
      <c r="AR85" s="236">
        <v>19.2</v>
      </c>
      <c r="AS85" s="222">
        <v>5.1627986988326002</v>
      </c>
      <c r="AT85" s="237" t="s">
        <v>55</v>
      </c>
      <c r="AU85" s="229">
        <v>0.32267491867703701</v>
      </c>
      <c r="AV85" s="230">
        <v>-45.776850651925301</v>
      </c>
      <c r="AW85" s="224"/>
      <c r="AX85" s="224"/>
      <c r="AY85" s="232">
        <v>41</v>
      </c>
      <c r="AZ85" s="232">
        <v>53</v>
      </c>
      <c r="BA85" s="223"/>
      <c r="BB85" s="240">
        <v>104.4</v>
      </c>
      <c r="BC85" s="236">
        <v>28.0727179249022</v>
      </c>
      <c r="BD85" s="237" t="s">
        <v>56</v>
      </c>
      <c r="BE85" s="244">
        <v>0.87727243515319497</v>
      </c>
      <c r="BF85" s="227">
        <v>-25.553701303850499</v>
      </c>
      <c r="BG85" s="224"/>
      <c r="BH85" s="224"/>
      <c r="BI85" s="232">
        <v>15</v>
      </c>
      <c r="BJ85" s="232">
        <v>39</v>
      </c>
      <c r="BK85" s="225"/>
      <c r="BL85" s="241">
        <v>0.8</v>
      </c>
      <c r="BM85" s="244">
        <v>0.73</v>
      </c>
      <c r="BN85" s="242"/>
      <c r="BO85" s="243">
        <v>0.95</v>
      </c>
      <c r="BP85" s="234">
        <v>1</v>
      </c>
      <c r="BQ85" s="242">
        <v>2.5000000000000001E-3</v>
      </c>
    </row>
    <row r="86" spans="1:69" s="211" customFormat="1" ht="22.35" customHeight="1" x14ac:dyDescent="0.2">
      <c r="A86" s="221" t="s">
        <v>140</v>
      </c>
      <c r="B86" s="221" t="s">
        <v>141</v>
      </c>
      <c r="C86" s="221" t="s">
        <v>143</v>
      </c>
      <c r="D86" s="222">
        <v>8.0608712013333292</v>
      </c>
      <c r="E86" s="223"/>
      <c r="F86" s="224">
        <v>0.03</v>
      </c>
      <c r="G86" s="224">
        <v>0.02</v>
      </c>
      <c r="H86" s="225"/>
      <c r="I86" s="226">
        <v>3</v>
      </c>
      <c r="J86" s="226">
        <v>3</v>
      </c>
      <c r="K86" s="223"/>
      <c r="L86" s="227">
        <v>3791.7838099999999</v>
      </c>
      <c r="M86" s="227">
        <v>4305.2135900000003</v>
      </c>
      <c r="N86" s="227">
        <v>8096.9974000000002</v>
      </c>
      <c r="O86" s="222">
        <v>1004.4816742216</v>
      </c>
      <c r="P86" s="228">
        <v>287.5</v>
      </c>
      <c r="Q86" s="234">
        <v>3.49384930164035</v>
      </c>
      <c r="R86" s="235">
        <v>5566.2868863413996</v>
      </c>
      <c r="S86" s="224">
        <v>0.01</v>
      </c>
      <c r="T86" s="224">
        <v>0.01</v>
      </c>
      <c r="U86" s="231">
        <v>0</v>
      </c>
      <c r="V86" s="232">
        <v>0</v>
      </c>
      <c r="W86" s="223"/>
      <c r="X86" s="231">
        <v>2678.2145599999999</v>
      </c>
      <c r="Y86" s="222">
        <v>332.24877226136601</v>
      </c>
      <c r="Z86" s="233">
        <v>573</v>
      </c>
      <c r="AA86" s="229">
        <v>0.57984078928685101</v>
      </c>
      <c r="AB86" s="230">
        <v>-2365.6015246134898</v>
      </c>
      <c r="AC86" s="224"/>
      <c r="AD86" s="224"/>
      <c r="AE86" s="232">
        <v>1941</v>
      </c>
      <c r="AF86" s="232">
        <v>2865</v>
      </c>
      <c r="AG86" s="223"/>
      <c r="AH86" s="236">
        <v>290.39999999999998</v>
      </c>
      <c r="AI86" s="222">
        <v>36.025882655458602</v>
      </c>
      <c r="AJ86" s="237" t="s">
        <v>54</v>
      </c>
      <c r="AK86" s="229">
        <v>0.571839407229501</v>
      </c>
      <c r="AL86" s="230">
        <v>-264.15569516692801</v>
      </c>
      <c r="AM86" s="224"/>
      <c r="AN86" s="224"/>
      <c r="AO86" s="232">
        <v>218</v>
      </c>
      <c r="AP86" s="232">
        <v>320</v>
      </c>
      <c r="AQ86" s="223"/>
      <c r="AR86" s="236">
        <v>51.6</v>
      </c>
      <c r="AS86" s="222">
        <v>6.4012931991104098</v>
      </c>
      <c r="AT86" s="237" t="s">
        <v>55</v>
      </c>
      <c r="AU86" s="229">
        <v>0.400080824944401</v>
      </c>
      <c r="AV86" s="230">
        <v>-89.239541629695907</v>
      </c>
      <c r="AW86" s="224"/>
      <c r="AX86" s="224"/>
      <c r="AY86" s="232">
        <v>78</v>
      </c>
      <c r="AZ86" s="232">
        <v>104</v>
      </c>
      <c r="BA86" s="223"/>
      <c r="BB86" s="240">
        <v>283.39999999999998</v>
      </c>
      <c r="BC86" s="236">
        <v>35.157490167207101</v>
      </c>
      <c r="BD86" s="237" t="s">
        <v>56</v>
      </c>
      <c r="BE86" s="234">
        <v>1.0986715677252199</v>
      </c>
      <c r="BF86" s="235">
        <v>1.72091674060817</v>
      </c>
      <c r="BG86" s="224">
        <v>0.02</v>
      </c>
      <c r="BH86" s="224">
        <v>0.01</v>
      </c>
      <c r="BI86" s="232">
        <v>0</v>
      </c>
      <c r="BJ86" s="232">
        <v>27</v>
      </c>
      <c r="BK86" s="225"/>
      <c r="BL86" s="241">
        <v>0.8</v>
      </c>
      <c r="BM86" s="229">
        <v>0.6</v>
      </c>
      <c r="BN86" s="242"/>
      <c r="BO86" s="243">
        <v>0.95</v>
      </c>
      <c r="BP86" s="234">
        <v>1</v>
      </c>
      <c r="BQ86" s="242">
        <v>2.5000000000000001E-3</v>
      </c>
    </row>
    <row r="87" spans="1:69" s="211" customFormat="1" ht="22.35" customHeight="1" x14ac:dyDescent="0.2">
      <c r="A87" s="221" t="s">
        <v>140</v>
      </c>
      <c r="B87" s="221" t="s">
        <v>141</v>
      </c>
      <c r="C87" s="221" t="s">
        <v>144</v>
      </c>
      <c r="D87" s="222">
        <v>6.5973797197777797</v>
      </c>
      <c r="E87" s="223"/>
      <c r="F87" s="224">
        <v>0.03</v>
      </c>
      <c r="G87" s="224">
        <v>2.5999999999999999E-2</v>
      </c>
      <c r="H87" s="225"/>
      <c r="I87" s="226">
        <v>3</v>
      </c>
      <c r="J87" s="226">
        <v>3</v>
      </c>
      <c r="K87" s="223"/>
      <c r="L87" s="227">
        <v>12123.340889999999</v>
      </c>
      <c r="M87" s="227">
        <v>1975.3149699999999</v>
      </c>
      <c r="N87" s="227">
        <v>14098.655860000001</v>
      </c>
      <c r="O87" s="222">
        <v>2137.0083970966102</v>
      </c>
      <c r="P87" s="228">
        <v>271.31</v>
      </c>
      <c r="Q87" s="234">
        <v>7.8766296748981199</v>
      </c>
      <c r="R87" s="235">
        <v>12144.046739784</v>
      </c>
      <c r="S87" s="224">
        <v>0.01</v>
      </c>
      <c r="T87" s="224">
        <v>0.01</v>
      </c>
      <c r="U87" s="231">
        <v>0</v>
      </c>
      <c r="V87" s="232">
        <v>0</v>
      </c>
      <c r="W87" s="223"/>
      <c r="X87" s="231">
        <v>2980.2935299999999</v>
      </c>
      <c r="Y87" s="222">
        <v>451.73897162014299</v>
      </c>
      <c r="Z87" s="233">
        <v>573</v>
      </c>
      <c r="AA87" s="244">
        <v>0.788375168621541</v>
      </c>
      <c r="AB87" s="227">
        <v>-1147.7925187404701</v>
      </c>
      <c r="AC87" s="224"/>
      <c r="AD87" s="224"/>
      <c r="AE87" s="232">
        <v>801</v>
      </c>
      <c r="AF87" s="232">
        <v>1557</v>
      </c>
      <c r="AG87" s="223"/>
      <c r="AH87" s="236">
        <v>301.3</v>
      </c>
      <c r="AI87" s="222">
        <v>45.6696465563072</v>
      </c>
      <c r="AJ87" s="237" t="s">
        <v>54</v>
      </c>
      <c r="AK87" s="244">
        <v>0.72491502470328795</v>
      </c>
      <c r="AL87" s="227">
        <v>-152.57333520183201</v>
      </c>
      <c r="AM87" s="224"/>
      <c r="AN87" s="224"/>
      <c r="AO87" s="232">
        <v>115</v>
      </c>
      <c r="AP87" s="232">
        <v>198</v>
      </c>
      <c r="AQ87" s="223"/>
      <c r="AR87" s="236">
        <v>49.4</v>
      </c>
      <c r="AS87" s="222">
        <v>7.4878212408947</v>
      </c>
      <c r="AT87" s="237" t="s">
        <v>55</v>
      </c>
      <c r="AU87" s="229">
        <v>0.46798882755591897</v>
      </c>
      <c r="AV87" s="230">
        <v>-65.869418463957402</v>
      </c>
      <c r="AW87" s="224"/>
      <c r="AX87" s="224"/>
      <c r="AY87" s="232">
        <v>57</v>
      </c>
      <c r="AZ87" s="232">
        <v>78</v>
      </c>
      <c r="BA87" s="223"/>
      <c r="BB87" s="240">
        <v>244.4</v>
      </c>
      <c r="BC87" s="236">
        <v>37.045010349689598</v>
      </c>
      <c r="BD87" s="237" t="s">
        <v>56</v>
      </c>
      <c r="BE87" s="234">
        <v>1.1576565734277999</v>
      </c>
      <c r="BF87" s="235">
        <v>13.861163072085199</v>
      </c>
      <c r="BG87" s="224">
        <v>0.02</v>
      </c>
      <c r="BH87" s="224">
        <v>1.6E-2</v>
      </c>
      <c r="BI87" s="232">
        <v>0</v>
      </c>
      <c r="BJ87" s="232">
        <v>9</v>
      </c>
      <c r="BK87" s="225"/>
      <c r="BL87" s="241">
        <v>0.8</v>
      </c>
      <c r="BM87" s="244">
        <v>0.74</v>
      </c>
      <c r="BN87" s="242"/>
      <c r="BO87" s="243">
        <v>0.95</v>
      </c>
      <c r="BP87" s="234">
        <v>1</v>
      </c>
      <c r="BQ87" s="242">
        <v>2.5000000000000001E-3</v>
      </c>
    </row>
    <row r="88" spans="1:69" s="211" customFormat="1" ht="22.35" customHeight="1" x14ac:dyDescent="0.2">
      <c r="A88" s="221" t="s">
        <v>140</v>
      </c>
      <c r="B88" s="221" t="s">
        <v>141</v>
      </c>
      <c r="C88" s="221" t="s">
        <v>145</v>
      </c>
      <c r="D88" s="222">
        <v>1.00891054722222</v>
      </c>
      <c r="E88" s="223"/>
      <c r="F88" s="224">
        <v>0.02</v>
      </c>
      <c r="G88" s="224">
        <v>0.02</v>
      </c>
      <c r="H88" s="225"/>
      <c r="I88" s="226">
        <v>2</v>
      </c>
      <c r="J88" s="226">
        <v>2</v>
      </c>
      <c r="K88" s="223"/>
      <c r="L88" s="227">
        <v>-8790.1266300000007</v>
      </c>
      <c r="M88" s="227">
        <v>-1747.70876</v>
      </c>
      <c r="N88" s="227">
        <v>-10537.83539</v>
      </c>
      <c r="O88" s="222">
        <v>-10444.766802184</v>
      </c>
      <c r="P88" s="228">
        <v>287.5</v>
      </c>
      <c r="Q88" s="229">
        <v>-36.329623659770597</v>
      </c>
      <c r="R88" s="230">
        <v>-10854.5828563004</v>
      </c>
      <c r="S88" s="224"/>
      <c r="T88" s="224"/>
      <c r="U88" s="231">
        <v>10828</v>
      </c>
      <c r="V88" s="232">
        <v>10886</v>
      </c>
      <c r="W88" s="223"/>
      <c r="X88" s="231">
        <v>354.96262000000002</v>
      </c>
      <c r="Y88" s="222">
        <v>351.82764317143801</v>
      </c>
      <c r="Z88" s="233">
        <v>573</v>
      </c>
      <c r="AA88" s="229">
        <v>0.61400984846673201</v>
      </c>
      <c r="AB88" s="230">
        <v>-276.32885196569902</v>
      </c>
      <c r="AC88" s="224"/>
      <c r="AD88" s="224"/>
      <c r="AE88" s="232">
        <v>224</v>
      </c>
      <c r="AF88" s="232">
        <v>339</v>
      </c>
      <c r="AG88" s="223"/>
      <c r="AH88" s="236">
        <v>23.6</v>
      </c>
      <c r="AI88" s="222">
        <v>23.3915683258308</v>
      </c>
      <c r="AJ88" s="237" t="s">
        <v>54</v>
      </c>
      <c r="AK88" s="229">
        <v>0.371294735330648</v>
      </c>
      <c r="AL88" s="230">
        <v>-45.8090100066998</v>
      </c>
      <c r="AM88" s="224"/>
      <c r="AN88" s="224"/>
      <c r="AO88" s="232">
        <v>40</v>
      </c>
      <c r="AP88" s="232">
        <v>53</v>
      </c>
      <c r="AQ88" s="223"/>
      <c r="AR88" s="236"/>
      <c r="AS88" s="222" t="s">
        <v>146</v>
      </c>
      <c r="AT88" s="237" t="s">
        <v>55</v>
      </c>
      <c r="AU88" s="229"/>
      <c r="AV88" s="230"/>
      <c r="AW88" s="224"/>
      <c r="AX88" s="224"/>
      <c r="AY88" s="232">
        <v>17</v>
      </c>
      <c r="AZ88" s="232">
        <v>20</v>
      </c>
      <c r="BA88" s="223"/>
      <c r="BB88" s="240">
        <v>60.4</v>
      </c>
      <c r="BC88" s="236">
        <v>59.866556223736602</v>
      </c>
      <c r="BD88" s="237" t="s">
        <v>56</v>
      </c>
      <c r="BE88" s="234">
        <v>1.8708298819917699</v>
      </c>
      <c r="BF88" s="235">
        <v>25.144629837866699</v>
      </c>
      <c r="BG88" s="224">
        <v>0.02</v>
      </c>
      <c r="BH88" s="224">
        <v>0.02</v>
      </c>
      <c r="BI88" s="232">
        <v>0</v>
      </c>
      <c r="BJ88" s="232">
        <v>0</v>
      </c>
      <c r="BK88" s="225"/>
      <c r="BL88" s="241">
        <v>0.8</v>
      </c>
      <c r="BM88" s="229"/>
      <c r="BN88" s="242"/>
      <c r="BO88" s="243">
        <v>0.95</v>
      </c>
      <c r="BP88" s="234">
        <v>1</v>
      </c>
      <c r="BQ88" s="242">
        <v>2.5000000000000001E-3</v>
      </c>
    </row>
    <row r="89" spans="1:69" s="211" customFormat="1" ht="22.35" customHeight="1" x14ac:dyDescent="0.2">
      <c r="A89" s="221" t="s">
        <v>140</v>
      </c>
      <c r="B89" s="221" t="s">
        <v>141</v>
      </c>
      <c r="C89" s="221" t="s">
        <v>147</v>
      </c>
      <c r="D89" s="222">
        <v>1.63022700111111</v>
      </c>
      <c r="E89" s="223"/>
      <c r="F89" s="224"/>
      <c r="G89" s="224"/>
      <c r="H89" s="225"/>
      <c r="I89" s="226">
        <v>2</v>
      </c>
      <c r="J89" s="226">
        <v>2</v>
      </c>
      <c r="K89" s="223"/>
      <c r="L89" s="227">
        <v>-7930.2476800000004</v>
      </c>
      <c r="M89" s="227">
        <v>-1204.0251499999999</v>
      </c>
      <c r="N89" s="227">
        <v>-9134.2728299999999</v>
      </c>
      <c r="O89" s="222">
        <v>-5603.0680535743604</v>
      </c>
      <c r="P89" s="228">
        <v>264.70999999999998</v>
      </c>
      <c r="Q89" s="229">
        <v>-21.166816718576399</v>
      </c>
      <c r="R89" s="230">
        <v>-9605.5116592948198</v>
      </c>
      <c r="S89" s="224"/>
      <c r="T89" s="224"/>
      <c r="U89" s="231">
        <v>9566</v>
      </c>
      <c r="V89" s="232">
        <v>9653</v>
      </c>
      <c r="W89" s="223"/>
      <c r="X89" s="231">
        <v>368.50261</v>
      </c>
      <c r="Y89" s="222">
        <v>226.04374099364099</v>
      </c>
      <c r="Z89" s="233">
        <v>573</v>
      </c>
      <c r="AA89" s="229">
        <v>0.39449169457877997</v>
      </c>
      <c r="AB89" s="230">
        <v>-651.55650822723896</v>
      </c>
      <c r="AC89" s="224"/>
      <c r="AD89" s="224"/>
      <c r="AE89" s="232">
        <v>566</v>
      </c>
      <c r="AF89" s="232">
        <v>753</v>
      </c>
      <c r="AG89" s="223"/>
      <c r="AH89" s="236">
        <v>65.2</v>
      </c>
      <c r="AI89" s="222">
        <v>39.994430196262101</v>
      </c>
      <c r="AJ89" s="237" t="s">
        <v>54</v>
      </c>
      <c r="AK89" s="229">
        <v>0.63483222533749295</v>
      </c>
      <c r="AL89" s="230">
        <v>-46.953096768439899</v>
      </c>
      <c r="AM89" s="224"/>
      <c r="AN89" s="224"/>
      <c r="AO89" s="232">
        <v>38</v>
      </c>
      <c r="AP89" s="232">
        <v>59</v>
      </c>
      <c r="AQ89" s="223"/>
      <c r="AR89" s="236">
        <v>1.8</v>
      </c>
      <c r="AS89" s="222">
        <v>1.1041407109397501</v>
      </c>
      <c r="AT89" s="237" t="s">
        <v>55</v>
      </c>
      <c r="AU89" s="229">
        <v>6.9008794433734394E-2</v>
      </c>
      <c r="AV89" s="230">
        <v>-26.683326163413302</v>
      </c>
      <c r="AW89" s="224"/>
      <c r="AX89" s="224"/>
      <c r="AY89" s="232">
        <v>25</v>
      </c>
      <c r="AZ89" s="232">
        <v>30</v>
      </c>
      <c r="BA89" s="223"/>
      <c r="BB89" s="240">
        <v>26</v>
      </c>
      <c r="BC89" s="236">
        <v>15.9486991580186</v>
      </c>
      <c r="BD89" s="237" t="s">
        <v>56</v>
      </c>
      <c r="BE89" s="229">
        <v>0.49839684868808198</v>
      </c>
      <c r="BF89" s="230">
        <v>-30.966652326826601</v>
      </c>
      <c r="BG89" s="224"/>
      <c r="BH89" s="224"/>
      <c r="BI89" s="232">
        <v>27</v>
      </c>
      <c r="BJ89" s="232">
        <v>37</v>
      </c>
      <c r="BK89" s="225"/>
      <c r="BL89" s="241">
        <v>0.8</v>
      </c>
      <c r="BM89" s="234">
        <v>1</v>
      </c>
      <c r="BN89" s="242">
        <v>7.4999999999999997E-3</v>
      </c>
      <c r="BO89" s="243">
        <v>0.95</v>
      </c>
      <c r="BP89" s="234">
        <v>1</v>
      </c>
      <c r="BQ89" s="242">
        <v>2.5000000000000001E-3</v>
      </c>
    </row>
    <row r="90" spans="1:69" s="211" customFormat="1" ht="22.35" customHeight="1" x14ac:dyDescent="0.2">
      <c r="A90" s="221" t="s">
        <v>140</v>
      </c>
      <c r="B90" s="221" t="s">
        <v>141</v>
      </c>
      <c r="C90" s="221" t="s">
        <v>148</v>
      </c>
      <c r="D90" s="222">
        <v>4.5991464215555604</v>
      </c>
      <c r="E90" s="223"/>
      <c r="F90" s="224">
        <v>0.03</v>
      </c>
      <c r="G90" s="224">
        <v>2.3E-2</v>
      </c>
      <c r="H90" s="225"/>
      <c r="I90" s="226">
        <v>3</v>
      </c>
      <c r="J90" s="226">
        <v>3</v>
      </c>
      <c r="K90" s="223"/>
      <c r="L90" s="227">
        <v>1382.64159</v>
      </c>
      <c r="M90" s="227">
        <v>3797.63123</v>
      </c>
      <c r="N90" s="227">
        <v>5180.2728200000001</v>
      </c>
      <c r="O90" s="222">
        <v>1126.3552723002699</v>
      </c>
      <c r="P90" s="228">
        <v>265.83499999999998</v>
      </c>
      <c r="Q90" s="234">
        <v>4.2370465600852798</v>
      </c>
      <c r="R90" s="235">
        <v>3845.1782348401498</v>
      </c>
      <c r="S90" s="224">
        <v>0.01</v>
      </c>
      <c r="T90" s="224">
        <v>0.01</v>
      </c>
      <c r="U90" s="231">
        <v>0</v>
      </c>
      <c r="V90" s="232">
        <v>0</v>
      </c>
      <c r="W90" s="223"/>
      <c r="X90" s="231">
        <v>2268.5604950000002</v>
      </c>
      <c r="Y90" s="222">
        <v>493.25685400394599</v>
      </c>
      <c r="Z90" s="233">
        <v>573</v>
      </c>
      <c r="AA90" s="244">
        <v>0.86083220594056897</v>
      </c>
      <c r="AB90" s="227">
        <v>-609.19900731005805</v>
      </c>
      <c r="AC90" s="224"/>
      <c r="AD90" s="224"/>
      <c r="AE90" s="232">
        <v>367</v>
      </c>
      <c r="AF90" s="232">
        <v>894</v>
      </c>
      <c r="AG90" s="223"/>
      <c r="AH90" s="236">
        <v>262.39999999999998</v>
      </c>
      <c r="AI90" s="222">
        <v>57.054065243534701</v>
      </c>
      <c r="AJ90" s="237" t="s">
        <v>54</v>
      </c>
      <c r="AK90" s="244">
        <v>0.90562008323070997</v>
      </c>
      <c r="AL90" s="227">
        <v>-54.002877217336298</v>
      </c>
      <c r="AM90" s="224">
        <v>0</v>
      </c>
      <c r="AN90" s="224"/>
      <c r="AO90" s="232">
        <v>28</v>
      </c>
      <c r="AP90" s="232">
        <v>86</v>
      </c>
      <c r="AQ90" s="223"/>
      <c r="AR90" s="236">
        <v>57</v>
      </c>
      <c r="AS90" s="222">
        <v>12.393604111590999</v>
      </c>
      <c r="AT90" s="237" t="s">
        <v>55</v>
      </c>
      <c r="AU90" s="244">
        <v>0.77460025697443702</v>
      </c>
      <c r="AV90" s="227">
        <v>-23.3562862774187</v>
      </c>
      <c r="AW90" s="224"/>
      <c r="AX90" s="224"/>
      <c r="AY90" s="232">
        <v>17</v>
      </c>
      <c r="AZ90" s="232">
        <v>32</v>
      </c>
      <c r="BA90" s="223"/>
      <c r="BB90" s="240">
        <v>166.4</v>
      </c>
      <c r="BC90" s="236">
        <v>36.180626739802499</v>
      </c>
      <c r="BD90" s="237" t="s">
        <v>56</v>
      </c>
      <c r="BE90" s="234">
        <v>1.1306445856188301</v>
      </c>
      <c r="BF90" s="235">
        <v>5.68742744516251</v>
      </c>
      <c r="BG90" s="224">
        <v>0.02</v>
      </c>
      <c r="BH90" s="224">
        <v>1.2999999999999999E-2</v>
      </c>
      <c r="BI90" s="232">
        <v>0</v>
      </c>
      <c r="BJ90" s="232">
        <v>11</v>
      </c>
      <c r="BK90" s="225"/>
      <c r="BL90" s="241">
        <v>0.8</v>
      </c>
      <c r="BM90" s="244">
        <v>0.74</v>
      </c>
      <c r="BN90" s="242"/>
      <c r="BO90" s="243">
        <v>0.95</v>
      </c>
      <c r="BP90" s="234">
        <v>1</v>
      </c>
      <c r="BQ90" s="242">
        <v>2.5000000000000001E-3</v>
      </c>
    </row>
    <row r="91" spans="1:69" s="211" customFormat="1" ht="22.35" customHeight="1" x14ac:dyDescent="0.2">
      <c r="A91" s="221" t="s">
        <v>140</v>
      </c>
      <c r="B91" s="221" t="s">
        <v>141</v>
      </c>
      <c r="C91" s="221" t="s">
        <v>149</v>
      </c>
      <c r="D91" s="222">
        <v>5.8587699798888897</v>
      </c>
      <c r="E91" s="223"/>
      <c r="F91" s="224">
        <v>0.02</v>
      </c>
      <c r="G91" s="224">
        <v>0.02</v>
      </c>
      <c r="H91" s="225"/>
      <c r="I91" s="226">
        <v>2</v>
      </c>
      <c r="J91" s="226">
        <v>2</v>
      </c>
      <c r="K91" s="223"/>
      <c r="L91" s="227">
        <v>-3443.7293399999999</v>
      </c>
      <c r="M91" s="227">
        <v>3151.4463700000001</v>
      </c>
      <c r="N91" s="227">
        <v>-292.28296999999998</v>
      </c>
      <c r="O91" s="222">
        <v>-49.888111498370002</v>
      </c>
      <c r="P91" s="228">
        <v>266.37799999999999</v>
      </c>
      <c r="Q91" s="229">
        <v>-0.187283152131069</v>
      </c>
      <c r="R91" s="230">
        <v>-1996.5099632355</v>
      </c>
      <c r="S91" s="224"/>
      <c r="T91" s="224"/>
      <c r="U91" s="231">
        <v>1853</v>
      </c>
      <c r="V91" s="232">
        <v>2166</v>
      </c>
      <c r="W91" s="223"/>
      <c r="X91" s="231">
        <v>2456.0585649999998</v>
      </c>
      <c r="Y91" s="222">
        <v>419.21061475886398</v>
      </c>
      <c r="Z91" s="233">
        <v>573</v>
      </c>
      <c r="AA91" s="244">
        <v>0.731606657519833</v>
      </c>
      <c r="AB91" s="227">
        <v>-1209.8675517361601</v>
      </c>
      <c r="AC91" s="224"/>
      <c r="AD91" s="224"/>
      <c r="AE91" s="232">
        <v>902</v>
      </c>
      <c r="AF91" s="232">
        <v>1573</v>
      </c>
      <c r="AG91" s="223"/>
      <c r="AH91" s="236">
        <v>291.2</v>
      </c>
      <c r="AI91" s="222">
        <v>49.703265531773397</v>
      </c>
      <c r="AJ91" s="237" t="s">
        <v>54</v>
      </c>
      <c r="AK91" s="244">
        <v>0.78894072272656102</v>
      </c>
      <c r="AL91" s="227">
        <v>-111.859939536436</v>
      </c>
      <c r="AM91" s="224"/>
      <c r="AN91" s="224"/>
      <c r="AO91" s="232">
        <v>78</v>
      </c>
      <c r="AP91" s="232">
        <v>152</v>
      </c>
      <c r="AQ91" s="223"/>
      <c r="AR91" s="236">
        <v>22.4</v>
      </c>
      <c r="AS91" s="222">
        <v>3.8233281178287202</v>
      </c>
      <c r="AT91" s="237" t="s">
        <v>55</v>
      </c>
      <c r="AU91" s="229">
        <v>0.23895800736429501</v>
      </c>
      <c r="AV91" s="230">
        <v>-79.964429088618701</v>
      </c>
      <c r="AW91" s="224"/>
      <c r="AX91" s="224"/>
      <c r="AY91" s="232">
        <v>72</v>
      </c>
      <c r="AZ91" s="232">
        <v>91</v>
      </c>
      <c r="BA91" s="223"/>
      <c r="BB91" s="240">
        <v>226</v>
      </c>
      <c r="BC91" s="236">
        <v>38.574649760236198</v>
      </c>
      <c r="BD91" s="237" t="s">
        <v>56</v>
      </c>
      <c r="BE91" s="234">
        <v>1.2054578050073801</v>
      </c>
      <c r="BF91" s="235">
        <v>21.271141822762601</v>
      </c>
      <c r="BG91" s="224">
        <v>0.02</v>
      </c>
      <c r="BH91" s="224">
        <v>0.02</v>
      </c>
      <c r="BI91" s="232">
        <v>0</v>
      </c>
      <c r="BJ91" s="232">
        <v>0</v>
      </c>
      <c r="BK91" s="225"/>
      <c r="BL91" s="241">
        <v>0.8</v>
      </c>
      <c r="BM91" s="244">
        <v>0.72</v>
      </c>
      <c r="BN91" s="242"/>
      <c r="BO91" s="243">
        <v>0.95</v>
      </c>
      <c r="BP91" s="234">
        <v>1</v>
      </c>
      <c r="BQ91" s="242">
        <v>2.5000000000000001E-3</v>
      </c>
    </row>
    <row r="92" spans="1:69" s="211" customFormat="1" ht="22.35" customHeight="1" x14ac:dyDescent="0.2">
      <c r="A92" s="221" t="s">
        <v>140</v>
      </c>
      <c r="B92" s="221" t="s">
        <v>141</v>
      </c>
      <c r="C92" s="221" t="s">
        <v>150</v>
      </c>
      <c r="D92" s="222">
        <v>3.2458373859999998</v>
      </c>
      <c r="E92" s="223"/>
      <c r="F92" s="224">
        <v>3.9E-2</v>
      </c>
      <c r="G92" s="224">
        <v>0.03</v>
      </c>
      <c r="H92" s="225"/>
      <c r="I92" s="226">
        <v>5</v>
      </c>
      <c r="J92" s="226">
        <v>3</v>
      </c>
      <c r="K92" s="223"/>
      <c r="L92" s="227">
        <v>1648.2810899999999</v>
      </c>
      <c r="M92" s="227">
        <v>2219.8702499999999</v>
      </c>
      <c r="N92" s="227">
        <v>3868.1513399999999</v>
      </c>
      <c r="O92" s="222">
        <v>1191.7267811025199</v>
      </c>
      <c r="P92" s="228">
        <v>247.02500000000001</v>
      </c>
      <c r="Q92" s="234">
        <v>4.8243164906488003</v>
      </c>
      <c r="R92" s="235">
        <v>2992.5824855379001</v>
      </c>
      <c r="S92" s="224">
        <v>0.01</v>
      </c>
      <c r="T92" s="224">
        <v>0.01</v>
      </c>
      <c r="U92" s="231">
        <v>0</v>
      </c>
      <c r="V92" s="232">
        <v>0</v>
      </c>
      <c r="W92" s="223"/>
      <c r="X92" s="231">
        <v>1758.42509</v>
      </c>
      <c r="Y92" s="222">
        <v>541.74774669380201</v>
      </c>
      <c r="Z92" s="233">
        <v>573</v>
      </c>
      <c r="AA92" s="238">
        <v>0.94545854571344101</v>
      </c>
      <c r="AB92" s="239">
        <v>-272.54729581837603</v>
      </c>
      <c r="AC92" s="224">
        <v>4.0000000000000001E-3</v>
      </c>
      <c r="AD92" s="224"/>
      <c r="AE92" s="232">
        <v>102</v>
      </c>
      <c r="AF92" s="232">
        <v>474</v>
      </c>
      <c r="AG92" s="223"/>
      <c r="AH92" s="236">
        <v>195.3</v>
      </c>
      <c r="AI92" s="222">
        <v>60.169372884288997</v>
      </c>
      <c r="AJ92" s="237" t="s">
        <v>54</v>
      </c>
      <c r="AK92" s="238">
        <v>0.95506941086173103</v>
      </c>
      <c r="AL92" s="239">
        <v>-28.000628807256</v>
      </c>
      <c r="AM92" s="224">
        <v>5.0000000000000001E-3</v>
      </c>
      <c r="AN92" s="224"/>
      <c r="AO92" s="232">
        <v>10</v>
      </c>
      <c r="AP92" s="232">
        <v>51</v>
      </c>
      <c r="AQ92" s="223"/>
      <c r="AR92" s="236">
        <v>24.6</v>
      </c>
      <c r="AS92" s="222">
        <v>7.5789379055479298</v>
      </c>
      <c r="AT92" s="237" t="s">
        <v>55</v>
      </c>
      <c r="AU92" s="229">
        <v>0.473683619096746</v>
      </c>
      <c r="AV92" s="230">
        <v>-32.111270808192003</v>
      </c>
      <c r="AW92" s="224"/>
      <c r="AX92" s="224"/>
      <c r="AY92" s="232">
        <v>28</v>
      </c>
      <c r="AZ92" s="232">
        <v>38</v>
      </c>
      <c r="BA92" s="223"/>
      <c r="BB92" s="240">
        <v>133.6</v>
      </c>
      <c r="BC92" s="236">
        <v>41.160410739073299</v>
      </c>
      <c r="BD92" s="237" t="s">
        <v>56</v>
      </c>
      <c r="BE92" s="234">
        <v>1.2862628355960399</v>
      </c>
      <c r="BF92" s="235">
        <v>20.177458383615999</v>
      </c>
      <c r="BG92" s="224">
        <v>0.02</v>
      </c>
      <c r="BH92" s="224">
        <v>0.02</v>
      </c>
      <c r="BI92" s="232">
        <v>0</v>
      </c>
      <c r="BJ92" s="232">
        <v>0</v>
      </c>
      <c r="BK92" s="225"/>
      <c r="BL92" s="241">
        <v>0.8</v>
      </c>
      <c r="BM92" s="244">
        <v>0.72</v>
      </c>
      <c r="BN92" s="242"/>
      <c r="BO92" s="243">
        <v>0.95</v>
      </c>
      <c r="BP92" s="234">
        <v>1</v>
      </c>
      <c r="BQ92" s="242">
        <v>2.5000000000000001E-3</v>
      </c>
    </row>
    <row r="93" spans="1:69" s="211" customFormat="1" ht="22.35" customHeight="1" x14ac:dyDescent="0.2">
      <c r="A93" s="221" t="s">
        <v>140</v>
      </c>
      <c r="B93" s="221" t="s">
        <v>141</v>
      </c>
      <c r="C93" s="221" t="s">
        <v>151</v>
      </c>
      <c r="D93" s="222">
        <v>5.9735728475555598</v>
      </c>
      <c r="E93" s="223"/>
      <c r="F93" s="224">
        <v>0.01</v>
      </c>
      <c r="G93" s="224">
        <v>0.01</v>
      </c>
      <c r="H93" s="225"/>
      <c r="I93" s="226">
        <v>2</v>
      </c>
      <c r="J93" s="226">
        <v>2</v>
      </c>
      <c r="K93" s="223"/>
      <c r="L93" s="227">
        <v>3828.3200099999999</v>
      </c>
      <c r="M93" s="227">
        <v>2968.0697799999998</v>
      </c>
      <c r="N93" s="227">
        <v>6796.3897900000002</v>
      </c>
      <c r="O93" s="222">
        <v>1137.74284895197</v>
      </c>
      <c r="P93" s="228">
        <v>287.5</v>
      </c>
      <c r="Q93" s="234">
        <v>3.9573664311372898</v>
      </c>
      <c r="R93" s="235">
        <v>4920.98659450993</v>
      </c>
      <c r="S93" s="224">
        <v>0.01</v>
      </c>
      <c r="T93" s="224">
        <v>0.01</v>
      </c>
      <c r="U93" s="231">
        <v>0</v>
      </c>
      <c r="V93" s="232">
        <v>0</v>
      </c>
      <c r="W93" s="223"/>
      <c r="X93" s="231">
        <v>2159.1284850000002</v>
      </c>
      <c r="Y93" s="222">
        <v>361.44674888890597</v>
      </c>
      <c r="Z93" s="233">
        <v>573</v>
      </c>
      <c r="AA93" s="229">
        <v>0.63079711847976605</v>
      </c>
      <c r="AB93" s="230">
        <v>-1578.6316228810799</v>
      </c>
      <c r="AC93" s="224"/>
      <c r="AD93" s="224"/>
      <c r="AE93" s="232">
        <v>1264</v>
      </c>
      <c r="AF93" s="232">
        <v>1949</v>
      </c>
      <c r="AG93" s="223"/>
      <c r="AH93" s="236">
        <v>319.60000000000002</v>
      </c>
      <c r="AI93" s="222">
        <v>53.5023189900134</v>
      </c>
      <c r="AJ93" s="237" t="s">
        <v>54</v>
      </c>
      <c r="AK93" s="244">
        <v>0.84924315857164101</v>
      </c>
      <c r="AL93" s="227">
        <v>-91.357917620432303</v>
      </c>
      <c r="AM93" s="224"/>
      <c r="AN93" s="224"/>
      <c r="AO93" s="232">
        <v>57</v>
      </c>
      <c r="AP93" s="232">
        <v>133</v>
      </c>
      <c r="AQ93" s="223"/>
      <c r="AR93" s="236">
        <v>32.4</v>
      </c>
      <c r="AS93" s="222">
        <v>5.4238896598136197</v>
      </c>
      <c r="AT93" s="237" t="s">
        <v>55</v>
      </c>
      <c r="AU93" s="229">
        <v>0.33899310373835101</v>
      </c>
      <c r="AV93" s="230">
        <v>-71.970264792490795</v>
      </c>
      <c r="AW93" s="224"/>
      <c r="AX93" s="224"/>
      <c r="AY93" s="232">
        <v>64</v>
      </c>
      <c r="AZ93" s="232">
        <v>83</v>
      </c>
      <c r="BA93" s="223"/>
      <c r="BB93" s="240">
        <v>142.19999999999999</v>
      </c>
      <c r="BC93" s="236">
        <v>23.804849062515299</v>
      </c>
      <c r="BD93" s="237" t="s">
        <v>56</v>
      </c>
      <c r="BE93" s="244">
        <v>0.74390153320360397</v>
      </c>
      <c r="BF93" s="227">
        <v>-66.540529584981499</v>
      </c>
      <c r="BG93" s="224"/>
      <c r="BH93" s="224"/>
      <c r="BI93" s="232">
        <v>49</v>
      </c>
      <c r="BJ93" s="232">
        <v>88</v>
      </c>
      <c r="BK93" s="225"/>
      <c r="BL93" s="241">
        <v>0.8</v>
      </c>
      <c r="BM93" s="244">
        <v>0.76</v>
      </c>
      <c r="BN93" s="242"/>
      <c r="BO93" s="243">
        <v>0.95</v>
      </c>
      <c r="BP93" s="234">
        <v>1</v>
      </c>
      <c r="BQ93" s="242">
        <v>2.5000000000000001E-3</v>
      </c>
    </row>
    <row r="94" spans="1:69" s="211" customFormat="1" ht="22.35" customHeight="1" x14ac:dyDescent="0.2">
      <c r="A94" s="221" t="s">
        <v>140</v>
      </c>
      <c r="B94" s="221" t="s">
        <v>141</v>
      </c>
      <c r="C94" s="221" t="s">
        <v>152</v>
      </c>
      <c r="D94" s="222">
        <v>5.3472902687777797</v>
      </c>
      <c r="E94" s="223"/>
      <c r="F94" s="224">
        <v>8.9999999999999993E-3</v>
      </c>
      <c r="G94" s="224">
        <v>3.5000000000000001E-3</v>
      </c>
      <c r="H94" s="225"/>
      <c r="I94" s="226">
        <v>2</v>
      </c>
      <c r="J94" s="226">
        <v>2</v>
      </c>
      <c r="K94" s="223"/>
      <c r="L94" s="227">
        <v>2720.60277</v>
      </c>
      <c r="M94" s="227">
        <v>-1069.4541300000001</v>
      </c>
      <c r="N94" s="227">
        <v>1651.1486399999999</v>
      </c>
      <c r="O94" s="222">
        <v>308.78230973187902</v>
      </c>
      <c r="P94" s="228">
        <v>287.5</v>
      </c>
      <c r="Q94" s="238">
        <v>1.0740254251543599</v>
      </c>
      <c r="R94" s="239">
        <v>-27.633139882784</v>
      </c>
      <c r="S94" s="224">
        <v>8.9999999999999993E-3</v>
      </c>
      <c r="T94" s="224">
        <v>3.5000000000000001E-3</v>
      </c>
      <c r="U94" s="231">
        <v>0</v>
      </c>
      <c r="V94" s="232">
        <v>194</v>
      </c>
      <c r="W94" s="223"/>
      <c r="X94" s="231">
        <v>2395.705915</v>
      </c>
      <c r="Y94" s="222">
        <v>448.02241781940597</v>
      </c>
      <c r="Z94" s="233">
        <v>573</v>
      </c>
      <c r="AA94" s="244">
        <v>0.78188903633404105</v>
      </c>
      <c r="AB94" s="227">
        <v>-950.17916281855696</v>
      </c>
      <c r="AC94" s="224"/>
      <c r="AD94" s="224"/>
      <c r="AE94" s="232">
        <v>669</v>
      </c>
      <c r="AF94" s="232">
        <v>1282</v>
      </c>
      <c r="AG94" s="223"/>
      <c r="AH94" s="236">
        <v>303.35000000000002</v>
      </c>
      <c r="AI94" s="222">
        <v>56.729667691919801</v>
      </c>
      <c r="AJ94" s="237" t="s">
        <v>54</v>
      </c>
      <c r="AK94" s="244">
        <v>0.90047091574475902</v>
      </c>
      <c r="AL94" s="227">
        <v>-64.522181330836105</v>
      </c>
      <c r="AM94" s="224"/>
      <c r="AN94" s="224"/>
      <c r="AO94" s="232">
        <v>34</v>
      </c>
      <c r="AP94" s="232">
        <v>101</v>
      </c>
      <c r="AQ94" s="223"/>
      <c r="AR94" s="236">
        <v>15.1</v>
      </c>
      <c r="AS94" s="222">
        <v>2.8238601686104801</v>
      </c>
      <c r="AT94" s="237" t="s">
        <v>55</v>
      </c>
      <c r="AU94" s="229">
        <v>0.176491260538155</v>
      </c>
      <c r="AV94" s="230">
        <v>-78.327855576085398</v>
      </c>
      <c r="AW94" s="224"/>
      <c r="AX94" s="224"/>
      <c r="AY94" s="232">
        <v>71</v>
      </c>
      <c r="AZ94" s="232">
        <v>88</v>
      </c>
      <c r="BA94" s="223"/>
      <c r="BB94" s="240">
        <v>138</v>
      </c>
      <c r="BC94" s="236">
        <v>25.807463792599101</v>
      </c>
      <c r="BD94" s="237" t="s">
        <v>56</v>
      </c>
      <c r="BE94" s="244">
        <v>0.80648324351872103</v>
      </c>
      <c r="BF94" s="227">
        <v>-48.855711152170798</v>
      </c>
      <c r="BG94" s="224"/>
      <c r="BH94" s="224"/>
      <c r="BI94" s="232">
        <v>34</v>
      </c>
      <c r="BJ94" s="232">
        <v>68</v>
      </c>
      <c r="BK94" s="225"/>
      <c r="BL94" s="241">
        <v>0.8</v>
      </c>
      <c r="BM94" s="244">
        <v>0.7</v>
      </c>
      <c r="BN94" s="242"/>
      <c r="BO94" s="243">
        <v>0.95</v>
      </c>
      <c r="BP94" s="234">
        <v>1</v>
      </c>
      <c r="BQ94" s="242">
        <v>2.5000000000000001E-3</v>
      </c>
    </row>
    <row r="95" spans="1:69" s="211" customFormat="1" ht="22.35" customHeight="1" x14ac:dyDescent="0.2">
      <c r="A95" s="221" t="s">
        <v>140</v>
      </c>
      <c r="B95" s="221" t="s">
        <v>141</v>
      </c>
      <c r="C95" s="221" t="s">
        <v>153</v>
      </c>
      <c r="D95" s="222">
        <v>1.85767322355556</v>
      </c>
      <c r="E95" s="223"/>
      <c r="F95" s="224">
        <v>4.1000000000000002E-2</v>
      </c>
      <c r="G95" s="224">
        <v>3.1E-2</v>
      </c>
      <c r="H95" s="225"/>
      <c r="I95" s="226">
        <v>4</v>
      </c>
      <c r="J95" s="226">
        <v>4</v>
      </c>
      <c r="K95" s="223"/>
      <c r="L95" s="227">
        <v>1523.68885</v>
      </c>
      <c r="M95" s="227">
        <v>719.93364999999994</v>
      </c>
      <c r="N95" s="227">
        <v>2243.6224999999999</v>
      </c>
      <c r="O95" s="222">
        <v>1207.7595088041101</v>
      </c>
      <c r="P95" s="228">
        <v>247.02500000000001</v>
      </c>
      <c r="Q95" s="234">
        <v>4.88921975024435</v>
      </c>
      <c r="R95" s="235">
        <v>1742.5127329707</v>
      </c>
      <c r="S95" s="224">
        <v>0.01</v>
      </c>
      <c r="T95" s="224">
        <v>0.01</v>
      </c>
      <c r="U95" s="231">
        <v>0</v>
      </c>
      <c r="V95" s="232">
        <v>0</v>
      </c>
      <c r="W95" s="223"/>
      <c r="X95" s="231">
        <v>1074.056</v>
      </c>
      <c r="Y95" s="222">
        <v>578.17273047854701</v>
      </c>
      <c r="Z95" s="233">
        <v>573</v>
      </c>
      <c r="AA95" s="238">
        <v>1.0090274528421399</v>
      </c>
      <c r="AB95" s="239">
        <v>-88.319858750290706</v>
      </c>
      <c r="AC95" s="224">
        <v>1.0999999999999999E-2</v>
      </c>
      <c r="AD95" s="224">
        <v>1E-3</v>
      </c>
      <c r="AE95" s="232">
        <v>0</v>
      </c>
      <c r="AF95" s="232">
        <v>204</v>
      </c>
      <c r="AG95" s="223"/>
      <c r="AH95" s="236">
        <v>100.7</v>
      </c>
      <c r="AI95" s="222">
        <v>54.207596213968102</v>
      </c>
      <c r="AJ95" s="237" t="s">
        <v>54</v>
      </c>
      <c r="AK95" s="244">
        <v>0.86043803514234996</v>
      </c>
      <c r="AL95" s="227">
        <v>-27.1004870877283</v>
      </c>
      <c r="AM95" s="224"/>
      <c r="AN95" s="224"/>
      <c r="AO95" s="232">
        <v>17</v>
      </c>
      <c r="AP95" s="232">
        <v>40</v>
      </c>
      <c r="AQ95" s="223"/>
      <c r="AR95" s="236">
        <v>22.9</v>
      </c>
      <c r="AS95" s="222">
        <v>12.3272487914585</v>
      </c>
      <c r="AT95" s="237" t="s">
        <v>55</v>
      </c>
      <c r="AU95" s="244">
        <v>0.77045304946615401</v>
      </c>
      <c r="AV95" s="227">
        <v>-9.5572665619627504</v>
      </c>
      <c r="AW95" s="224"/>
      <c r="AX95" s="224"/>
      <c r="AY95" s="232">
        <v>7</v>
      </c>
      <c r="AZ95" s="232">
        <v>13</v>
      </c>
      <c r="BA95" s="223"/>
      <c r="BB95" s="240">
        <v>93</v>
      </c>
      <c r="BC95" s="236">
        <v>50.062626096316102</v>
      </c>
      <c r="BD95" s="237" t="s">
        <v>56</v>
      </c>
      <c r="BE95" s="234">
        <v>1.56445706550988</v>
      </c>
      <c r="BF95" s="235">
        <v>28.085466876074499</v>
      </c>
      <c r="BG95" s="224">
        <v>0.02</v>
      </c>
      <c r="BH95" s="224">
        <v>0.02</v>
      </c>
      <c r="BI95" s="232">
        <v>0</v>
      </c>
      <c r="BJ95" s="232">
        <v>0</v>
      </c>
      <c r="BK95" s="225"/>
      <c r="BL95" s="241">
        <v>0.8</v>
      </c>
      <c r="BM95" s="244">
        <v>0.77</v>
      </c>
      <c r="BN95" s="242"/>
      <c r="BO95" s="243">
        <v>0.95</v>
      </c>
      <c r="BP95" s="234">
        <v>1</v>
      </c>
      <c r="BQ95" s="242">
        <v>2.5000000000000001E-3</v>
      </c>
    </row>
    <row r="96" spans="1:69" s="211" customFormat="1" ht="22.35" customHeight="1" x14ac:dyDescent="0.2">
      <c r="A96" s="221" t="s">
        <v>140</v>
      </c>
      <c r="B96" s="221" t="s">
        <v>141</v>
      </c>
      <c r="C96" s="221" t="s">
        <v>154</v>
      </c>
      <c r="D96" s="222">
        <v>3.3075077187777802</v>
      </c>
      <c r="E96" s="223"/>
      <c r="F96" s="224">
        <v>5.8000000000000003E-2</v>
      </c>
      <c r="G96" s="224">
        <v>3.5999999999999997E-2</v>
      </c>
      <c r="H96" s="225"/>
      <c r="I96" s="226">
        <v>5</v>
      </c>
      <c r="J96" s="226">
        <v>5</v>
      </c>
      <c r="K96" s="223"/>
      <c r="L96" s="227">
        <v>1446.9458999999999</v>
      </c>
      <c r="M96" s="227">
        <v>1015.44587</v>
      </c>
      <c r="N96" s="227">
        <v>2462.3917700000002</v>
      </c>
      <c r="O96" s="222">
        <v>744.48557021355305</v>
      </c>
      <c r="P96" s="228">
        <v>248.167</v>
      </c>
      <c r="Q96" s="234">
        <v>2.9999378249870099</v>
      </c>
      <c r="R96" s="235">
        <v>1566.0625892938499</v>
      </c>
      <c r="S96" s="224">
        <v>0.01</v>
      </c>
      <c r="T96" s="224">
        <v>0.01</v>
      </c>
      <c r="U96" s="231">
        <v>0</v>
      </c>
      <c r="V96" s="232">
        <v>0</v>
      </c>
      <c r="W96" s="223"/>
      <c r="X96" s="231">
        <v>2021.4178400000001</v>
      </c>
      <c r="Y96" s="222">
        <v>611.16043010988801</v>
      </c>
      <c r="Z96" s="233">
        <v>573</v>
      </c>
      <c r="AA96" s="238">
        <v>1.0665976092668199</v>
      </c>
      <c r="AB96" s="239">
        <v>-48.142659762757397</v>
      </c>
      <c r="AC96" s="224">
        <v>1.7000000000000001E-2</v>
      </c>
      <c r="AD96" s="224">
        <v>7.0000000000000001E-3</v>
      </c>
      <c r="AE96" s="232">
        <v>0</v>
      </c>
      <c r="AF96" s="232">
        <v>253</v>
      </c>
      <c r="AG96" s="223"/>
      <c r="AH96" s="236">
        <v>210.25</v>
      </c>
      <c r="AI96" s="222">
        <v>63.567500933208301</v>
      </c>
      <c r="AJ96" s="237" t="s">
        <v>54</v>
      </c>
      <c r="AK96" s="238">
        <v>1.0090079513207699</v>
      </c>
      <c r="AL96" s="239">
        <v>-17.2933010210362</v>
      </c>
      <c r="AM96" s="224">
        <v>1.0999999999999999E-2</v>
      </c>
      <c r="AN96" s="224">
        <v>1E-3</v>
      </c>
      <c r="AO96" s="232">
        <v>0</v>
      </c>
      <c r="AP96" s="232">
        <v>40</v>
      </c>
      <c r="AQ96" s="223"/>
      <c r="AR96" s="236">
        <v>14.6</v>
      </c>
      <c r="AS96" s="222">
        <v>4.4141998269909202</v>
      </c>
      <c r="AT96" s="237" t="s">
        <v>55</v>
      </c>
      <c r="AU96" s="229">
        <v>0.27588748918693301</v>
      </c>
      <c r="AV96" s="230">
        <v>-43.188774862485403</v>
      </c>
      <c r="AW96" s="224"/>
      <c r="AX96" s="224"/>
      <c r="AY96" s="232">
        <v>39</v>
      </c>
      <c r="AZ96" s="232">
        <v>49</v>
      </c>
      <c r="BA96" s="223"/>
      <c r="BB96" s="240">
        <v>124.6</v>
      </c>
      <c r="BC96" s="236">
        <v>37.671869756374598</v>
      </c>
      <c r="BD96" s="237" t="s">
        <v>56</v>
      </c>
      <c r="BE96" s="234">
        <v>1.17724592988671</v>
      </c>
      <c r="BF96" s="235">
        <v>9.0224502750292395</v>
      </c>
      <c r="BG96" s="224">
        <v>0.02</v>
      </c>
      <c r="BH96" s="224">
        <v>1.7999999999999999E-2</v>
      </c>
      <c r="BI96" s="232">
        <v>0</v>
      </c>
      <c r="BJ96" s="232">
        <v>3</v>
      </c>
      <c r="BK96" s="225"/>
      <c r="BL96" s="241">
        <v>0.8</v>
      </c>
      <c r="BM96" s="244">
        <v>0.71</v>
      </c>
      <c r="BN96" s="242"/>
      <c r="BO96" s="243">
        <v>0.95</v>
      </c>
      <c r="BP96" s="234">
        <v>1</v>
      </c>
      <c r="BQ96" s="242">
        <v>2.5000000000000001E-3</v>
      </c>
    </row>
    <row r="97" spans="1:69" s="211" customFormat="1" ht="22.35" customHeight="1" x14ac:dyDescent="0.2">
      <c r="A97" s="221" t="s">
        <v>140</v>
      </c>
      <c r="B97" s="221" t="s">
        <v>141</v>
      </c>
      <c r="C97" s="221" t="s">
        <v>155</v>
      </c>
      <c r="D97" s="222">
        <v>3.0547893162222199</v>
      </c>
      <c r="E97" s="223"/>
      <c r="F97" s="224">
        <v>1.2999999999999999E-2</v>
      </c>
      <c r="G97" s="224">
        <v>0.01</v>
      </c>
      <c r="H97" s="225"/>
      <c r="I97" s="226">
        <v>3</v>
      </c>
      <c r="J97" s="226">
        <v>2</v>
      </c>
      <c r="K97" s="223"/>
      <c r="L97" s="227">
        <v>1886.5208700000001</v>
      </c>
      <c r="M97" s="227">
        <v>1341.46975</v>
      </c>
      <c r="N97" s="227">
        <v>3227.99062</v>
      </c>
      <c r="O97" s="222">
        <v>1056.69828123923</v>
      </c>
      <c r="P97" s="228">
        <v>285.53899999999999</v>
      </c>
      <c r="Q97" s="234">
        <v>3.7007143726048999</v>
      </c>
      <c r="R97" s="235">
        <v>2275.4810766712599</v>
      </c>
      <c r="S97" s="224">
        <v>0.01</v>
      </c>
      <c r="T97" s="224">
        <v>0.01</v>
      </c>
      <c r="U97" s="231">
        <v>0</v>
      </c>
      <c r="V97" s="232">
        <v>0</v>
      </c>
      <c r="W97" s="223"/>
      <c r="X97" s="231">
        <v>1062.0941499999999</v>
      </c>
      <c r="Y97" s="222">
        <v>347.68163694950402</v>
      </c>
      <c r="Z97" s="233">
        <v>573</v>
      </c>
      <c r="AA97" s="229">
        <v>0.60677423551396903</v>
      </c>
      <c r="AB97" s="230">
        <v>-849.33640178930295</v>
      </c>
      <c r="AC97" s="224"/>
      <c r="AD97" s="224"/>
      <c r="AE97" s="232">
        <v>689</v>
      </c>
      <c r="AF97" s="232">
        <v>1039</v>
      </c>
      <c r="AG97" s="223"/>
      <c r="AH97" s="236">
        <v>141</v>
      </c>
      <c r="AI97" s="222">
        <v>46.157029308447001</v>
      </c>
      <c r="AJ97" s="237" t="s">
        <v>54</v>
      </c>
      <c r="AK97" s="244">
        <v>0.73265125886423799</v>
      </c>
      <c r="AL97" s="227">
        <v>-69.157285798823906</v>
      </c>
      <c r="AM97" s="224"/>
      <c r="AN97" s="224"/>
      <c r="AO97" s="232">
        <v>52</v>
      </c>
      <c r="AP97" s="232">
        <v>90</v>
      </c>
      <c r="AQ97" s="223"/>
      <c r="AR97" s="236">
        <v>17.399999999999999</v>
      </c>
      <c r="AS97" s="222">
        <v>5.69597382955304</v>
      </c>
      <c r="AT97" s="237" t="s">
        <v>55</v>
      </c>
      <c r="AU97" s="229">
        <v>0.355998364347065</v>
      </c>
      <c r="AV97" s="230">
        <v>-35.973278933034599</v>
      </c>
      <c r="AW97" s="224"/>
      <c r="AX97" s="224"/>
      <c r="AY97" s="232">
        <v>32</v>
      </c>
      <c r="AZ97" s="232">
        <v>42</v>
      </c>
      <c r="BA97" s="223"/>
      <c r="BB97" s="240">
        <v>91.6</v>
      </c>
      <c r="BC97" s="236">
        <v>29.985701309601001</v>
      </c>
      <c r="BD97" s="237" t="s">
        <v>56</v>
      </c>
      <c r="BE97" s="238">
        <v>0.93705316592503296</v>
      </c>
      <c r="BF97" s="239">
        <v>-15.146557866069299</v>
      </c>
      <c r="BG97" s="224">
        <v>3.0000000000000001E-3</v>
      </c>
      <c r="BH97" s="224"/>
      <c r="BI97" s="232">
        <v>7</v>
      </c>
      <c r="BJ97" s="232">
        <v>26</v>
      </c>
      <c r="BK97" s="225"/>
      <c r="BL97" s="241">
        <v>0.8</v>
      </c>
      <c r="BM97" s="244">
        <v>0.78</v>
      </c>
      <c r="BN97" s="242"/>
      <c r="BO97" s="243">
        <v>0.95</v>
      </c>
      <c r="BP97" s="234">
        <v>1</v>
      </c>
      <c r="BQ97" s="242">
        <v>2.5000000000000001E-3</v>
      </c>
    </row>
    <row r="98" spans="1:69" s="211" customFormat="1" ht="22.35" customHeight="1" x14ac:dyDescent="0.2">
      <c r="A98" s="221" t="s">
        <v>140</v>
      </c>
      <c r="B98" s="221" t="s">
        <v>141</v>
      </c>
      <c r="C98" s="221" t="s">
        <v>156</v>
      </c>
      <c r="D98" s="222">
        <v>2.7451908808888899</v>
      </c>
      <c r="E98" s="223"/>
      <c r="F98" s="224">
        <v>3.6999999999999998E-2</v>
      </c>
      <c r="G98" s="224">
        <v>2.8000000000000001E-2</v>
      </c>
      <c r="H98" s="225"/>
      <c r="I98" s="226">
        <v>4</v>
      </c>
      <c r="J98" s="226">
        <v>3</v>
      </c>
      <c r="K98" s="223"/>
      <c r="L98" s="227">
        <v>413.00596999999999</v>
      </c>
      <c r="M98" s="227">
        <v>641.11500000000001</v>
      </c>
      <c r="N98" s="227">
        <v>1054.1209699999999</v>
      </c>
      <c r="O98" s="222">
        <v>383.98822367451402</v>
      </c>
      <c r="P98" s="228">
        <v>287.5</v>
      </c>
      <c r="Q98" s="234">
        <v>1.3356112127809201</v>
      </c>
      <c r="R98" s="235">
        <v>192.26829294493299</v>
      </c>
      <c r="S98" s="224">
        <v>0.01</v>
      </c>
      <c r="T98" s="224">
        <v>0.01</v>
      </c>
      <c r="U98" s="231">
        <v>0</v>
      </c>
      <c r="V98" s="232">
        <v>0</v>
      </c>
      <c r="W98" s="223"/>
      <c r="X98" s="231">
        <v>699.08525999999995</v>
      </c>
      <c r="Y98" s="222">
        <v>254.658160518746</v>
      </c>
      <c r="Z98" s="233">
        <v>573</v>
      </c>
      <c r="AA98" s="229">
        <v>0.444429599509155</v>
      </c>
      <c r="AB98" s="230">
        <v>-1018.62459722627</v>
      </c>
      <c r="AC98" s="224"/>
      <c r="AD98" s="224"/>
      <c r="AE98" s="232">
        <v>874</v>
      </c>
      <c r="AF98" s="232">
        <v>1189</v>
      </c>
      <c r="AG98" s="223"/>
      <c r="AH98" s="236">
        <v>168.4</v>
      </c>
      <c r="AI98" s="222">
        <v>61.3436395889062</v>
      </c>
      <c r="AJ98" s="237" t="s">
        <v>54</v>
      </c>
      <c r="AK98" s="238">
        <v>0.97370856490327296</v>
      </c>
      <c r="AL98" s="239">
        <v>-20.458151841632102</v>
      </c>
      <c r="AM98" s="224">
        <v>7.0000000000000001E-3</v>
      </c>
      <c r="AN98" s="224"/>
      <c r="AO98" s="232">
        <v>5</v>
      </c>
      <c r="AP98" s="232">
        <v>40</v>
      </c>
      <c r="AQ98" s="223"/>
      <c r="AR98" s="236">
        <v>23.6</v>
      </c>
      <c r="AS98" s="222">
        <v>8.5968521039084695</v>
      </c>
      <c r="AT98" s="237" t="s">
        <v>55</v>
      </c>
      <c r="AU98" s="229">
        <v>0.53730325649427901</v>
      </c>
      <c r="AV98" s="230">
        <v>-24.363975070890699</v>
      </c>
      <c r="AW98" s="224"/>
      <c r="AX98" s="224"/>
      <c r="AY98" s="232">
        <v>21</v>
      </c>
      <c r="AZ98" s="232">
        <v>30</v>
      </c>
      <c r="BA98" s="223"/>
      <c r="BB98" s="240">
        <v>103.4</v>
      </c>
      <c r="BC98" s="236">
        <v>37.665868963734603</v>
      </c>
      <c r="BD98" s="237" t="s">
        <v>56</v>
      </c>
      <c r="BE98" s="234">
        <v>1.1770584051167099</v>
      </c>
      <c r="BF98" s="235">
        <v>7.4720498582186101</v>
      </c>
      <c r="BG98" s="224">
        <v>0.02</v>
      </c>
      <c r="BH98" s="224">
        <v>1.7999999999999999E-2</v>
      </c>
      <c r="BI98" s="232">
        <v>0</v>
      </c>
      <c r="BJ98" s="232">
        <v>3</v>
      </c>
      <c r="BK98" s="225"/>
      <c r="BL98" s="241">
        <v>0.8</v>
      </c>
      <c r="BM98" s="244">
        <v>0.7</v>
      </c>
      <c r="BN98" s="242"/>
      <c r="BO98" s="243">
        <v>0.95</v>
      </c>
      <c r="BP98" s="234">
        <v>1</v>
      </c>
      <c r="BQ98" s="242">
        <v>2.5000000000000001E-3</v>
      </c>
    </row>
    <row r="99" spans="1:69" s="211" customFormat="1" ht="22.35" customHeight="1" x14ac:dyDescent="0.2">
      <c r="A99" s="221" t="s">
        <v>140</v>
      </c>
      <c r="B99" s="221" t="s">
        <v>141</v>
      </c>
      <c r="C99" s="221" t="s">
        <v>157</v>
      </c>
      <c r="D99" s="222">
        <v>3.756503602</v>
      </c>
      <c r="E99" s="223"/>
      <c r="F99" s="224">
        <v>4.1000000000000002E-2</v>
      </c>
      <c r="G99" s="224">
        <v>3.1E-2</v>
      </c>
      <c r="H99" s="225"/>
      <c r="I99" s="226">
        <v>5</v>
      </c>
      <c r="J99" s="226">
        <v>4</v>
      </c>
      <c r="K99" s="223"/>
      <c r="L99" s="227">
        <v>1727.7213099999999</v>
      </c>
      <c r="M99" s="227">
        <v>-41.596420000000002</v>
      </c>
      <c r="N99" s="227">
        <v>1686.1248900000001</v>
      </c>
      <c r="O99" s="222">
        <v>448.85485777314102</v>
      </c>
      <c r="P99" s="228">
        <v>261.89100000000002</v>
      </c>
      <c r="Q99" s="234">
        <v>1.7138995145810301</v>
      </c>
      <c r="R99" s="235">
        <v>611.82131256413095</v>
      </c>
      <c r="S99" s="224">
        <v>0.01</v>
      </c>
      <c r="T99" s="224">
        <v>0.01</v>
      </c>
      <c r="U99" s="231">
        <v>0</v>
      </c>
      <c r="V99" s="232">
        <v>0</v>
      </c>
      <c r="W99" s="223"/>
      <c r="X99" s="231">
        <v>2157.8723850000001</v>
      </c>
      <c r="Y99" s="222">
        <v>574.43639448425597</v>
      </c>
      <c r="Z99" s="233">
        <v>573</v>
      </c>
      <c r="AA99" s="238">
        <v>1.0025067966566401</v>
      </c>
      <c r="AB99" s="239">
        <v>-192.632022829032</v>
      </c>
      <c r="AC99" s="224">
        <v>0.01</v>
      </c>
      <c r="AD99" s="224">
        <v>1E-3</v>
      </c>
      <c r="AE99" s="232">
        <v>0</v>
      </c>
      <c r="AF99" s="232">
        <v>426</v>
      </c>
      <c r="AG99" s="223"/>
      <c r="AH99" s="236">
        <v>217.35</v>
      </c>
      <c r="AI99" s="222">
        <v>57.859654356322402</v>
      </c>
      <c r="AJ99" s="237" t="s">
        <v>54</v>
      </c>
      <c r="AK99" s="238">
        <v>0.91840721200511699</v>
      </c>
      <c r="AL99" s="239">
        <v>-41.082421803191998</v>
      </c>
      <c r="AM99" s="224">
        <v>1E-3</v>
      </c>
      <c r="AN99" s="224"/>
      <c r="AO99" s="232">
        <v>20</v>
      </c>
      <c r="AP99" s="232">
        <v>67</v>
      </c>
      <c r="AQ99" s="223"/>
      <c r="AR99" s="236">
        <v>24</v>
      </c>
      <c r="AS99" s="222">
        <v>6.3889197356877698</v>
      </c>
      <c r="AT99" s="237" t="s">
        <v>55</v>
      </c>
      <c r="AU99" s="229">
        <v>0.399307483480486</v>
      </c>
      <c r="AV99" s="230">
        <v>-41.633630934144001</v>
      </c>
      <c r="AW99" s="224"/>
      <c r="AX99" s="224"/>
      <c r="AY99" s="232">
        <v>37</v>
      </c>
      <c r="AZ99" s="232">
        <v>49</v>
      </c>
      <c r="BA99" s="223"/>
      <c r="BB99" s="240">
        <v>153</v>
      </c>
      <c r="BC99" s="236">
        <v>40.7293633150095</v>
      </c>
      <c r="BD99" s="237" t="s">
        <v>56</v>
      </c>
      <c r="BE99" s="234">
        <v>1.27279260359405</v>
      </c>
      <c r="BF99" s="235">
        <v>21.732738131712001</v>
      </c>
      <c r="BG99" s="224">
        <v>0.02</v>
      </c>
      <c r="BH99" s="224">
        <v>0.02</v>
      </c>
      <c r="BI99" s="232">
        <v>0</v>
      </c>
      <c r="BJ99" s="232">
        <v>0</v>
      </c>
      <c r="BK99" s="225"/>
      <c r="BL99" s="241">
        <v>0.8</v>
      </c>
      <c r="BM99" s="244">
        <v>0.71</v>
      </c>
      <c r="BN99" s="242"/>
      <c r="BO99" s="243">
        <v>0.95</v>
      </c>
      <c r="BP99" s="234">
        <v>1</v>
      </c>
      <c r="BQ99" s="242">
        <v>2.5000000000000001E-3</v>
      </c>
    </row>
    <row r="100" spans="1:69" s="211" customFormat="1" ht="22.35" customHeight="1" x14ac:dyDescent="0.2">
      <c r="A100" s="221" t="s">
        <v>140</v>
      </c>
      <c r="B100" s="221" t="s">
        <v>141</v>
      </c>
      <c r="C100" s="221" t="s">
        <v>158</v>
      </c>
      <c r="D100" s="222">
        <v>2.8448773448888902</v>
      </c>
      <c r="E100" s="223"/>
      <c r="F100" s="224">
        <v>0.01</v>
      </c>
      <c r="G100" s="224">
        <v>0.01</v>
      </c>
      <c r="H100" s="225"/>
      <c r="I100" s="226">
        <v>2</v>
      </c>
      <c r="J100" s="226">
        <v>2</v>
      </c>
      <c r="K100" s="223"/>
      <c r="L100" s="227">
        <v>1494.0301099999999</v>
      </c>
      <c r="M100" s="227">
        <v>-288.5992</v>
      </c>
      <c r="N100" s="227">
        <v>1205.43091</v>
      </c>
      <c r="O100" s="222">
        <v>423.71981771575503</v>
      </c>
      <c r="P100" s="228">
        <v>228.56200000000001</v>
      </c>
      <c r="Q100" s="234">
        <v>1.85385067384672</v>
      </c>
      <c r="R100" s="235">
        <v>495.37881557287602</v>
      </c>
      <c r="S100" s="224">
        <v>0.01</v>
      </c>
      <c r="T100" s="224">
        <v>0.01</v>
      </c>
      <c r="U100" s="231">
        <v>0</v>
      </c>
      <c r="V100" s="232">
        <v>0</v>
      </c>
      <c r="W100" s="223"/>
      <c r="X100" s="231">
        <v>952.47429499999998</v>
      </c>
      <c r="Y100" s="222">
        <v>334.803290100087</v>
      </c>
      <c r="Z100" s="233">
        <v>573</v>
      </c>
      <c r="AA100" s="229">
        <v>0.58429893560224599</v>
      </c>
      <c r="AB100" s="230">
        <v>-827.61097773449706</v>
      </c>
      <c r="AC100" s="224"/>
      <c r="AD100" s="224"/>
      <c r="AE100" s="232">
        <v>678</v>
      </c>
      <c r="AF100" s="232">
        <v>1004</v>
      </c>
      <c r="AG100" s="223"/>
      <c r="AH100" s="236">
        <v>105.3</v>
      </c>
      <c r="AI100" s="222">
        <v>37.013898047022003</v>
      </c>
      <c r="AJ100" s="237" t="s">
        <v>54</v>
      </c>
      <c r="AK100" s="229">
        <v>0.58752219122257099</v>
      </c>
      <c r="AL100" s="230">
        <v>-90.416181818976099</v>
      </c>
      <c r="AM100" s="224"/>
      <c r="AN100" s="224"/>
      <c r="AO100" s="232">
        <v>74</v>
      </c>
      <c r="AP100" s="232">
        <v>110</v>
      </c>
      <c r="AQ100" s="223"/>
      <c r="AR100" s="236">
        <v>1</v>
      </c>
      <c r="AS100" s="222">
        <v>0.35150900329555601</v>
      </c>
      <c r="AT100" s="237" t="s">
        <v>55</v>
      </c>
      <c r="AU100" s="229">
        <v>2.1969312705972199E-2</v>
      </c>
      <c r="AV100" s="230">
        <v>-48.705696969898703</v>
      </c>
      <c r="AW100" s="224"/>
      <c r="AX100" s="224"/>
      <c r="AY100" s="232">
        <v>45</v>
      </c>
      <c r="AZ100" s="232">
        <v>54</v>
      </c>
      <c r="BA100" s="223"/>
      <c r="BB100" s="240">
        <v>48.4</v>
      </c>
      <c r="BC100" s="236">
        <v>17.013035759504898</v>
      </c>
      <c r="BD100" s="237" t="s">
        <v>56</v>
      </c>
      <c r="BE100" s="229">
        <v>0.53165736748452797</v>
      </c>
      <c r="BF100" s="230">
        <v>-51.011393939797401</v>
      </c>
      <c r="BG100" s="224"/>
      <c r="BH100" s="224"/>
      <c r="BI100" s="232">
        <v>43</v>
      </c>
      <c r="BJ100" s="232">
        <v>61</v>
      </c>
      <c r="BK100" s="225"/>
      <c r="BL100" s="241">
        <v>0.8</v>
      </c>
      <c r="BM100" s="244">
        <v>0.75</v>
      </c>
      <c r="BN100" s="242"/>
      <c r="BO100" s="243">
        <v>0.95</v>
      </c>
      <c r="BP100" s="234">
        <v>1</v>
      </c>
      <c r="BQ100" s="242">
        <v>2.5000000000000001E-3</v>
      </c>
    </row>
    <row r="101" spans="1:69" s="211" customFormat="1" ht="22.35" customHeight="1" x14ac:dyDescent="0.2">
      <c r="A101" s="221" t="s">
        <v>140</v>
      </c>
      <c r="B101" s="221" t="s">
        <v>141</v>
      </c>
      <c r="C101" s="221" t="s">
        <v>159</v>
      </c>
      <c r="D101" s="222">
        <v>2.4566604814444402</v>
      </c>
      <c r="E101" s="223"/>
      <c r="F101" s="224">
        <v>0.01</v>
      </c>
      <c r="G101" s="224">
        <v>0.01</v>
      </c>
      <c r="H101" s="225"/>
      <c r="I101" s="226">
        <v>2</v>
      </c>
      <c r="J101" s="226">
        <v>2</v>
      </c>
      <c r="K101" s="223"/>
      <c r="L101" s="227">
        <v>1398.3889799999999</v>
      </c>
      <c r="M101" s="227">
        <v>249.85265000000001</v>
      </c>
      <c r="N101" s="227">
        <v>1648.24163</v>
      </c>
      <c r="O101" s="222">
        <v>670.92772584955696</v>
      </c>
      <c r="P101" s="228">
        <v>287.5</v>
      </c>
      <c r="Q101" s="234">
        <v>2.33366165512889</v>
      </c>
      <c r="R101" s="235">
        <v>876.97307185051795</v>
      </c>
      <c r="S101" s="224">
        <v>0.01</v>
      </c>
      <c r="T101" s="224">
        <v>0.01</v>
      </c>
      <c r="U101" s="231">
        <v>0</v>
      </c>
      <c r="V101" s="232">
        <v>0</v>
      </c>
      <c r="W101" s="223"/>
      <c r="X101" s="231">
        <v>739.85117500000001</v>
      </c>
      <c r="Y101" s="222">
        <v>301.16134508134797</v>
      </c>
      <c r="Z101" s="233">
        <v>573</v>
      </c>
      <c r="AA101" s="229">
        <v>0.525586989670764</v>
      </c>
      <c r="AB101" s="230">
        <v>-797.32059480748899</v>
      </c>
      <c r="AC101" s="224"/>
      <c r="AD101" s="224"/>
      <c r="AE101" s="232">
        <v>668</v>
      </c>
      <c r="AF101" s="232">
        <v>950</v>
      </c>
      <c r="AG101" s="223"/>
      <c r="AH101" s="236">
        <v>87.3</v>
      </c>
      <c r="AI101" s="222">
        <v>35.536046050885403</v>
      </c>
      <c r="AJ101" s="237" t="s">
        <v>54</v>
      </c>
      <c r="AK101" s="229">
        <v>0.56406422302992598</v>
      </c>
      <c r="AL101" s="230">
        <v>-81.708414481451697</v>
      </c>
      <c r="AM101" s="224"/>
      <c r="AN101" s="224"/>
      <c r="AO101" s="232">
        <v>68</v>
      </c>
      <c r="AP101" s="232">
        <v>99</v>
      </c>
      <c r="AQ101" s="223"/>
      <c r="AR101" s="236">
        <v>1.5</v>
      </c>
      <c r="AS101" s="222">
        <v>0.61058498369218805</v>
      </c>
      <c r="AT101" s="237" t="s">
        <v>55</v>
      </c>
      <c r="AU101" s="229">
        <v>3.8161561480761802E-2</v>
      </c>
      <c r="AV101" s="230">
        <v>-41.4227719317973</v>
      </c>
      <c r="AW101" s="224"/>
      <c r="AX101" s="224"/>
      <c r="AY101" s="232">
        <v>38</v>
      </c>
      <c r="AZ101" s="232">
        <v>46</v>
      </c>
      <c r="BA101" s="223"/>
      <c r="BB101" s="240">
        <v>68.400000000000006</v>
      </c>
      <c r="BC101" s="236">
        <v>27.842675256363801</v>
      </c>
      <c r="BD101" s="237" t="s">
        <v>56</v>
      </c>
      <c r="BE101" s="244">
        <v>0.87008360176136901</v>
      </c>
      <c r="BF101" s="227">
        <v>-17.445543863594501</v>
      </c>
      <c r="BG101" s="224"/>
      <c r="BH101" s="224"/>
      <c r="BI101" s="232">
        <v>11</v>
      </c>
      <c r="BJ101" s="232">
        <v>26</v>
      </c>
      <c r="BK101" s="225"/>
      <c r="BL101" s="241">
        <v>0.8</v>
      </c>
      <c r="BM101" s="244">
        <v>0.77</v>
      </c>
      <c r="BN101" s="242"/>
      <c r="BO101" s="243">
        <v>0.95</v>
      </c>
      <c r="BP101" s="234">
        <v>1</v>
      </c>
      <c r="BQ101" s="242">
        <v>2.5000000000000001E-3</v>
      </c>
    </row>
    <row r="102" spans="1:69" s="211" customFormat="1" ht="22.35" customHeight="1" x14ac:dyDescent="0.2">
      <c r="A102" s="221" t="s">
        <v>140</v>
      </c>
      <c r="B102" s="221" t="s">
        <v>160</v>
      </c>
      <c r="C102" s="221" t="s">
        <v>161</v>
      </c>
      <c r="D102" s="222">
        <v>3.9968760643333301</v>
      </c>
      <c r="E102" s="223"/>
      <c r="F102" s="224">
        <v>0.01</v>
      </c>
      <c r="G102" s="224">
        <v>0.01</v>
      </c>
      <c r="H102" s="225"/>
      <c r="I102" s="226">
        <v>2</v>
      </c>
      <c r="J102" s="226">
        <v>2</v>
      </c>
      <c r="K102" s="223"/>
      <c r="L102" s="227">
        <v>6038.06945</v>
      </c>
      <c r="M102" s="227">
        <v>-316.69952999999998</v>
      </c>
      <c r="N102" s="227">
        <v>5721.3699200000001</v>
      </c>
      <c r="O102" s="222">
        <v>1431.46042757128</v>
      </c>
      <c r="P102" s="228">
        <v>274.60399999999998</v>
      </c>
      <c r="Q102" s="234">
        <v>5.2128171023411198</v>
      </c>
      <c r="R102" s="235">
        <v>4522.8364149909503</v>
      </c>
      <c r="S102" s="224">
        <v>0.01</v>
      </c>
      <c r="T102" s="224">
        <v>0.01</v>
      </c>
      <c r="U102" s="231">
        <v>0</v>
      </c>
      <c r="V102" s="232">
        <v>0</v>
      </c>
      <c r="W102" s="223"/>
      <c r="X102" s="231">
        <v>1695.8392449999999</v>
      </c>
      <c r="Y102" s="222">
        <v>424.29117583431002</v>
      </c>
      <c r="Z102" s="233">
        <v>573</v>
      </c>
      <c r="AA102" s="244">
        <v>0.74047325625534</v>
      </c>
      <c r="AB102" s="227">
        <v>-805.07005847039397</v>
      </c>
      <c r="AC102" s="224"/>
      <c r="AD102" s="224"/>
      <c r="AE102" s="232">
        <v>595</v>
      </c>
      <c r="AF102" s="232">
        <v>1053</v>
      </c>
      <c r="AG102" s="223"/>
      <c r="AH102" s="236">
        <v>128.30000000000001</v>
      </c>
      <c r="AI102" s="222">
        <v>32.100069638111201</v>
      </c>
      <c r="AJ102" s="237" t="s">
        <v>54</v>
      </c>
      <c r="AK102" s="229">
        <v>0.50952491489065499</v>
      </c>
      <c r="AL102" s="230">
        <v>-146.669085721876</v>
      </c>
      <c r="AM102" s="224"/>
      <c r="AN102" s="224"/>
      <c r="AO102" s="232">
        <v>124</v>
      </c>
      <c r="AP102" s="232">
        <v>174</v>
      </c>
      <c r="AQ102" s="223"/>
      <c r="AR102" s="236">
        <v>8</v>
      </c>
      <c r="AS102" s="222">
        <v>2.0015631886585301</v>
      </c>
      <c r="AT102" s="237" t="s">
        <v>55</v>
      </c>
      <c r="AU102" s="229">
        <v>0.12509769929115799</v>
      </c>
      <c r="AV102" s="230">
        <v>-61.833418596031997</v>
      </c>
      <c r="AW102" s="224"/>
      <c r="AX102" s="224"/>
      <c r="AY102" s="232">
        <v>56</v>
      </c>
      <c r="AZ102" s="232">
        <v>69</v>
      </c>
      <c r="BA102" s="223"/>
      <c r="BB102" s="240">
        <v>95.2</v>
      </c>
      <c r="BC102" s="236">
        <v>23.818601945036502</v>
      </c>
      <c r="BD102" s="237" t="s">
        <v>56</v>
      </c>
      <c r="BE102" s="244">
        <v>0.74433131078239201</v>
      </c>
      <c r="BF102" s="227">
        <v>-44.466837192063899</v>
      </c>
      <c r="BG102" s="224"/>
      <c r="BH102" s="224"/>
      <c r="BI102" s="232">
        <v>33</v>
      </c>
      <c r="BJ102" s="232">
        <v>59</v>
      </c>
      <c r="BK102" s="225"/>
      <c r="BL102" s="241">
        <v>0.8</v>
      </c>
      <c r="BM102" s="244">
        <v>0.71</v>
      </c>
      <c r="BN102" s="242"/>
      <c r="BO102" s="243">
        <v>0.95</v>
      </c>
      <c r="BP102" s="234">
        <v>1</v>
      </c>
      <c r="BQ102" s="242">
        <v>2.5000000000000001E-3</v>
      </c>
    </row>
    <row r="103" spans="1:69" s="211" customFormat="1" ht="22.35" customHeight="1" x14ac:dyDescent="0.2">
      <c r="A103" s="221" t="s">
        <v>140</v>
      </c>
      <c r="B103" s="221" t="s">
        <v>160</v>
      </c>
      <c r="C103" s="221" t="s">
        <v>162</v>
      </c>
      <c r="D103" s="222">
        <v>3.1170158208888901</v>
      </c>
      <c r="E103" s="223"/>
      <c r="F103" s="224">
        <v>2.1000000000000001E-2</v>
      </c>
      <c r="G103" s="224">
        <v>1.0999999999999999E-2</v>
      </c>
      <c r="H103" s="225"/>
      <c r="I103" s="226">
        <v>3</v>
      </c>
      <c r="J103" s="226">
        <v>3</v>
      </c>
      <c r="K103" s="223"/>
      <c r="L103" s="227">
        <v>3009.7157299999999</v>
      </c>
      <c r="M103" s="227">
        <v>1432.84348</v>
      </c>
      <c r="N103" s="227">
        <v>4442.5592100000003</v>
      </c>
      <c r="O103" s="222">
        <v>1425.2603981756799</v>
      </c>
      <c r="P103" s="228">
        <v>254.25200000000001</v>
      </c>
      <c r="Q103" s="234">
        <v>5.6056998496597101</v>
      </c>
      <c r="R103" s="235">
        <v>3577.14101291003</v>
      </c>
      <c r="S103" s="224">
        <v>0.01</v>
      </c>
      <c r="T103" s="224">
        <v>0.01</v>
      </c>
      <c r="U103" s="231">
        <v>0</v>
      </c>
      <c r="V103" s="232">
        <v>0</v>
      </c>
      <c r="W103" s="223"/>
      <c r="X103" s="231">
        <v>1353.471035</v>
      </c>
      <c r="Y103" s="222">
        <v>434.22013642973002</v>
      </c>
      <c r="Z103" s="233">
        <v>573</v>
      </c>
      <c r="AA103" s="244">
        <v>0.75780128521767898</v>
      </c>
      <c r="AB103" s="227">
        <v>-596.89563638331299</v>
      </c>
      <c r="AC103" s="224"/>
      <c r="AD103" s="224"/>
      <c r="AE103" s="232">
        <v>433</v>
      </c>
      <c r="AF103" s="232">
        <v>790</v>
      </c>
      <c r="AG103" s="223"/>
      <c r="AH103" s="236">
        <v>98.8</v>
      </c>
      <c r="AI103" s="222">
        <v>31.696983806718301</v>
      </c>
      <c r="AJ103" s="237" t="s">
        <v>54</v>
      </c>
      <c r="AK103" s="229">
        <v>0.503126727090767</v>
      </c>
      <c r="AL103" s="230">
        <v>-115.63822041387201</v>
      </c>
      <c r="AM103" s="224"/>
      <c r="AN103" s="224"/>
      <c r="AO103" s="232">
        <v>98</v>
      </c>
      <c r="AP103" s="232">
        <v>137</v>
      </c>
      <c r="AQ103" s="223"/>
      <c r="AR103" s="236">
        <v>31.4</v>
      </c>
      <c r="AS103" s="222">
        <v>10.073737768531901</v>
      </c>
      <c r="AT103" s="237" t="s">
        <v>55</v>
      </c>
      <c r="AU103" s="229">
        <v>0.62960861053324602</v>
      </c>
      <c r="AV103" s="230">
        <v>-23.060500422570701</v>
      </c>
      <c r="AW103" s="224"/>
      <c r="AX103" s="224"/>
      <c r="AY103" s="232">
        <v>19</v>
      </c>
      <c r="AZ103" s="232">
        <v>29</v>
      </c>
      <c r="BA103" s="223"/>
      <c r="BB103" s="240">
        <v>100.8</v>
      </c>
      <c r="BC103" s="236">
        <v>32.338623155032501</v>
      </c>
      <c r="BD103" s="237" t="s">
        <v>56</v>
      </c>
      <c r="BE103" s="238">
        <v>1.0105819735947701</v>
      </c>
      <c r="BF103" s="239">
        <v>-8.1210008451413795</v>
      </c>
      <c r="BG103" s="224">
        <v>1.0999999999999999E-2</v>
      </c>
      <c r="BH103" s="224">
        <v>1E-3</v>
      </c>
      <c r="BI103" s="232">
        <v>0</v>
      </c>
      <c r="BJ103" s="232">
        <v>19</v>
      </c>
      <c r="BK103" s="225"/>
      <c r="BL103" s="241">
        <v>0.8</v>
      </c>
      <c r="BM103" s="244">
        <v>0.74</v>
      </c>
      <c r="BN103" s="242"/>
      <c r="BO103" s="243">
        <v>0.95</v>
      </c>
      <c r="BP103" s="234">
        <v>1</v>
      </c>
      <c r="BQ103" s="242">
        <v>2.5000000000000001E-3</v>
      </c>
    </row>
    <row r="104" spans="1:69" s="211" customFormat="1" ht="22.35" customHeight="1" x14ac:dyDescent="0.2">
      <c r="A104" s="221" t="s">
        <v>140</v>
      </c>
      <c r="B104" s="221" t="s">
        <v>160</v>
      </c>
      <c r="C104" s="221" t="s">
        <v>163</v>
      </c>
      <c r="D104" s="222">
        <v>3.5189073529999999</v>
      </c>
      <c r="E104" s="223"/>
      <c r="F104" s="224">
        <v>4.9000000000000002E-2</v>
      </c>
      <c r="G104" s="224">
        <v>3.3000000000000002E-2</v>
      </c>
      <c r="H104" s="225"/>
      <c r="I104" s="226">
        <v>5</v>
      </c>
      <c r="J104" s="226">
        <v>4</v>
      </c>
      <c r="K104" s="223"/>
      <c r="L104" s="227">
        <v>1311.7811899999999</v>
      </c>
      <c r="M104" s="227">
        <v>1254.7655199999999</v>
      </c>
      <c r="N104" s="227">
        <v>2566.5467100000001</v>
      </c>
      <c r="O104" s="222">
        <v>729.35898917938903</v>
      </c>
      <c r="P104" s="228">
        <v>274.60399999999998</v>
      </c>
      <c r="Q104" s="234">
        <v>2.6560392025585502</v>
      </c>
      <c r="R104" s="235">
        <v>1511.34052003857</v>
      </c>
      <c r="S104" s="224">
        <v>0.01</v>
      </c>
      <c r="T104" s="224">
        <v>0.01</v>
      </c>
      <c r="U104" s="231">
        <v>0</v>
      </c>
      <c r="V104" s="232">
        <v>0</v>
      </c>
      <c r="W104" s="223"/>
      <c r="X104" s="231">
        <v>2334.2631550000001</v>
      </c>
      <c r="Y104" s="222">
        <v>663.34885259481302</v>
      </c>
      <c r="Z104" s="233">
        <v>573</v>
      </c>
      <c r="AA104" s="234">
        <v>1.1576768806192199</v>
      </c>
      <c r="AB104" s="235">
        <v>132.42652171025199</v>
      </c>
      <c r="AC104" s="224">
        <v>0.02</v>
      </c>
      <c r="AD104" s="224">
        <v>1.6E-2</v>
      </c>
      <c r="AE104" s="232">
        <v>0</v>
      </c>
      <c r="AF104" s="232">
        <v>86</v>
      </c>
      <c r="AG104" s="223"/>
      <c r="AH104" s="236">
        <v>206.4</v>
      </c>
      <c r="AI104" s="222">
        <v>58.654570664963998</v>
      </c>
      <c r="AJ104" s="237" t="s">
        <v>54</v>
      </c>
      <c r="AK104" s="238">
        <v>0.93102493118990504</v>
      </c>
      <c r="AL104" s="239">
        <v>-35.686750256987999</v>
      </c>
      <c r="AM104" s="224">
        <v>2E-3</v>
      </c>
      <c r="AN104" s="224"/>
      <c r="AO104" s="232">
        <v>16</v>
      </c>
      <c r="AP104" s="232">
        <v>60</v>
      </c>
      <c r="AQ104" s="223"/>
      <c r="AR104" s="236">
        <v>23.5</v>
      </c>
      <c r="AS104" s="222">
        <v>6.6782093538113099</v>
      </c>
      <c r="AT104" s="237" t="s">
        <v>55</v>
      </c>
      <c r="AU104" s="229">
        <v>0.41738808461320698</v>
      </c>
      <c r="AV104" s="230">
        <v>-37.982349271616002</v>
      </c>
      <c r="AW104" s="224"/>
      <c r="AX104" s="224"/>
      <c r="AY104" s="232">
        <v>33</v>
      </c>
      <c r="AZ104" s="232">
        <v>45</v>
      </c>
      <c r="BA104" s="223"/>
      <c r="BB104" s="240">
        <v>120.4</v>
      </c>
      <c r="BC104" s="236">
        <v>34.215166221228998</v>
      </c>
      <c r="BD104" s="237" t="s">
        <v>56</v>
      </c>
      <c r="BE104" s="238">
        <v>1.06922394441341</v>
      </c>
      <c r="BF104" s="239">
        <v>-2.56469854323201</v>
      </c>
      <c r="BG104" s="224">
        <v>1.7000000000000001E-2</v>
      </c>
      <c r="BH104" s="224">
        <v>7.0000000000000001E-3</v>
      </c>
      <c r="BI104" s="232">
        <v>0</v>
      </c>
      <c r="BJ104" s="232">
        <v>15</v>
      </c>
      <c r="BK104" s="225"/>
      <c r="BL104" s="241">
        <v>0.8</v>
      </c>
      <c r="BM104" s="229">
        <v>0.68</v>
      </c>
      <c r="BN104" s="242"/>
      <c r="BO104" s="243">
        <v>0.95</v>
      </c>
      <c r="BP104" s="234">
        <v>1</v>
      </c>
      <c r="BQ104" s="242">
        <v>2.5000000000000001E-3</v>
      </c>
    </row>
    <row r="105" spans="1:69" s="211" customFormat="1" ht="22.35" customHeight="1" x14ac:dyDescent="0.2">
      <c r="A105" s="221" t="s">
        <v>140</v>
      </c>
      <c r="B105" s="221" t="s">
        <v>160</v>
      </c>
      <c r="C105" s="221" t="s">
        <v>164</v>
      </c>
      <c r="D105" s="222">
        <v>3.27682426844444</v>
      </c>
      <c r="E105" s="223"/>
      <c r="F105" s="224">
        <v>2.8000000000000001E-2</v>
      </c>
      <c r="G105" s="224">
        <v>1.2999999999999999E-2</v>
      </c>
      <c r="H105" s="225"/>
      <c r="I105" s="226">
        <v>4</v>
      </c>
      <c r="J105" s="226">
        <v>3</v>
      </c>
      <c r="K105" s="223"/>
      <c r="L105" s="227">
        <v>2728.6725000000001</v>
      </c>
      <c r="M105" s="227">
        <v>2504.6582899999999</v>
      </c>
      <c r="N105" s="227">
        <v>5233.33079</v>
      </c>
      <c r="O105" s="222">
        <v>1597.07398422203</v>
      </c>
      <c r="P105" s="228">
        <v>246.58500000000001</v>
      </c>
      <c r="Q105" s="234">
        <v>6.4767685959082302</v>
      </c>
      <c r="R105" s="235">
        <v>4350.9776322400703</v>
      </c>
      <c r="S105" s="224">
        <v>0.01</v>
      </c>
      <c r="T105" s="224">
        <v>0.01</v>
      </c>
      <c r="U105" s="231">
        <v>0</v>
      </c>
      <c r="V105" s="232">
        <v>0</v>
      </c>
      <c r="W105" s="223"/>
      <c r="X105" s="231">
        <v>1801.66002</v>
      </c>
      <c r="Y105" s="222">
        <v>549.81893211358397</v>
      </c>
      <c r="Z105" s="233">
        <v>573</v>
      </c>
      <c r="AA105" s="238">
        <v>0.95954438414237997</v>
      </c>
      <c r="AB105" s="239">
        <v>-248.701353953981</v>
      </c>
      <c r="AC105" s="224">
        <v>5.0000000000000001E-3</v>
      </c>
      <c r="AD105" s="224"/>
      <c r="AE105" s="232">
        <v>76</v>
      </c>
      <c r="AF105" s="232">
        <v>452</v>
      </c>
      <c r="AG105" s="223"/>
      <c r="AH105" s="236">
        <v>122.8</v>
      </c>
      <c r="AI105" s="222">
        <v>37.475308390063603</v>
      </c>
      <c r="AJ105" s="237" t="s">
        <v>54</v>
      </c>
      <c r="AK105" s="229">
        <v>0.59484616492164399</v>
      </c>
      <c r="AL105" s="230">
        <v>-102.63240237190401</v>
      </c>
      <c r="AM105" s="224"/>
      <c r="AN105" s="224"/>
      <c r="AO105" s="232">
        <v>84</v>
      </c>
      <c r="AP105" s="232">
        <v>125</v>
      </c>
      <c r="AQ105" s="223"/>
      <c r="AR105" s="236">
        <v>12.8</v>
      </c>
      <c r="AS105" s="222">
        <v>3.9062210699740501</v>
      </c>
      <c r="AT105" s="237" t="s">
        <v>55</v>
      </c>
      <c r="AU105" s="229">
        <v>0.24413881687337799</v>
      </c>
      <c r="AV105" s="230">
        <v>-44.452673618261301</v>
      </c>
      <c r="AW105" s="224"/>
      <c r="AX105" s="224"/>
      <c r="AY105" s="232">
        <v>40</v>
      </c>
      <c r="AZ105" s="232">
        <v>51</v>
      </c>
      <c r="BA105" s="223"/>
      <c r="BB105" s="240">
        <v>108</v>
      </c>
      <c r="BC105" s="236">
        <v>32.958740277906102</v>
      </c>
      <c r="BD105" s="237" t="s">
        <v>56</v>
      </c>
      <c r="BE105" s="238">
        <v>1.0299606336845599</v>
      </c>
      <c r="BF105" s="239">
        <v>-6.5053472365225202</v>
      </c>
      <c r="BG105" s="224">
        <v>1.2999999999999999E-2</v>
      </c>
      <c r="BH105" s="224">
        <v>3.0000000000000001E-3</v>
      </c>
      <c r="BI105" s="232">
        <v>0</v>
      </c>
      <c r="BJ105" s="232">
        <v>18</v>
      </c>
      <c r="BK105" s="225"/>
      <c r="BL105" s="241">
        <v>0.8</v>
      </c>
      <c r="BM105" s="244">
        <v>0.75</v>
      </c>
      <c r="BN105" s="242"/>
      <c r="BO105" s="243">
        <v>0.95</v>
      </c>
      <c r="BP105" s="234">
        <v>1</v>
      </c>
      <c r="BQ105" s="242">
        <v>2.5000000000000001E-3</v>
      </c>
    </row>
    <row r="106" spans="1:69" s="211" customFormat="1" ht="22.35" customHeight="1" x14ac:dyDescent="0.2">
      <c r="A106" s="221" t="s">
        <v>140</v>
      </c>
      <c r="B106" s="221" t="s">
        <v>160</v>
      </c>
      <c r="C106" s="221" t="s">
        <v>165</v>
      </c>
      <c r="D106" s="222">
        <v>2.5224867724444402</v>
      </c>
      <c r="E106" s="223"/>
      <c r="F106" s="224">
        <v>0.01</v>
      </c>
      <c r="G106" s="224">
        <v>0.01</v>
      </c>
      <c r="H106" s="225"/>
      <c r="I106" s="226">
        <v>2</v>
      </c>
      <c r="J106" s="226">
        <v>2</v>
      </c>
      <c r="K106" s="223"/>
      <c r="L106" s="227">
        <v>1082.65724</v>
      </c>
      <c r="M106" s="227">
        <v>350.47545000000002</v>
      </c>
      <c r="N106" s="227">
        <v>1433.1326899999999</v>
      </c>
      <c r="O106" s="222">
        <v>568.14279688420595</v>
      </c>
      <c r="P106" s="228">
        <v>260.82400000000001</v>
      </c>
      <c r="Q106" s="234">
        <v>2.1782611910108201</v>
      </c>
      <c r="R106" s="235">
        <v>714.67849178983499</v>
      </c>
      <c r="S106" s="224">
        <v>0.01</v>
      </c>
      <c r="T106" s="224">
        <v>0.01</v>
      </c>
      <c r="U106" s="231">
        <v>0</v>
      </c>
      <c r="V106" s="232">
        <v>0</v>
      </c>
      <c r="W106" s="223"/>
      <c r="X106" s="231">
        <v>1230.9014299999999</v>
      </c>
      <c r="Y106" s="222">
        <v>487.97141116707701</v>
      </c>
      <c r="Z106" s="233">
        <v>573</v>
      </c>
      <c r="AA106" s="244">
        <v>0.85160804741200102</v>
      </c>
      <c r="AB106" s="227">
        <v>-347.458903306845</v>
      </c>
      <c r="AC106" s="224"/>
      <c r="AD106" s="224"/>
      <c r="AE106" s="232">
        <v>215</v>
      </c>
      <c r="AF106" s="232">
        <v>504</v>
      </c>
      <c r="AG106" s="223"/>
      <c r="AH106" s="236">
        <v>105.7</v>
      </c>
      <c r="AI106" s="222">
        <v>41.903093865412103</v>
      </c>
      <c r="AJ106" s="237" t="s">
        <v>54</v>
      </c>
      <c r="AK106" s="229">
        <v>0.66512847405415998</v>
      </c>
      <c r="AL106" s="230">
        <v>-67.836999997087702</v>
      </c>
      <c r="AM106" s="224"/>
      <c r="AN106" s="224"/>
      <c r="AO106" s="232">
        <v>54</v>
      </c>
      <c r="AP106" s="232">
        <v>85</v>
      </c>
      <c r="AQ106" s="223"/>
      <c r="AR106" s="236">
        <v>3</v>
      </c>
      <c r="AS106" s="222">
        <v>1.1893025695008199</v>
      </c>
      <c r="AT106" s="237" t="s">
        <v>55</v>
      </c>
      <c r="AU106" s="229">
        <v>7.4331410593801203E-2</v>
      </c>
      <c r="AV106" s="230">
        <v>-41.072888888149301</v>
      </c>
      <c r="AW106" s="224"/>
      <c r="AX106" s="224"/>
      <c r="AY106" s="232">
        <v>38</v>
      </c>
      <c r="AZ106" s="232">
        <v>46</v>
      </c>
      <c r="BA106" s="223"/>
      <c r="BB106" s="240">
        <v>36.6</v>
      </c>
      <c r="BC106" s="236">
        <v>14.50949134791</v>
      </c>
      <c r="BD106" s="237" t="s">
        <v>56</v>
      </c>
      <c r="BE106" s="229">
        <v>0.453421604622186</v>
      </c>
      <c r="BF106" s="230">
        <v>-51.5457777762985</v>
      </c>
      <c r="BG106" s="224"/>
      <c r="BH106" s="224"/>
      <c r="BI106" s="232">
        <v>45</v>
      </c>
      <c r="BJ106" s="232">
        <v>61</v>
      </c>
      <c r="BK106" s="225"/>
      <c r="BL106" s="241">
        <v>0.8</v>
      </c>
      <c r="BM106" s="244">
        <v>0.77</v>
      </c>
      <c r="BN106" s="242"/>
      <c r="BO106" s="243">
        <v>0.95</v>
      </c>
      <c r="BP106" s="234">
        <v>1</v>
      </c>
      <c r="BQ106" s="242">
        <v>2.5000000000000001E-3</v>
      </c>
    </row>
    <row r="107" spans="1:69" s="211" customFormat="1" ht="22.35" customHeight="1" x14ac:dyDescent="0.2">
      <c r="A107" s="221" t="s">
        <v>140</v>
      </c>
      <c r="B107" s="221" t="s">
        <v>160</v>
      </c>
      <c r="C107" s="221" t="s">
        <v>166</v>
      </c>
      <c r="D107" s="222">
        <v>5.5385385716666704</v>
      </c>
      <c r="E107" s="223"/>
      <c r="F107" s="224">
        <v>2.3E-2</v>
      </c>
      <c r="G107" s="224">
        <v>1.2E-2</v>
      </c>
      <c r="H107" s="225"/>
      <c r="I107" s="226">
        <v>3</v>
      </c>
      <c r="J107" s="226">
        <v>3</v>
      </c>
      <c r="K107" s="223"/>
      <c r="L107" s="227">
        <v>4064.3967200000002</v>
      </c>
      <c r="M107" s="227">
        <v>-1981.9354599999999</v>
      </c>
      <c r="N107" s="227">
        <v>2082.46126</v>
      </c>
      <c r="O107" s="222">
        <v>375.99472009695501</v>
      </c>
      <c r="P107" s="228">
        <v>236.32499999999999</v>
      </c>
      <c r="Q107" s="234">
        <v>1.5910069611634601</v>
      </c>
      <c r="R107" s="235">
        <v>653.14778027955504</v>
      </c>
      <c r="S107" s="224">
        <v>0.01</v>
      </c>
      <c r="T107" s="224">
        <v>0.01</v>
      </c>
      <c r="U107" s="231">
        <v>0</v>
      </c>
      <c r="V107" s="232">
        <v>0</v>
      </c>
      <c r="W107" s="223"/>
      <c r="X107" s="231">
        <v>2047.1364799999999</v>
      </c>
      <c r="Y107" s="222">
        <v>369.61672352928503</v>
      </c>
      <c r="Z107" s="233">
        <v>573</v>
      </c>
      <c r="AA107" s="229">
        <v>0.64505536392545404</v>
      </c>
      <c r="AB107" s="230">
        <v>-1418.4157209089799</v>
      </c>
      <c r="AC107" s="224"/>
      <c r="AD107" s="224"/>
      <c r="AE107" s="232">
        <v>1127</v>
      </c>
      <c r="AF107" s="232">
        <v>1762</v>
      </c>
      <c r="AG107" s="223"/>
      <c r="AH107" s="236">
        <v>203</v>
      </c>
      <c r="AI107" s="222">
        <v>36.652267989696902</v>
      </c>
      <c r="AJ107" s="237" t="s">
        <v>54</v>
      </c>
      <c r="AK107" s="229">
        <v>0.58178203158249098</v>
      </c>
      <c r="AL107" s="230">
        <v>-178.02929957638</v>
      </c>
      <c r="AM107" s="224"/>
      <c r="AN107" s="224"/>
      <c r="AO107" s="232">
        <v>146</v>
      </c>
      <c r="AP107" s="232">
        <v>216</v>
      </c>
      <c r="AQ107" s="223"/>
      <c r="AR107" s="236">
        <v>36.6</v>
      </c>
      <c r="AS107" s="222">
        <v>6.6082414208025</v>
      </c>
      <c r="AT107" s="237" t="s">
        <v>55</v>
      </c>
      <c r="AU107" s="229">
        <v>0.41301508880015603</v>
      </c>
      <c r="AV107" s="230">
        <v>-60.169345924160098</v>
      </c>
      <c r="AW107" s="224"/>
      <c r="AX107" s="224"/>
      <c r="AY107" s="232">
        <v>53</v>
      </c>
      <c r="AZ107" s="232">
        <v>70</v>
      </c>
      <c r="BA107" s="223"/>
      <c r="BB107" s="240">
        <v>181.6</v>
      </c>
      <c r="BC107" s="236">
        <v>32.788432842014601</v>
      </c>
      <c r="BD107" s="237" t="s">
        <v>56</v>
      </c>
      <c r="BE107" s="238">
        <v>1.02463852631296</v>
      </c>
      <c r="BF107" s="239">
        <v>-11.938691848320101</v>
      </c>
      <c r="BG107" s="224">
        <v>1.2999999999999999E-2</v>
      </c>
      <c r="BH107" s="224">
        <v>2E-3</v>
      </c>
      <c r="BI107" s="232">
        <v>0</v>
      </c>
      <c r="BJ107" s="232">
        <v>32</v>
      </c>
      <c r="BK107" s="225"/>
      <c r="BL107" s="241">
        <v>0.8</v>
      </c>
      <c r="BM107" s="244">
        <v>0.71</v>
      </c>
      <c r="BN107" s="242"/>
      <c r="BO107" s="243">
        <v>0.95</v>
      </c>
      <c r="BP107" s="234">
        <v>1</v>
      </c>
      <c r="BQ107" s="242">
        <v>2.5000000000000001E-3</v>
      </c>
    </row>
    <row r="108" spans="1:69" s="211" customFormat="1" ht="22.35" customHeight="1" x14ac:dyDescent="0.2">
      <c r="A108" s="221" t="s">
        <v>140</v>
      </c>
      <c r="B108" s="221" t="s">
        <v>160</v>
      </c>
      <c r="C108" s="221" t="s">
        <v>167</v>
      </c>
      <c r="D108" s="222">
        <v>4.7470153233333301</v>
      </c>
      <c r="E108" s="223"/>
      <c r="F108" s="224">
        <v>0.02</v>
      </c>
      <c r="G108" s="224">
        <v>1.4999999999999999E-2</v>
      </c>
      <c r="H108" s="225"/>
      <c r="I108" s="226">
        <v>2</v>
      </c>
      <c r="J108" s="226">
        <v>2</v>
      </c>
      <c r="K108" s="223"/>
      <c r="L108" s="227">
        <v>2972.81342</v>
      </c>
      <c r="M108" s="227">
        <v>-2491.7579099999998</v>
      </c>
      <c r="N108" s="227">
        <v>481.05551000000003</v>
      </c>
      <c r="O108" s="222">
        <v>101.338520572166</v>
      </c>
      <c r="P108" s="228">
        <v>287.5</v>
      </c>
      <c r="Q108" s="229">
        <v>0.35248181068579298</v>
      </c>
      <c r="R108" s="230">
        <v>-1009.2699507605</v>
      </c>
      <c r="S108" s="224"/>
      <c r="T108" s="224"/>
      <c r="U108" s="231">
        <v>884</v>
      </c>
      <c r="V108" s="232">
        <v>1157</v>
      </c>
      <c r="W108" s="223"/>
      <c r="X108" s="231">
        <v>1982.4209900000001</v>
      </c>
      <c r="Y108" s="222">
        <v>417.614196494304</v>
      </c>
      <c r="Z108" s="233">
        <v>573</v>
      </c>
      <c r="AA108" s="244">
        <v>0.72882058725009502</v>
      </c>
      <c r="AB108" s="227">
        <v>-987.86245005483795</v>
      </c>
      <c r="AC108" s="224"/>
      <c r="AD108" s="224"/>
      <c r="AE108" s="232">
        <v>738</v>
      </c>
      <c r="AF108" s="232">
        <v>1282</v>
      </c>
      <c r="AG108" s="223"/>
      <c r="AH108" s="236">
        <v>205.3</v>
      </c>
      <c r="AI108" s="222">
        <v>43.248227784493302</v>
      </c>
      <c r="AJ108" s="237" t="s">
        <v>54</v>
      </c>
      <c r="AK108" s="229">
        <v>0.68647980610306802</v>
      </c>
      <c r="AL108" s="230">
        <v>-121.27566618404001</v>
      </c>
      <c r="AM108" s="224"/>
      <c r="AN108" s="224"/>
      <c r="AO108" s="232">
        <v>94</v>
      </c>
      <c r="AP108" s="232">
        <v>154</v>
      </c>
      <c r="AQ108" s="223"/>
      <c r="AR108" s="236">
        <v>38.700000000000003</v>
      </c>
      <c r="AS108" s="222">
        <v>8.1524910631265897</v>
      </c>
      <c r="AT108" s="237" t="s">
        <v>55</v>
      </c>
      <c r="AU108" s="229">
        <v>0.50953069144541197</v>
      </c>
      <c r="AV108" s="230">
        <v>-44.239851729279998</v>
      </c>
      <c r="AW108" s="224"/>
      <c r="AX108" s="224"/>
      <c r="AY108" s="232">
        <v>38</v>
      </c>
      <c r="AZ108" s="232">
        <v>53</v>
      </c>
      <c r="BA108" s="223"/>
      <c r="BB108" s="240">
        <v>174.8</v>
      </c>
      <c r="BC108" s="236">
        <v>36.823137928540802</v>
      </c>
      <c r="BD108" s="237" t="s">
        <v>56</v>
      </c>
      <c r="BE108" s="234">
        <v>1.1507230602669001</v>
      </c>
      <c r="BF108" s="235">
        <v>8.9202965414401092</v>
      </c>
      <c r="BG108" s="224">
        <v>0.02</v>
      </c>
      <c r="BH108" s="224">
        <v>1.4999999999999999E-2</v>
      </c>
      <c r="BI108" s="232">
        <v>0</v>
      </c>
      <c r="BJ108" s="232">
        <v>8</v>
      </c>
      <c r="BK108" s="225"/>
      <c r="BL108" s="241">
        <v>0.8</v>
      </c>
      <c r="BM108" s="229">
        <v>0.64</v>
      </c>
      <c r="BN108" s="242"/>
      <c r="BO108" s="243">
        <v>0.95</v>
      </c>
      <c r="BP108" s="234">
        <v>1</v>
      </c>
      <c r="BQ108" s="242">
        <v>2.5000000000000001E-3</v>
      </c>
    </row>
    <row r="109" spans="1:69" s="211" customFormat="1" ht="22.35" customHeight="1" x14ac:dyDescent="0.2">
      <c r="A109" s="221" t="s">
        <v>140</v>
      </c>
      <c r="B109" s="221" t="s">
        <v>160</v>
      </c>
      <c r="C109" s="221" t="s">
        <v>168</v>
      </c>
      <c r="D109" s="222">
        <v>5.8254724778888898</v>
      </c>
      <c r="E109" s="223"/>
      <c r="F109" s="224"/>
      <c r="G109" s="224"/>
      <c r="H109" s="225"/>
      <c r="I109" s="226">
        <v>1</v>
      </c>
      <c r="J109" s="226">
        <v>1</v>
      </c>
      <c r="K109" s="223"/>
      <c r="L109" s="227">
        <v>1640.1132500000001</v>
      </c>
      <c r="M109" s="227">
        <v>-998.47879999999998</v>
      </c>
      <c r="N109" s="227">
        <v>641.63445000000002</v>
      </c>
      <c r="O109" s="222">
        <v>110.14290298948001</v>
      </c>
      <c r="P109" s="228">
        <v>236.41900000000001</v>
      </c>
      <c r="Q109" s="229">
        <v>0.46588008150563098</v>
      </c>
      <c r="R109" s="230">
        <v>-862.32514650301403</v>
      </c>
      <c r="S109" s="224"/>
      <c r="T109" s="224"/>
      <c r="U109" s="231">
        <v>736</v>
      </c>
      <c r="V109" s="232">
        <v>1012</v>
      </c>
      <c r="W109" s="223"/>
      <c r="X109" s="231">
        <v>2746.7004400000001</v>
      </c>
      <c r="Y109" s="222">
        <v>471.49831201251902</v>
      </c>
      <c r="Z109" s="233">
        <v>573</v>
      </c>
      <c r="AA109" s="244">
        <v>0.82285918326792196</v>
      </c>
      <c r="AB109" s="227">
        <v>-898.390896974724</v>
      </c>
      <c r="AC109" s="224"/>
      <c r="AD109" s="224"/>
      <c r="AE109" s="232">
        <v>592</v>
      </c>
      <c r="AF109" s="232">
        <v>1259</v>
      </c>
      <c r="AG109" s="223"/>
      <c r="AH109" s="236">
        <v>268.5</v>
      </c>
      <c r="AI109" s="222">
        <v>46.090682089584398</v>
      </c>
      <c r="AJ109" s="237" t="s">
        <v>54</v>
      </c>
      <c r="AK109" s="244">
        <v>0.73159812840610094</v>
      </c>
      <c r="AL109" s="227">
        <v>-132.26920458884399</v>
      </c>
      <c r="AM109" s="224"/>
      <c r="AN109" s="224"/>
      <c r="AO109" s="232">
        <v>99</v>
      </c>
      <c r="AP109" s="232">
        <v>172</v>
      </c>
      <c r="AQ109" s="223"/>
      <c r="AR109" s="236">
        <v>19.399999999999999</v>
      </c>
      <c r="AS109" s="222">
        <v>3.3302019833815102</v>
      </c>
      <c r="AT109" s="237" t="s">
        <v>55</v>
      </c>
      <c r="AU109" s="229">
        <v>0.208137623961344</v>
      </c>
      <c r="AV109" s="230">
        <v>-82.382655133674703</v>
      </c>
      <c r="AW109" s="224"/>
      <c r="AX109" s="224"/>
      <c r="AY109" s="232">
        <v>74</v>
      </c>
      <c r="AZ109" s="232">
        <v>93</v>
      </c>
      <c r="BA109" s="223"/>
      <c r="BB109" s="240">
        <v>164.4</v>
      </c>
      <c r="BC109" s="236">
        <v>28.220886910717599</v>
      </c>
      <c r="BD109" s="237" t="s">
        <v>56</v>
      </c>
      <c r="BE109" s="244">
        <v>0.88190271595992398</v>
      </c>
      <c r="BF109" s="227">
        <v>-39.165310267349398</v>
      </c>
      <c r="BG109" s="224"/>
      <c r="BH109" s="224"/>
      <c r="BI109" s="232">
        <v>23</v>
      </c>
      <c r="BJ109" s="232">
        <v>60</v>
      </c>
      <c r="BK109" s="225"/>
      <c r="BL109" s="241">
        <v>0.8</v>
      </c>
      <c r="BM109" s="229">
        <v>0.63</v>
      </c>
      <c r="BN109" s="242"/>
      <c r="BO109" s="243">
        <v>0.95</v>
      </c>
      <c r="BP109" s="234">
        <v>1</v>
      </c>
      <c r="BQ109" s="242">
        <v>2.5000000000000001E-3</v>
      </c>
    </row>
    <row r="110" spans="1:69" s="211" customFormat="1" ht="22.35" customHeight="1" x14ac:dyDescent="0.2">
      <c r="A110" s="221" t="s">
        <v>140</v>
      </c>
      <c r="B110" s="221" t="s">
        <v>160</v>
      </c>
      <c r="C110" s="221" t="s">
        <v>169</v>
      </c>
      <c r="D110" s="222">
        <v>2.9978898042222202</v>
      </c>
      <c r="E110" s="223"/>
      <c r="F110" s="224">
        <v>4.2999999999999997E-2</v>
      </c>
      <c r="G110" s="224">
        <v>2.1000000000000001E-2</v>
      </c>
      <c r="H110" s="225"/>
      <c r="I110" s="226">
        <v>4</v>
      </c>
      <c r="J110" s="226">
        <v>4</v>
      </c>
      <c r="K110" s="223"/>
      <c r="L110" s="227">
        <v>1634.88858</v>
      </c>
      <c r="M110" s="227">
        <v>-646.99815999999998</v>
      </c>
      <c r="N110" s="227">
        <v>987.89041999999995</v>
      </c>
      <c r="O110" s="222">
        <v>329.52859661774698</v>
      </c>
      <c r="P110" s="228">
        <v>244.03100000000001</v>
      </c>
      <c r="Q110" s="234">
        <v>1.3503554737625401</v>
      </c>
      <c r="R110" s="235">
        <v>189.00719287894501</v>
      </c>
      <c r="S110" s="224">
        <v>0.01</v>
      </c>
      <c r="T110" s="224">
        <v>0.01</v>
      </c>
      <c r="U110" s="231">
        <v>0</v>
      </c>
      <c r="V110" s="232">
        <v>0</v>
      </c>
      <c r="W110" s="223"/>
      <c r="X110" s="231">
        <v>1842.1607200000001</v>
      </c>
      <c r="Y110" s="222">
        <v>614.48580178147404</v>
      </c>
      <c r="Z110" s="233">
        <v>573</v>
      </c>
      <c r="AA110" s="238">
        <v>1.0724010502294501</v>
      </c>
      <c r="AB110" s="239">
        <v>-33.666896738710399</v>
      </c>
      <c r="AC110" s="224">
        <v>1.7999999999999999E-2</v>
      </c>
      <c r="AD110" s="224">
        <v>7.0000000000000001E-3</v>
      </c>
      <c r="AE110" s="232">
        <v>0</v>
      </c>
      <c r="AF110" s="232">
        <v>220</v>
      </c>
      <c r="AG110" s="223"/>
      <c r="AH110" s="236">
        <v>123.35</v>
      </c>
      <c r="AI110" s="222">
        <v>41.145608429727503</v>
      </c>
      <c r="AJ110" s="237" t="s">
        <v>54</v>
      </c>
      <c r="AK110" s="229">
        <v>0.65310489570996</v>
      </c>
      <c r="AL110" s="230">
        <v>-82.892826971271802</v>
      </c>
      <c r="AM110" s="224"/>
      <c r="AN110" s="224"/>
      <c r="AO110" s="232">
        <v>66</v>
      </c>
      <c r="AP110" s="232">
        <v>104</v>
      </c>
      <c r="AQ110" s="223"/>
      <c r="AR110" s="236">
        <v>6.8</v>
      </c>
      <c r="AS110" s="222">
        <v>2.2682621590769898</v>
      </c>
      <c r="AT110" s="237" t="s">
        <v>55</v>
      </c>
      <c r="AU110" s="229">
        <v>0.141766384942312</v>
      </c>
      <c r="AV110" s="230">
        <v>-45.579130659370598</v>
      </c>
      <c r="AW110" s="224"/>
      <c r="AX110" s="224"/>
      <c r="AY110" s="232">
        <v>42</v>
      </c>
      <c r="AZ110" s="232">
        <v>51</v>
      </c>
      <c r="BA110" s="223"/>
      <c r="BB110" s="240">
        <v>100.2</v>
      </c>
      <c r="BC110" s="236">
        <v>33.423510049928602</v>
      </c>
      <c r="BD110" s="237" t="s">
        <v>56</v>
      </c>
      <c r="BE110" s="238">
        <v>1.0444846890602699</v>
      </c>
      <c r="BF110" s="239">
        <v>-4.5582613187412404</v>
      </c>
      <c r="BG110" s="224">
        <v>1.4999999999999999E-2</v>
      </c>
      <c r="BH110" s="224">
        <v>4.0000000000000001E-3</v>
      </c>
      <c r="BI110" s="232">
        <v>0</v>
      </c>
      <c r="BJ110" s="232">
        <v>15</v>
      </c>
      <c r="BK110" s="225"/>
      <c r="BL110" s="241">
        <v>0.8</v>
      </c>
      <c r="BM110" s="244">
        <v>0.72</v>
      </c>
      <c r="BN110" s="242"/>
      <c r="BO110" s="243">
        <v>0.95</v>
      </c>
      <c r="BP110" s="234">
        <v>1</v>
      </c>
      <c r="BQ110" s="242">
        <v>2.5000000000000001E-3</v>
      </c>
    </row>
    <row r="111" spans="1:69" s="211" customFormat="1" ht="22.35" customHeight="1" x14ac:dyDescent="0.2">
      <c r="A111" s="221" t="s">
        <v>140</v>
      </c>
      <c r="B111" s="221" t="s">
        <v>160</v>
      </c>
      <c r="C111" s="221" t="s">
        <v>170</v>
      </c>
      <c r="D111" s="222">
        <v>3.5180638414444401</v>
      </c>
      <c r="E111" s="223"/>
      <c r="F111" s="224">
        <v>2.7E-2</v>
      </c>
      <c r="G111" s="224">
        <v>1.7000000000000001E-2</v>
      </c>
      <c r="H111" s="225"/>
      <c r="I111" s="226">
        <v>3</v>
      </c>
      <c r="J111" s="226">
        <v>3</v>
      </c>
      <c r="K111" s="223"/>
      <c r="L111" s="227">
        <v>3068.3685300000002</v>
      </c>
      <c r="M111" s="227">
        <v>739.7577</v>
      </c>
      <c r="N111" s="227">
        <v>3808.1262299999999</v>
      </c>
      <c r="O111" s="222">
        <v>1082.44943856291</v>
      </c>
      <c r="P111" s="228">
        <v>287.5</v>
      </c>
      <c r="Q111" s="234">
        <v>3.7650415254362102</v>
      </c>
      <c r="R111" s="235">
        <v>2703.63008697852</v>
      </c>
      <c r="S111" s="224">
        <v>0.01</v>
      </c>
      <c r="T111" s="224">
        <v>0.01</v>
      </c>
      <c r="U111" s="231">
        <v>0</v>
      </c>
      <c r="V111" s="232">
        <v>0</v>
      </c>
      <c r="W111" s="223"/>
      <c r="X111" s="231">
        <v>1642.1595199999999</v>
      </c>
      <c r="Y111" s="222">
        <v>466.77934057210399</v>
      </c>
      <c r="Z111" s="233">
        <v>573</v>
      </c>
      <c r="AA111" s="244">
        <v>0.81462363101588797</v>
      </c>
      <c r="AB111" s="227">
        <v>-559.14931461324898</v>
      </c>
      <c r="AC111" s="224"/>
      <c r="AD111" s="224"/>
      <c r="AE111" s="232">
        <v>374</v>
      </c>
      <c r="AF111" s="232">
        <v>777</v>
      </c>
      <c r="AG111" s="223"/>
      <c r="AH111" s="236">
        <v>162</v>
      </c>
      <c r="AI111" s="222">
        <v>46.0480557776024</v>
      </c>
      <c r="AJ111" s="237" t="s">
        <v>54</v>
      </c>
      <c r="AK111" s="244">
        <v>0.73092152027940305</v>
      </c>
      <c r="AL111" s="227">
        <v>-80.028720036011705</v>
      </c>
      <c r="AM111" s="224"/>
      <c r="AN111" s="224"/>
      <c r="AO111" s="232">
        <v>60</v>
      </c>
      <c r="AP111" s="232">
        <v>104</v>
      </c>
      <c r="AQ111" s="223"/>
      <c r="AR111" s="236">
        <v>39.700000000000003</v>
      </c>
      <c r="AS111" s="222">
        <v>11.284616138091399</v>
      </c>
      <c r="AT111" s="237" t="s">
        <v>55</v>
      </c>
      <c r="AU111" s="229">
        <v>0.70528850863071602</v>
      </c>
      <c r="AV111" s="230">
        <v>-21.7676114377172</v>
      </c>
      <c r="AW111" s="224"/>
      <c r="AX111" s="224"/>
      <c r="AY111" s="232">
        <v>17</v>
      </c>
      <c r="AZ111" s="232">
        <v>28</v>
      </c>
      <c r="BA111" s="223"/>
      <c r="BB111" s="240">
        <v>120</v>
      </c>
      <c r="BC111" s="236">
        <v>34.109670946372198</v>
      </c>
      <c r="BD111" s="237" t="s">
        <v>56</v>
      </c>
      <c r="BE111" s="238">
        <v>1.0659272170741301</v>
      </c>
      <c r="BF111" s="239">
        <v>-2.9352228754345</v>
      </c>
      <c r="BG111" s="224">
        <v>1.7000000000000001E-2</v>
      </c>
      <c r="BH111" s="224">
        <v>7.0000000000000001E-3</v>
      </c>
      <c r="BI111" s="232">
        <v>0</v>
      </c>
      <c r="BJ111" s="232">
        <v>16</v>
      </c>
      <c r="BK111" s="225"/>
      <c r="BL111" s="241">
        <v>0.8</v>
      </c>
      <c r="BM111" s="244">
        <v>0.76</v>
      </c>
      <c r="BN111" s="242"/>
      <c r="BO111" s="243">
        <v>0.95</v>
      </c>
      <c r="BP111" s="234">
        <v>1</v>
      </c>
      <c r="BQ111" s="242">
        <v>2.5000000000000001E-3</v>
      </c>
    </row>
    <row r="112" spans="1:69" s="211" customFormat="1" ht="22.35" customHeight="1" x14ac:dyDescent="0.2">
      <c r="A112" s="221" t="s">
        <v>140</v>
      </c>
      <c r="B112" s="221" t="s">
        <v>160</v>
      </c>
      <c r="C112" s="221" t="s">
        <v>171</v>
      </c>
      <c r="D112" s="222">
        <v>3.33057645111111</v>
      </c>
      <c r="E112" s="223"/>
      <c r="F112" s="224">
        <v>1.2E-2</v>
      </c>
      <c r="G112" s="224">
        <v>0.01</v>
      </c>
      <c r="H112" s="225"/>
      <c r="I112" s="226">
        <v>3</v>
      </c>
      <c r="J112" s="226">
        <v>2</v>
      </c>
      <c r="K112" s="223"/>
      <c r="L112" s="227">
        <v>1574.85041</v>
      </c>
      <c r="M112" s="227">
        <v>1230.3034700000001</v>
      </c>
      <c r="N112" s="227">
        <v>2805.1538799999998</v>
      </c>
      <c r="O112" s="222">
        <v>842.24275322194603</v>
      </c>
      <c r="P112" s="228">
        <v>287.5</v>
      </c>
      <c r="Q112" s="234">
        <v>2.92954001120677</v>
      </c>
      <c r="R112" s="235">
        <v>1759.5194031736701</v>
      </c>
      <c r="S112" s="224">
        <v>0.01</v>
      </c>
      <c r="T112" s="224">
        <v>0.01</v>
      </c>
      <c r="U112" s="231">
        <v>0</v>
      </c>
      <c r="V112" s="232">
        <v>0</v>
      </c>
      <c r="W112" s="223"/>
      <c r="X112" s="231">
        <v>1629.476015</v>
      </c>
      <c r="Y112" s="222">
        <v>489.24744377400202</v>
      </c>
      <c r="Z112" s="233">
        <v>573</v>
      </c>
      <c r="AA112" s="244">
        <v>0.85383498040838102</v>
      </c>
      <c r="AB112" s="227">
        <v>-454.51895968343899</v>
      </c>
      <c r="AC112" s="224"/>
      <c r="AD112" s="224"/>
      <c r="AE112" s="232">
        <v>279</v>
      </c>
      <c r="AF112" s="232">
        <v>661</v>
      </c>
      <c r="AG112" s="223"/>
      <c r="AH112" s="236">
        <v>84.5</v>
      </c>
      <c r="AI112" s="222">
        <v>25.370983443965098</v>
      </c>
      <c r="AJ112" s="237" t="s">
        <v>54</v>
      </c>
      <c r="AK112" s="229">
        <v>0.40271402292008102</v>
      </c>
      <c r="AL112" s="230">
        <v>-144.63033753063999</v>
      </c>
      <c r="AM112" s="224"/>
      <c r="AN112" s="224"/>
      <c r="AO112" s="232">
        <v>126</v>
      </c>
      <c r="AP112" s="232">
        <v>168</v>
      </c>
      <c r="AQ112" s="223"/>
      <c r="AR112" s="236">
        <v>14.6</v>
      </c>
      <c r="AS112" s="222">
        <v>4.3836255417975201</v>
      </c>
      <c r="AT112" s="237" t="s">
        <v>55</v>
      </c>
      <c r="AU112" s="229">
        <v>0.273976596362345</v>
      </c>
      <c r="AV112" s="230">
        <v>-43.591831753813302</v>
      </c>
      <c r="AW112" s="224"/>
      <c r="AX112" s="224"/>
      <c r="AY112" s="232">
        <v>39</v>
      </c>
      <c r="AZ112" s="232">
        <v>50</v>
      </c>
      <c r="BA112" s="223"/>
      <c r="BB112" s="240">
        <v>98.8</v>
      </c>
      <c r="BC112" s="236">
        <v>29.6645344883284</v>
      </c>
      <c r="BD112" s="237" t="s">
        <v>56</v>
      </c>
      <c r="BE112" s="238">
        <v>0.92701670276026304</v>
      </c>
      <c r="BF112" s="239">
        <v>-17.5836635076266</v>
      </c>
      <c r="BG112" s="224">
        <v>2E-3</v>
      </c>
      <c r="BH112" s="224"/>
      <c r="BI112" s="232">
        <v>8</v>
      </c>
      <c r="BJ112" s="232">
        <v>30</v>
      </c>
      <c r="BK112" s="225"/>
      <c r="BL112" s="241">
        <v>0.8</v>
      </c>
      <c r="BM112" s="244">
        <v>0.74</v>
      </c>
      <c r="BN112" s="242"/>
      <c r="BO112" s="243">
        <v>0.95</v>
      </c>
      <c r="BP112" s="234">
        <v>1</v>
      </c>
      <c r="BQ112" s="242">
        <v>2.5000000000000001E-3</v>
      </c>
    </row>
    <row r="113" spans="1:69" s="211" customFormat="1" ht="22.35" customHeight="1" x14ac:dyDescent="0.2">
      <c r="A113" s="221" t="s">
        <v>140</v>
      </c>
      <c r="B113" s="221" t="s">
        <v>160</v>
      </c>
      <c r="C113" s="221" t="s">
        <v>172</v>
      </c>
      <c r="D113" s="222">
        <v>7.6444229506666703</v>
      </c>
      <c r="E113" s="223"/>
      <c r="F113" s="224">
        <v>0.01</v>
      </c>
      <c r="G113" s="224">
        <v>0.01</v>
      </c>
      <c r="H113" s="225"/>
      <c r="I113" s="226">
        <v>2</v>
      </c>
      <c r="J113" s="226">
        <v>2</v>
      </c>
      <c r="K113" s="223"/>
      <c r="L113" s="227">
        <v>5615.4095900000002</v>
      </c>
      <c r="M113" s="227">
        <v>-5.8896699999999997</v>
      </c>
      <c r="N113" s="227">
        <v>5609.5199199999997</v>
      </c>
      <c r="O113" s="222">
        <v>733.80554113777805</v>
      </c>
      <c r="P113" s="228">
        <v>287.5</v>
      </c>
      <c r="Q113" s="234">
        <v>2.5523670996096599</v>
      </c>
      <c r="R113" s="235">
        <v>3209.5533346381999</v>
      </c>
      <c r="S113" s="224">
        <v>0.01</v>
      </c>
      <c r="T113" s="224">
        <v>0.01</v>
      </c>
      <c r="U113" s="231">
        <v>0</v>
      </c>
      <c r="V113" s="232">
        <v>0</v>
      </c>
      <c r="W113" s="223"/>
      <c r="X113" s="231">
        <v>3948.5381200000002</v>
      </c>
      <c r="Y113" s="222">
        <v>516.52533428381901</v>
      </c>
      <c r="Z113" s="233">
        <v>573</v>
      </c>
      <c r="AA113" s="244">
        <v>0.90144037396827104</v>
      </c>
      <c r="AB113" s="227">
        <v>-834.69963099934603</v>
      </c>
      <c r="AC113" s="224"/>
      <c r="AD113" s="224"/>
      <c r="AE113" s="232">
        <v>432</v>
      </c>
      <c r="AF113" s="232">
        <v>1308</v>
      </c>
      <c r="AG113" s="223"/>
      <c r="AH113" s="236">
        <v>334.55</v>
      </c>
      <c r="AI113" s="222">
        <v>43.763931189969597</v>
      </c>
      <c r="AJ113" s="237" t="s">
        <v>54</v>
      </c>
      <c r="AK113" s="229">
        <v>0.69466557444396104</v>
      </c>
      <c r="AL113" s="230">
        <v>-191.355721314064</v>
      </c>
      <c r="AM113" s="224"/>
      <c r="AN113" s="224"/>
      <c r="AO113" s="232">
        <v>148</v>
      </c>
      <c r="AP113" s="232">
        <v>244</v>
      </c>
      <c r="AQ113" s="223"/>
      <c r="AR113" s="236">
        <v>29.8</v>
      </c>
      <c r="AS113" s="222">
        <v>3.89826677465578</v>
      </c>
      <c r="AT113" s="237" t="s">
        <v>55</v>
      </c>
      <c r="AU113" s="229">
        <v>0.243641673415986</v>
      </c>
      <c r="AV113" s="230">
        <v>-103.76335779404801</v>
      </c>
      <c r="AW113" s="224"/>
      <c r="AX113" s="224"/>
      <c r="AY113" s="232">
        <v>93</v>
      </c>
      <c r="AZ113" s="232">
        <v>117</v>
      </c>
      <c r="BA113" s="223"/>
      <c r="BB113" s="240">
        <v>204.4</v>
      </c>
      <c r="BC113" s="236">
        <v>26.738447273142299</v>
      </c>
      <c r="BD113" s="237" t="s">
        <v>56</v>
      </c>
      <c r="BE113" s="244">
        <v>0.83557647728569795</v>
      </c>
      <c r="BF113" s="227">
        <v>-62.726715588096098</v>
      </c>
      <c r="BG113" s="224"/>
      <c r="BH113" s="224"/>
      <c r="BI113" s="232">
        <v>41</v>
      </c>
      <c r="BJ113" s="232">
        <v>90</v>
      </c>
      <c r="BK113" s="225"/>
      <c r="BL113" s="241">
        <v>0.8</v>
      </c>
      <c r="BM113" s="244">
        <v>0.7</v>
      </c>
      <c r="BN113" s="242"/>
      <c r="BO113" s="243">
        <v>0.95</v>
      </c>
      <c r="BP113" s="234">
        <v>1</v>
      </c>
      <c r="BQ113" s="242">
        <v>2.5000000000000001E-3</v>
      </c>
    </row>
    <row r="114" spans="1:69" s="211" customFormat="1" ht="22.35" customHeight="1" x14ac:dyDescent="0.2">
      <c r="A114" s="221" t="s">
        <v>140</v>
      </c>
      <c r="B114" s="221" t="s">
        <v>160</v>
      </c>
      <c r="C114" s="221" t="s">
        <v>173</v>
      </c>
      <c r="D114" s="222">
        <v>6.0447914316666704</v>
      </c>
      <c r="E114" s="223"/>
      <c r="F114" s="224">
        <v>3.7999999999999999E-2</v>
      </c>
      <c r="G114" s="224">
        <v>2.1999999999999999E-2</v>
      </c>
      <c r="H114" s="225"/>
      <c r="I114" s="226">
        <v>4</v>
      </c>
      <c r="J114" s="226">
        <v>3</v>
      </c>
      <c r="K114" s="223"/>
      <c r="L114" s="227">
        <v>4315.5343599999997</v>
      </c>
      <c r="M114" s="227">
        <v>-581.60509000000002</v>
      </c>
      <c r="N114" s="227">
        <v>3733.9292700000001</v>
      </c>
      <c r="O114" s="222">
        <v>617.71019103143499</v>
      </c>
      <c r="P114" s="228">
        <v>260.82400000000001</v>
      </c>
      <c r="Q114" s="234">
        <v>2.3683027291638599</v>
      </c>
      <c r="R114" s="235">
        <v>2012.2529350326499</v>
      </c>
      <c r="S114" s="224">
        <v>0.01</v>
      </c>
      <c r="T114" s="224">
        <v>0.01</v>
      </c>
      <c r="U114" s="231">
        <v>0</v>
      </c>
      <c r="V114" s="232">
        <v>0</v>
      </c>
      <c r="W114" s="223"/>
      <c r="X114" s="231">
        <v>3867.3527250000002</v>
      </c>
      <c r="Y114" s="222">
        <v>639.78265730397504</v>
      </c>
      <c r="Z114" s="233">
        <v>573</v>
      </c>
      <c r="AA114" s="234">
        <v>1.1165491401465499</v>
      </c>
      <c r="AB114" s="235">
        <v>85.030009543258501</v>
      </c>
      <c r="AC114" s="224">
        <v>0.02</v>
      </c>
      <c r="AD114" s="224">
        <v>1.2E-2</v>
      </c>
      <c r="AE114" s="232">
        <v>0</v>
      </c>
      <c r="AF114" s="232">
        <v>290</v>
      </c>
      <c r="AG114" s="223"/>
      <c r="AH114" s="236">
        <v>225.1</v>
      </c>
      <c r="AI114" s="222">
        <v>37.238671101334504</v>
      </c>
      <c r="AJ114" s="237" t="s">
        <v>54</v>
      </c>
      <c r="AK114" s="229">
        <v>0.59109001748150003</v>
      </c>
      <c r="AL114" s="230">
        <v>-190.75747133294001</v>
      </c>
      <c r="AM114" s="224"/>
      <c r="AN114" s="224"/>
      <c r="AO114" s="232">
        <v>156</v>
      </c>
      <c r="AP114" s="232">
        <v>232</v>
      </c>
      <c r="AQ114" s="223"/>
      <c r="AR114" s="236">
        <v>35.799999999999997</v>
      </c>
      <c r="AS114" s="222">
        <v>5.9224541333974896</v>
      </c>
      <c r="AT114" s="237" t="s">
        <v>55</v>
      </c>
      <c r="AU114" s="229">
        <v>0.37015338333734299</v>
      </c>
      <c r="AV114" s="230">
        <v>-69.81459589408</v>
      </c>
      <c r="AW114" s="224"/>
      <c r="AX114" s="224"/>
      <c r="AY114" s="232">
        <v>61</v>
      </c>
      <c r="AZ114" s="232">
        <v>81</v>
      </c>
      <c r="BA114" s="223"/>
      <c r="BB114" s="240">
        <v>190.2</v>
      </c>
      <c r="BC114" s="236">
        <v>31.465105479670498</v>
      </c>
      <c r="BD114" s="237" t="s">
        <v>56</v>
      </c>
      <c r="BE114" s="238">
        <v>0.98328454623970196</v>
      </c>
      <c r="BF114" s="239">
        <v>-21.029191788160102</v>
      </c>
      <c r="BG114" s="224">
        <v>8.0000000000000002E-3</v>
      </c>
      <c r="BH114" s="224"/>
      <c r="BI114" s="232">
        <v>4</v>
      </c>
      <c r="BJ114" s="232">
        <v>42</v>
      </c>
      <c r="BK114" s="225"/>
      <c r="BL114" s="241">
        <v>0.8</v>
      </c>
      <c r="BM114" s="244">
        <v>0.72</v>
      </c>
      <c r="BN114" s="242"/>
      <c r="BO114" s="243">
        <v>0.95</v>
      </c>
      <c r="BP114" s="234">
        <v>1</v>
      </c>
      <c r="BQ114" s="242">
        <v>2.5000000000000001E-3</v>
      </c>
    </row>
    <row r="115" spans="1:69" s="211" customFormat="1" ht="22.35" customHeight="1" x14ac:dyDescent="0.2">
      <c r="A115" s="221" t="s">
        <v>140</v>
      </c>
      <c r="B115" s="221" t="s">
        <v>160</v>
      </c>
      <c r="C115" s="221" t="s">
        <v>174</v>
      </c>
      <c r="D115" s="222">
        <v>4.01034421888889</v>
      </c>
      <c r="E115" s="223"/>
      <c r="F115" s="224">
        <v>4.4999999999999998E-2</v>
      </c>
      <c r="G115" s="224">
        <v>0.03</v>
      </c>
      <c r="H115" s="225"/>
      <c r="I115" s="226">
        <v>5</v>
      </c>
      <c r="J115" s="226">
        <v>3</v>
      </c>
      <c r="K115" s="223"/>
      <c r="L115" s="227">
        <v>2431.8145300000001</v>
      </c>
      <c r="M115" s="227">
        <v>320.87880000000001</v>
      </c>
      <c r="N115" s="227">
        <v>2752.6933300000001</v>
      </c>
      <c r="O115" s="222">
        <v>686.39826901508798</v>
      </c>
      <c r="P115" s="228">
        <v>234.23500000000001</v>
      </c>
      <c r="Q115" s="234">
        <v>2.9303830299275901</v>
      </c>
      <c r="R115" s="235">
        <v>1726.90895790231</v>
      </c>
      <c r="S115" s="224">
        <v>0.01</v>
      </c>
      <c r="T115" s="224">
        <v>0.01</v>
      </c>
      <c r="U115" s="231">
        <v>0</v>
      </c>
      <c r="V115" s="232">
        <v>0</v>
      </c>
      <c r="W115" s="223"/>
      <c r="X115" s="231">
        <v>3311.2177849999998</v>
      </c>
      <c r="Y115" s="222">
        <v>825.669220463427</v>
      </c>
      <c r="Z115" s="233">
        <v>573</v>
      </c>
      <c r="AA115" s="234">
        <v>1.44095849993617</v>
      </c>
      <c r="AB115" s="235">
        <v>801.88124173371898</v>
      </c>
      <c r="AC115" s="224">
        <v>0.02</v>
      </c>
      <c r="AD115" s="224">
        <v>0.02</v>
      </c>
      <c r="AE115" s="232">
        <v>0</v>
      </c>
      <c r="AF115" s="232">
        <v>0</v>
      </c>
      <c r="AG115" s="223"/>
      <c r="AH115" s="236">
        <v>246.3</v>
      </c>
      <c r="AI115" s="222">
        <v>61.416174412140698</v>
      </c>
      <c r="AJ115" s="237" t="s">
        <v>54</v>
      </c>
      <c r="AK115" s="238">
        <v>0.97485991130381999</v>
      </c>
      <c r="AL115" s="239">
        <v>-29.595640882680101</v>
      </c>
      <c r="AM115" s="224">
        <v>7.0000000000000001E-3</v>
      </c>
      <c r="AN115" s="224"/>
      <c r="AO115" s="232">
        <v>7</v>
      </c>
      <c r="AP115" s="232">
        <v>57</v>
      </c>
      <c r="AQ115" s="223"/>
      <c r="AR115" s="236">
        <v>27.8</v>
      </c>
      <c r="AS115" s="222">
        <v>6.9320732791616297</v>
      </c>
      <c r="AT115" s="237" t="s">
        <v>55</v>
      </c>
      <c r="AU115" s="229">
        <v>0.43325457994760203</v>
      </c>
      <c r="AV115" s="230">
        <v>-42.268734192426699</v>
      </c>
      <c r="AW115" s="224"/>
      <c r="AX115" s="224"/>
      <c r="AY115" s="232">
        <v>37</v>
      </c>
      <c r="AZ115" s="232">
        <v>50</v>
      </c>
      <c r="BA115" s="223"/>
      <c r="BB115" s="240">
        <v>126.4</v>
      </c>
      <c r="BC115" s="236">
        <v>31.518491456332001</v>
      </c>
      <c r="BD115" s="237" t="s">
        <v>56</v>
      </c>
      <c r="BE115" s="238">
        <v>0.98495285801037602</v>
      </c>
      <c r="BF115" s="239">
        <v>-13.7374683848534</v>
      </c>
      <c r="BG115" s="224">
        <v>8.0000000000000002E-3</v>
      </c>
      <c r="BH115" s="224"/>
      <c r="BI115" s="232">
        <v>2</v>
      </c>
      <c r="BJ115" s="232">
        <v>28</v>
      </c>
      <c r="BK115" s="225"/>
      <c r="BL115" s="241">
        <v>0.8</v>
      </c>
      <c r="BM115" s="244">
        <v>0.74</v>
      </c>
      <c r="BN115" s="242"/>
      <c r="BO115" s="243">
        <v>0.95</v>
      </c>
      <c r="BP115" s="234">
        <v>1</v>
      </c>
      <c r="BQ115" s="242">
        <v>2.5000000000000001E-3</v>
      </c>
    </row>
    <row r="116" spans="1:69" s="211" customFormat="1" ht="22.35" customHeight="1" x14ac:dyDescent="0.2">
      <c r="A116" s="221" t="s">
        <v>140</v>
      </c>
      <c r="B116" s="221" t="s">
        <v>160</v>
      </c>
      <c r="C116" s="221" t="s">
        <v>175</v>
      </c>
      <c r="D116" s="222">
        <v>2.3561526822222199</v>
      </c>
      <c r="E116" s="223"/>
      <c r="F116" s="224">
        <v>2.4E-2</v>
      </c>
      <c r="G116" s="224">
        <v>1.4E-2</v>
      </c>
      <c r="H116" s="225"/>
      <c r="I116" s="226">
        <v>3</v>
      </c>
      <c r="J116" s="226">
        <v>3</v>
      </c>
      <c r="K116" s="223"/>
      <c r="L116" s="227">
        <v>1914.6487999999999</v>
      </c>
      <c r="M116" s="227">
        <v>971.89053999999999</v>
      </c>
      <c r="N116" s="227">
        <v>2886.5393399999998</v>
      </c>
      <c r="O116" s="222">
        <v>1225.1070831613299</v>
      </c>
      <c r="P116" s="228">
        <v>258.77999999999997</v>
      </c>
      <c r="Q116" s="234">
        <v>4.7341644762397799</v>
      </c>
      <c r="R116" s="235">
        <v>2220.7194313128298</v>
      </c>
      <c r="S116" s="224">
        <v>0.01</v>
      </c>
      <c r="T116" s="224">
        <v>0.01</v>
      </c>
      <c r="U116" s="231">
        <v>0</v>
      </c>
      <c r="V116" s="232">
        <v>0</v>
      </c>
      <c r="W116" s="223"/>
      <c r="X116" s="231">
        <v>1397.622245</v>
      </c>
      <c r="Y116" s="222">
        <v>593.17982894123099</v>
      </c>
      <c r="Z116" s="233">
        <v>573</v>
      </c>
      <c r="AA116" s="238">
        <v>1.03521785155538</v>
      </c>
      <c r="AB116" s="239">
        <v>-76.660186709358399</v>
      </c>
      <c r="AC116" s="224">
        <v>1.4E-2</v>
      </c>
      <c r="AD116" s="224">
        <v>4.0000000000000001E-3</v>
      </c>
      <c r="AE116" s="232">
        <v>0</v>
      </c>
      <c r="AF116" s="232">
        <v>223</v>
      </c>
      <c r="AG116" s="223"/>
      <c r="AH116" s="236">
        <v>126.5</v>
      </c>
      <c r="AI116" s="222">
        <v>53.689220123328603</v>
      </c>
      <c r="AJ116" s="237" t="s">
        <v>54</v>
      </c>
      <c r="AK116" s="244">
        <v>0.85220984322743798</v>
      </c>
      <c r="AL116" s="227">
        <v>-35.593879926159801</v>
      </c>
      <c r="AM116" s="224"/>
      <c r="AN116" s="224"/>
      <c r="AO116" s="232">
        <v>22</v>
      </c>
      <c r="AP116" s="232">
        <v>52</v>
      </c>
      <c r="AQ116" s="223"/>
      <c r="AR116" s="236">
        <v>8</v>
      </c>
      <c r="AS116" s="222">
        <v>3.39536569949904</v>
      </c>
      <c r="AT116" s="237" t="s">
        <v>55</v>
      </c>
      <c r="AU116" s="229">
        <v>0.21221035621869</v>
      </c>
      <c r="AV116" s="230">
        <v>-33.166699663786602</v>
      </c>
      <c r="AW116" s="224"/>
      <c r="AX116" s="224"/>
      <c r="AY116" s="232">
        <v>30</v>
      </c>
      <c r="AZ116" s="232">
        <v>38</v>
      </c>
      <c r="BA116" s="223"/>
      <c r="BB116" s="240">
        <v>61.2</v>
      </c>
      <c r="BC116" s="236">
        <v>25.9745476011677</v>
      </c>
      <c r="BD116" s="237" t="s">
        <v>56</v>
      </c>
      <c r="BE116" s="244">
        <v>0.81170461253648996</v>
      </c>
      <c r="BF116" s="227">
        <v>-21.133399327573301</v>
      </c>
      <c r="BG116" s="224"/>
      <c r="BH116" s="224"/>
      <c r="BI116" s="232">
        <v>15</v>
      </c>
      <c r="BJ116" s="232">
        <v>30</v>
      </c>
      <c r="BK116" s="225"/>
      <c r="BL116" s="241">
        <v>0.8</v>
      </c>
      <c r="BM116" s="244">
        <v>0.72</v>
      </c>
      <c r="BN116" s="242"/>
      <c r="BO116" s="243">
        <v>0.95</v>
      </c>
      <c r="BP116" s="234">
        <v>1</v>
      </c>
      <c r="BQ116" s="242">
        <v>2.5000000000000001E-3</v>
      </c>
    </row>
    <row r="117" spans="1:69" s="211" customFormat="1" ht="22.35" customHeight="1" x14ac:dyDescent="0.2">
      <c r="A117" s="221" t="s">
        <v>176</v>
      </c>
      <c r="B117" s="221" t="s">
        <v>177</v>
      </c>
      <c r="C117" s="221" t="s">
        <v>178</v>
      </c>
      <c r="D117" s="222">
        <v>5.36114939544444</v>
      </c>
      <c r="E117" s="223"/>
      <c r="F117" s="224">
        <v>3.5999999999999997E-2</v>
      </c>
      <c r="G117" s="224">
        <v>0.03</v>
      </c>
      <c r="H117" s="225"/>
      <c r="I117" s="226">
        <v>5</v>
      </c>
      <c r="J117" s="226">
        <v>4</v>
      </c>
      <c r="K117" s="223"/>
      <c r="L117" s="227">
        <v>2577.70093</v>
      </c>
      <c r="M117" s="227">
        <v>2918.0417900000002</v>
      </c>
      <c r="N117" s="227">
        <v>5495.7427200000002</v>
      </c>
      <c r="O117" s="222">
        <v>1025.10531131065</v>
      </c>
      <c r="P117" s="228">
        <v>227.6</v>
      </c>
      <c r="Q117" s="234">
        <v>4.5039776419624298</v>
      </c>
      <c r="R117" s="235">
        <v>4163.28693817576</v>
      </c>
      <c r="S117" s="224">
        <v>0.01</v>
      </c>
      <c r="T117" s="224">
        <v>0.01</v>
      </c>
      <c r="U117" s="231">
        <v>0</v>
      </c>
      <c r="V117" s="232">
        <v>0</v>
      </c>
      <c r="W117" s="223"/>
      <c r="X117" s="231">
        <v>2762.0153599999999</v>
      </c>
      <c r="Y117" s="222">
        <v>515.19089588269605</v>
      </c>
      <c r="Z117" s="233">
        <v>573</v>
      </c>
      <c r="AA117" s="244">
        <v>0.89911151113908605</v>
      </c>
      <c r="AB117" s="227">
        <v>-592.54159511991304</v>
      </c>
      <c r="AC117" s="224"/>
      <c r="AD117" s="224"/>
      <c r="AE117" s="232">
        <v>310</v>
      </c>
      <c r="AF117" s="232">
        <v>925</v>
      </c>
      <c r="AG117" s="223"/>
      <c r="AH117" s="236">
        <v>324.85000000000002</v>
      </c>
      <c r="AI117" s="222">
        <v>60.593349679088703</v>
      </c>
      <c r="AJ117" s="237" t="s">
        <v>54</v>
      </c>
      <c r="AK117" s="238">
        <v>0.96179920125537499</v>
      </c>
      <c r="AL117" s="239">
        <v>-43.975633808995703</v>
      </c>
      <c r="AM117" s="224">
        <v>6.0000000000000001E-3</v>
      </c>
      <c r="AN117" s="224"/>
      <c r="AO117" s="232">
        <v>13</v>
      </c>
      <c r="AP117" s="232">
        <v>81</v>
      </c>
      <c r="AQ117" s="223"/>
      <c r="AR117" s="236">
        <v>47.6</v>
      </c>
      <c r="AS117" s="222">
        <v>8.8786930728786206</v>
      </c>
      <c r="AT117" s="237" t="s">
        <v>55</v>
      </c>
      <c r="AU117" s="229">
        <v>0.55491831705491401</v>
      </c>
      <c r="AV117" s="230">
        <v>-46.070002237205301</v>
      </c>
      <c r="AW117" s="224"/>
      <c r="AX117" s="224"/>
      <c r="AY117" s="232">
        <v>39</v>
      </c>
      <c r="AZ117" s="232">
        <v>56</v>
      </c>
      <c r="BA117" s="223"/>
      <c r="BB117" s="240">
        <v>210.4</v>
      </c>
      <c r="BC117" s="236">
        <v>39.245315599446698</v>
      </c>
      <c r="BD117" s="237" t="s">
        <v>56</v>
      </c>
      <c r="BE117" s="234">
        <v>1.22641611248271</v>
      </c>
      <c r="BF117" s="235">
        <v>23.0599955255895</v>
      </c>
      <c r="BG117" s="224">
        <v>0.02</v>
      </c>
      <c r="BH117" s="224">
        <v>0.02</v>
      </c>
      <c r="BI117" s="232">
        <v>0</v>
      </c>
      <c r="BJ117" s="232">
        <v>0</v>
      </c>
      <c r="BK117" s="225"/>
      <c r="BL117" s="241">
        <v>0.8</v>
      </c>
      <c r="BM117" s="238">
        <v>0.83</v>
      </c>
      <c r="BN117" s="242">
        <v>1.1249999999999999E-3</v>
      </c>
      <c r="BO117" s="243">
        <v>0.95</v>
      </c>
      <c r="BP117" s="234">
        <v>1</v>
      </c>
      <c r="BQ117" s="242">
        <v>2.5000000000000001E-3</v>
      </c>
    </row>
    <row r="118" spans="1:69" s="211" customFormat="1" ht="22.35" customHeight="1" x14ac:dyDescent="0.2">
      <c r="A118" s="221" t="s">
        <v>176</v>
      </c>
      <c r="B118" s="221" t="s">
        <v>177</v>
      </c>
      <c r="C118" s="221" t="s">
        <v>179</v>
      </c>
      <c r="D118" s="222">
        <v>9.7145609433333302</v>
      </c>
      <c r="E118" s="223"/>
      <c r="F118" s="224">
        <v>7.6999999999999999E-2</v>
      </c>
      <c r="G118" s="224">
        <v>7.0000000000000007E-2</v>
      </c>
      <c r="H118" s="225"/>
      <c r="I118" s="226">
        <v>6</v>
      </c>
      <c r="J118" s="226">
        <v>6</v>
      </c>
      <c r="K118" s="223"/>
      <c r="L118" s="227">
        <v>5903.4721</v>
      </c>
      <c r="M118" s="227">
        <v>2298.1235799999999</v>
      </c>
      <c r="N118" s="227">
        <v>8201.5956800000004</v>
      </c>
      <c r="O118" s="222">
        <v>844.25798837860896</v>
      </c>
      <c r="P118" s="228">
        <v>242.374</v>
      </c>
      <c r="Q118" s="234">
        <v>3.4832861131086998</v>
      </c>
      <c r="R118" s="235">
        <v>5630.4194424652196</v>
      </c>
      <c r="S118" s="224">
        <v>0.01</v>
      </c>
      <c r="T118" s="224">
        <v>0.01</v>
      </c>
      <c r="U118" s="231">
        <v>0</v>
      </c>
      <c r="V118" s="232">
        <v>0</v>
      </c>
      <c r="W118" s="223"/>
      <c r="X118" s="231">
        <v>6556.3376449999996</v>
      </c>
      <c r="Y118" s="222">
        <v>674.89798903359804</v>
      </c>
      <c r="Z118" s="233">
        <v>573</v>
      </c>
      <c r="AA118" s="234">
        <v>1.1778324415944099</v>
      </c>
      <c r="AB118" s="235">
        <v>477.78142978124299</v>
      </c>
      <c r="AC118" s="224">
        <v>0.02</v>
      </c>
      <c r="AD118" s="224">
        <v>1.7999999999999999E-2</v>
      </c>
      <c r="AE118" s="232">
        <v>0</v>
      </c>
      <c r="AF118" s="232">
        <v>124</v>
      </c>
      <c r="AG118" s="223"/>
      <c r="AH118" s="236">
        <v>754.5</v>
      </c>
      <c r="AI118" s="222">
        <v>77.666917156742898</v>
      </c>
      <c r="AJ118" s="237" t="s">
        <v>54</v>
      </c>
      <c r="AK118" s="234">
        <v>1.2328082088371899</v>
      </c>
      <c r="AL118" s="235">
        <v>86.177065342440301</v>
      </c>
      <c r="AM118" s="224">
        <v>0.02</v>
      </c>
      <c r="AN118" s="224">
        <v>0.02</v>
      </c>
      <c r="AO118" s="232">
        <v>0</v>
      </c>
      <c r="AP118" s="232">
        <v>0</v>
      </c>
      <c r="AQ118" s="223"/>
      <c r="AR118" s="236">
        <v>161.1</v>
      </c>
      <c r="AS118" s="222">
        <v>16.5833536831693</v>
      </c>
      <c r="AT118" s="237" t="s">
        <v>55</v>
      </c>
      <c r="AU118" s="238">
        <v>1.0364596051980799</v>
      </c>
      <c r="AV118" s="239">
        <v>-8.6328088019199392</v>
      </c>
      <c r="AW118" s="224">
        <v>7.0000000000000001E-3</v>
      </c>
      <c r="AX118" s="224">
        <v>2E-3</v>
      </c>
      <c r="AY118" s="232">
        <v>0</v>
      </c>
      <c r="AZ118" s="232">
        <v>26</v>
      </c>
      <c r="BA118" s="223"/>
      <c r="BB118" s="240">
        <v>471.2</v>
      </c>
      <c r="BC118" s="236">
        <v>48.504508103720703</v>
      </c>
      <c r="BD118" s="237" t="s">
        <v>56</v>
      </c>
      <c r="BE118" s="234">
        <v>1.51576587824127</v>
      </c>
      <c r="BF118" s="235">
        <v>131.73438239615999</v>
      </c>
      <c r="BG118" s="224">
        <v>0.02</v>
      </c>
      <c r="BH118" s="224">
        <v>0.02</v>
      </c>
      <c r="BI118" s="232">
        <v>0</v>
      </c>
      <c r="BJ118" s="232">
        <v>0</v>
      </c>
      <c r="BK118" s="225"/>
      <c r="BL118" s="241">
        <v>0.8</v>
      </c>
      <c r="BM118" s="244">
        <v>0.76</v>
      </c>
      <c r="BN118" s="242"/>
      <c r="BO118" s="243">
        <v>0.95</v>
      </c>
      <c r="BP118" s="234">
        <v>1</v>
      </c>
      <c r="BQ118" s="242">
        <v>2.5000000000000001E-3</v>
      </c>
    </row>
    <row r="119" spans="1:69" s="211" customFormat="1" ht="22.35" customHeight="1" x14ac:dyDescent="0.2">
      <c r="A119" s="221" t="s">
        <v>176</v>
      </c>
      <c r="B119" s="221" t="s">
        <v>177</v>
      </c>
      <c r="C119" s="221" t="s">
        <v>180</v>
      </c>
      <c r="D119" s="222">
        <v>2.7303992304444402</v>
      </c>
      <c r="E119" s="223"/>
      <c r="F119" s="224">
        <v>0.08</v>
      </c>
      <c r="G119" s="224">
        <v>0.08</v>
      </c>
      <c r="H119" s="225"/>
      <c r="I119" s="226">
        <v>7</v>
      </c>
      <c r="J119" s="226">
        <v>7</v>
      </c>
      <c r="K119" s="223"/>
      <c r="L119" s="227">
        <v>579.12189999999998</v>
      </c>
      <c r="M119" s="227">
        <v>3064.25225</v>
      </c>
      <c r="N119" s="227">
        <v>3643.3741500000001</v>
      </c>
      <c r="O119" s="222">
        <v>1334.3741491631399</v>
      </c>
      <c r="P119" s="228">
        <v>212.5</v>
      </c>
      <c r="Q119" s="234">
        <v>6.2794077607677199</v>
      </c>
      <c r="R119" s="235">
        <v>3009.7850085753698</v>
      </c>
      <c r="S119" s="224">
        <v>0.01</v>
      </c>
      <c r="T119" s="224">
        <v>0.01</v>
      </c>
      <c r="U119" s="231">
        <v>0</v>
      </c>
      <c r="V119" s="232">
        <v>0</v>
      </c>
      <c r="W119" s="223"/>
      <c r="X119" s="231">
        <v>1901.1324199999999</v>
      </c>
      <c r="Y119" s="222">
        <v>696.28367851925498</v>
      </c>
      <c r="Z119" s="233">
        <v>573</v>
      </c>
      <c r="AA119" s="234">
        <v>1.21515476181371</v>
      </c>
      <c r="AB119" s="235">
        <v>192.677935123227</v>
      </c>
      <c r="AC119" s="224">
        <v>0.02</v>
      </c>
      <c r="AD119" s="224">
        <v>0.02</v>
      </c>
      <c r="AE119" s="232">
        <v>0</v>
      </c>
      <c r="AF119" s="232">
        <v>0</v>
      </c>
      <c r="AG119" s="223"/>
      <c r="AH119" s="236">
        <v>216.55</v>
      </c>
      <c r="AI119" s="222">
        <v>79.310746056997203</v>
      </c>
      <c r="AJ119" s="237" t="s">
        <v>54</v>
      </c>
      <c r="AK119" s="234">
        <v>1.2589007310634499</v>
      </c>
      <c r="AL119" s="235">
        <v>28.7094545423443</v>
      </c>
      <c r="AM119" s="224">
        <v>0.02</v>
      </c>
      <c r="AN119" s="224">
        <v>0.02</v>
      </c>
      <c r="AO119" s="232">
        <v>0</v>
      </c>
      <c r="AP119" s="232">
        <v>0</v>
      </c>
      <c r="AQ119" s="223"/>
      <c r="AR119" s="236">
        <v>59.6</v>
      </c>
      <c r="AS119" s="222">
        <v>21.828309697515699</v>
      </c>
      <c r="AT119" s="237" t="s">
        <v>55</v>
      </c>
      <c r="AU119" s="234">
        <v>1.3642693560947301</v>
      </c>
      <c r="AV119" s="235">
        <v>11.894464645674701</v>
      </c>
      <c r="AW119" s="224">
        <v>0.01</v>
      </c>
      <c r="AX119" s="224">
        <v>0.01</v>
      </c>
      <c r="AY119" s="232">
        <v>0</v>
      </c>
      <c r="AZ119" s="232">
        <v>0</v>
      </c>
      <c r="BA119" s="223"/>
      <c r="BB119" s="240">
        <v>146</v>
      </c>
      <c r="BC119" s="236">
        <v>53.472033822773497</v>
      </c>
      <c r="BD119" s="237" t="s">
        <v>56</v>
      </c>
      <c r="BE119" s="234">
        <v>1.67100105696167</v>
      </c>
      <c r="BF119" s="235">
        <v>50.588929291349501</v>
      </c>
      <c r="BG119" s="224">
        <v>0.02</v>
      </c>
      <c r="BH119" s="224">
        <v>0.02</v>
      </c>
      <c r="BI119" s="232">
        <v>0</v>
      </c>
      <c r="BJ119" s="232">
        <v>0</v>
      </c>
      <c r="BK119" s="225"/>
      <c r="BL119" s="241">
        <v>0.8</v>
      </c>
      <c r="BM119" s="238">
        <v>0.87</v>
      </c>
      <c r="BN119" s="242">
        <v>2.6250000000000002E-3</v>
      </c>
      <c r="BO119" s="243">
        <v>0.95</v>
      </c>
      <c r="BP119" s="234">
        <v>1</v>
      </c>
      <c r="BQ119" s="242">
        <v>2.5000000000000001E-3</v>
      </c>
    </row>
    <row r="120" spans="1:69" s="211" customFormat="1" ht="22.35" customHeight="1" x14ac:dyDescent="0.2">
      <c r="A120" s="221" t="s">
        <v>176</v>
      </c>
      <c r="B120" s="221" t="s">
        <v>177</v>
      </c>
      <c r="C120" s="221" t="s">
        <v>181</v>
      </c>
      <c r="D120" s="222">
        <v>3.1380264342222199</v>
      </c>
      <c r="E120" s="223"/>
      <c r="F120" s="224">
        <v>2.3E-2</v>
      </c>
      <c r="G120" s="224">
        <v>1.2E-2</v>
      </c>
      <c r="H120" s="225"/>
      <c r="I120" s="226">
        <v>5</v>
      </c>
      <c r="J120" s="226">
        <v>4</v>
      </c>
      <c r="K120" s="223"/>
      <c r="L120" s="227">
        <v>1320.2013999999999</v>
      </c>
      <c r="M120" s="227">
        <v>1311.6049700000001</v>
      </c>
      <c r="N120" s="227">
        <v>2631.8063699999998</v>
      </c>
      <c r="O120" s="222">
        <v>838.68202679825697</v>
      </c>
      <c r="P120" s="228">
        <v>212.5</v>
      </c>
      <c r="Q120" s="234">
        <v>3.9467389496388501</v>
      </c>
      <c r="R120" s="235">
        <v>1903.6273359387301</v>
      </c>
      <c r="S120" s="224">
        <v>0.01</v>
      </c>
      <c r="T120" s="224">
        <v>0.01</v>
      </c>
      <c r="U120" s="231">
        <v>0</v>
      </c>
      <c r="V120" s="232">
        <v>0</v>
      </c>
      <c r="W120" s="223"/>
      <c r="X120" s="231">
        <v>1545.049845</v>
      </c>
      <c r="Y120" s="222">
        <v>492.36355313971399</v>
      </c>
      <c r="Z120" s="233">
        <v>573</v>
      </c>
      <c r="AA120" s="244">
        <v>0.85927321664871503</v>
      </c>
      <c r="AB120" s="227">
        <v>-418.463503315791</v>
      </c>
      <c r="AC120" s="224"/>
      <c r="AD120" s="224"/>
      <c r="AE120" s="232">
        <v>254</v>
      </c>
      <c r="AF120" s="232">
        <v>613</v>
      </c>
      <c r="AG120" s="223"/>
      <c r="AH120" s="236">
        <v>173.2</v>
      </c>
      <c r="AI120" s="222">
        <v>55.193926383519603</v>
      </c>
      <c r="AJ120" s="237" t="s">
        <v>54</v>
      </c>
      <c r="AK120" s="244">
        <v>0.87609406957967695</v>
      </c>
      <c r="AL120" s="227">
        <v>-42.683666568751804</v>
      </c>
      <c r="AM120" s="224"/>
      <c r="AN120" s="224"/>
      <c r="AO120" s="232">
        <v>25</v>
      </c>
      <c r="AP120" s="232">
        <v>65</v>
      </c>
      <c r="AQ120" s="223"/>
      <c r="AR120" s="236">
        <v>52.1</v>
      </c>
      <c r="AS120" s="222">
        <v>16.6027919433105</v>
      </c>
      <c r="AT120" s="237" t="s">
        <v>55</v>
      </c>
      <c r="AU120" s="238">
        <v>1.0376744964569</v>
      </c>
      <c r="AV120" s="239">
        <v>-2.72759785873063</v>
      </c>
      <c r="AW120" s="224">
        <v>7.0000000000000001E-3</v>
      </c>
      <c r="AX120" s="224">
        <v>2E-3</v>
      </c>
      <c r="AY120" s="232">
        <v>0</v>
      </c>
      <c r="AZ120" s="232">
        <v>9</v>
      </c>
      <c r="BA120" s="223"/>
      <c r="BB120" s="240">
        <v>97.2</v>
      </c>
      <c r="BC120" s="236">
        <v>30.974882473892102</v>
      </c>
      <c r="BD120" s="237" t="s">
        <v>56</v>
      </c>
      <c r="BE120" s="238">
        <v>0.96796507730912695</v>
      </c>
      <c r="BF120" s="239">
        <v>-12.455195717461301</v>
      </c>
      <c r="BG120" s="224">
        <v>6.0000000000000001E-3</v>
      </c>
      <c r="BH120" s="224"/>
      <c r="BI120" s="232">
        <v>4</v>
      </c>
      <c r="BJ120" s="232">
        <v>24</v>
      </c>
      <c r="BK120" s="225"/>
      <c r="BL120" s="241">
        <v>0.8</v>
      </c>
      <c r="BM120" s="238">
        <v>0.86</v>
      </c>
      <c r="BN120" s="242">
        <v>2.2499999999999998E-3</v>
      </c>
      <c r="BO120" s="243">
        <v>0.95</v>
      </c>
      <c r="BP120" s="234">
        <v>1</v>
      </c>
      <c r="BQ120" s="242">
        <v>2.5000000000000001E-3</v>
      </c>
    </row>
    <row r="121" spans="1:69" s="211" customFormat="1" ht="22.35" customHeight="1" x14ac:dyDescent="0.2">
      <c r="A121" s="221" t="s">
        <v>176</v>
      </c>
      <c r="B121" s="221" t="s">
        <v>177</v>
      </c>
      <c r="C121" s="221" t="s">
        <v>182</v>
      </c>
      <c r="D121" s="222">
        <v>2.9645688838888899</v>
      </c>
      <c r="E121" s="223"/>
      <c r="F121" s="224">
        <v>0.08</v>
      </c>
      <c r="G121" s="224">
        <v>7.8E-2</v>
      </c>
      <c r="H121" s="225"/>
      <c r="I121" s="226">
        <v>7</v>
      </c>
      <c r="J121" s="226">
        <v>7</v>
      </c>
      <c r="K121" s="223"/>
      <c r="L121" s="227">
        <v>789.22523000000001</v>
      </c>
      <c r="M121" s="227">
        <v>-28.263269999999999</v>
      </c>
      <c r="N121" s="227">
        <v>760.96195999999998</v>
      </c>
      <c r="O121" s="222">
        <v>256.68553837135897</v>
      </c>
      <c r="P121" s="228">
        <v>221.85</v>
      </c>
      <c r="Q121" s="234">
        <v>1.15702293608907</v>
      </c>
      <c r="R121" s="235">
        <v>42.764909275300703</v>
      </c>
      <c r="S121" s="224">
        <v>0.01</v>
      </c>
      <c r="T121" s="224">
        <v>8.0000000000000002E-3</v>
      </c>
      <c r="U121" s="231">
        <v>0</v>
      </c>
      <c r="V121" s="232">
        <v>29</v>
      </c>
      <c r="W121" s="223"/>
      <c r="X121" s="231">
        <v>2262.20127</v>
      </c>
      <c r="Y121" s="222">
        <v>763.07934090992296</v>
      </c>
      <c r="Z121" s="233">
        <v>573</v>
      </c>
      <c r="AA121" s="234">
        <v>1.33172659844664</v>
      </c>
      <c r="AB121" s="235">
        <v>407.22308624857902</v>
      </c>
      <c r="AC121" s="224">
        <v>0.02</v>
      </c>
      <c r="AD121" s="224">
        <v>0.02</v>
      </c>
      <c r="AE121" s="232">
        <v>0</v>
      </c>
      <c r="AF121" s="232">
        <v>0</v>
      </c>
      <c r="AG121" s="223"/>
      <c r="AH121" s="236">
        <v>260.39999999999998</v>
      </c>
      <c r="AI121" s="222">
        <v>87.837392281608999</v>
      </c>
      <c r="AJ121" s="237" t="s">
        <v>54</v>
      </c>
      <c r="AK121" s="234">
        <v>1.3942443219303</v>
      </c>
      <c r="AL121" s="235">
        <v>56.449519063979899</v>
      </c>
      <c r="AM121" s="224">
        <v>0.02</v>
      </c>
      <c r="AN121" s="224">
        <v>0.02</v>
      </c>
      <c r="AO121" s="232">
        <v>0</v>
      </c>
      <c r="AP121" s="232">
        <v>0</v>
      </c>
      <c r="AQ121" s="223"/>
      <c r="AR121" s="236">
        <v>67.5</v>
      </c>
      <c r="AS121" s="222">
        <v>22.768909289587601</v>
      </c>
      <c r="AT121" s="237" t="s">
        <v>55</v>
      </c>
      <c r="AU121" s="234">
        <v>1.4230568305992199</v>
      </c>
      <c r="AV121" s="235">
        <v>15.7030524606933</v>
      </c>
      <c r="AW121" s="224">
        <v>0.01</v>
      </c>
      <c r="AX121" s="224">
        <v>0.01</v>
      </c>
      <c r="AY121" s="232">
        <v>0</v>
      </c>
      <c r="AZ121" s="232">
        <v>0</v>
      </c>
      <c r="BA121" s="223"/>
      <c r="BB121" s="240">
        <v>188</v>
      </c>
      <c r="BC121" s="236">
        <v>63.415628836184702</v>
      </c>
      <c r="BD121" s="237" t="s">
        <v>56</v>
      </c>
      <c r="BE121" s="234">
        <v>1.9817384011307699</v>
      </c>
      <c r="BF121" s="235">
        <v>84.4061049213866</v>
      </c>
      <c r="BG121" s="224">
        <v>0.02</v>
      </c>
      <c r="BH121" s="224">
        <v>0.02</v>
      </c>
      <c r="BI121" s="232">
        <v>0</v>
      </c>
      <c r="BJ121" s="232">
        <v>0</v>
      </c>
      <c r="BK121" s="225"/>
      <c r="BL121" s="241">
        <v>0.8</v>
      </c>
      <c r="BM121" s="238">
        <v>0.86</v>
      </c>
      <c r="BN121" s="242">
        <v>2.2499999999999998E-3</v>
      </c>
      <c r="BO121" s="243">
        <v>0.95</v>
      </c>
      <c r="BP121" s="234">
        <v>1</v>
      </c>
      <c r="BQ121" s="242">
        <v>2.5000000000000001E-3</v>
      </c>
    </row>
    <row r="122" spans="1:69" s="211" customFormat="1" ht="22.35" customHeight="1" x14ac:dyDescent="0.2">
      <c r="A122" s="221" t="s">
        <v>176</v>
      </c>
      <c r="B122" s="221" t="s">
        <v>177</v>
      </c>
      <c r="C122" s="221" t="s">
        <v>183</v>
      </c>
      <c r="D122" s="222">
        <v>3.25939735288889</v>
      </c>
      <c r="E122" s="223"/>
      <c r="F122" s="224">
        <v>0.03</v>
      </c>
      <c r="G122" s="224">
        <v>2.8000000000000001E-2</v>
      </c>
      <c r="H122" s="225"/>
      <c r="I122" s="226">
        <v>3</v>
      </c>
      <c r="J122" s="226">
        <v>3</v>
      </c>
      <c r="K122" s="223"/>
      <c r="L122" s="227">
        <v>790.63486999999998</v>
      </c>
      <c r="M122" s="227">
        <v>486.94038999999998</v>
      </c>
      <c r="N122" s="227">
        <v>1277.5752600000001</v>
      </c>
      <c r="O122" s="222">
        <v>391.96671092208197</v>
      </c>
      <c r="P122" s="228">
        <v>225.95400000000001</v>
      </c>
      <c r="Q122" s="234">
        <v>1.73471906194218</v>
      </c>
      <c r="R122" s="235">
        <v>473.34579453367502</v>
      </c>
      <c r="S122" s="224">
        <v>0.01</v>
      </c>
      <c r="T122" s="224">
        <v>0.01</v>
      </c>
      <c r="U122" s="231">
        <v>0</v>
      </c>
      <c r="V122" s="232">
        <v>0</v>
      </c>
      <c r="W122" s="223"/>
      <c r="X122" s="231">
        <v>1683.9279300000001</v>
      </c>
      <c r="Y122" s="222">
        <v>516.63781603905704</v>
      </c>
      <c r="Z122" s="233">
        <v>573</v>
      </c>
      <c r="AA122" s="244">
        <v>0.90163667720603302</v>
      </c>
      <c r="AB122" s="227">
        <v>-355.52914406022501</v>
      </c>
      <c r="AC122" s="224"/>
      <c r="AD122" s="224"/>
      <c r="AE122" s="232">
        <v>184</v>
      </c>
      <c r="AF122" s="232">
        <v>558</v>
      </c>
      <c r="AG122" s="223"/>
      <c r="AH122" s="236">
        <v>174.05</v>
      </c>
      <c r="AI122" s="222">
        <v>53.399442030513697</v>
      </c>
      <c r="AJ122" s="237" t="s">
        <v>54</v>
      </c>
      <c r="AK122" s="244">
        <v>0.84761019096053503</v>
      </c>
      <c r="AL122" s="227">
        <v>-50.183500289344103</v>
      </c>
      <c r="AM122" s="224"/>
      <c r="AN122" s="224"/>
      <c r="AO122" s="232">
        <v>32</v>
      </c>
      <c r="AP122" s="232">
        <v>73</v>
      </c>
      <c r="AQ122" s="223"/>
      <c r="AR122" s="236">
        <v>28.1</v>
      </c>
      <c r="AS122" s="222">
        <v>8.6212256308959194</v>
      </c>
      <c r="AT122" s="237" t="s">
        <v>55</v>
      </c>
      <c r="AU122" s="229">
        <v>0.53882660193099496</v>
      </c>
      <c r="AV122" s="230">
        <v>-28.848190549674701</v>
      </c>
      <c r="AW122" s="224"/>
      <c r="AX122" s="224"/>
      <c r="AY122" s="232">
        <v>25</v>
      </c>
      <c r="AZ122" s="232">
        <v>35</v>
      </c>
      <c r="BA122" s="223"/>
      <c r="BB122" s="240">
        <v>123</v>
      </c>
      <c r="BC122" s="236">
        <v>37.737037459081797</v>
      </c>
      <c r="BD122" s="237" t="s">
        <v>56</v>
      </c>
      <c r="BE122" s="234">
        <v>1.1792824205963099</v>
      </c>
      <c r="BF122" s="235">
        <v>9.1036189006506198</v>
      </c>
      <c r="BG122" s="224">
        <v>0.02</v>
      </c>
      <c r="BH122" s="224">
        <v>1.7999999999999999E-2</v>
      </c>
      <c r="BI122" s="232">
        <v>0</v>
      </c>
      <c r="BJ122" s="232">
        <v>3</v>
      </c>
      <c r="BK122" s="225"/>
      <c r="BL122" s="241">
        <v>0.8</v>
      </c>
      <c r="BM122" s="244">
        <v>0.78</v>
      </c>
      <c r="BN122" s="242"/>
      <c r="BO122" s="243">
        <v>0.95</v>
      </c>
      <c r="BP122" s="234">
        <v>1</v>
      </c>
      <c r="BQ122" s="242">
        <v>2.5000000000000001E-3</v>
      </c>
    </row>
    <row r="123" spans="1:69" s="211" customFormat="1" ht="22.35" customHeight="1" x14ac:dyDescent="0.2">
      <c r="A123" s="221" t="s">
        <v>176</v>
      </c>
      <c r="B123" s="221" t="s">
        <v>177</v>
      </c>
      <c r="C123" s="221" t="s">
        <v>184</v>
      </c>
      <c r="D123" s="222">
        <v>2.4762819977777801</v>
      </c>
      <c r="E123" s="223"/>
      <c r="F123" s="224">
        <v>0.02</v>
      </c>
      <c r="G123" s="224">
        <v>0.01</v>
      </c>
      <c r="H123" s="225"/>
      <c r="I123" s="226">
        <v>5</v>
      </c>
      <c r="J123" s="226">
        <v>3</v>
      </c>
      <c r="K123" s="223"/>
      <c r="L123" s="227">
        <v>208.34438</v>
      </c>
      <c r="M123" s="227">
        <v>1584.40517</v>
      </c>
      <c r="N123" s="227">
        <v>1792.74955</v>
      </c>
      <c r="O123" s="222">
        <v>723.96825224623797</v>
      </c>
      <c r="P123" s="228">
        <v>224.404</v>
      </c>
      <c r="Q123" s="234">
        <v>3.22618247556299</v>
      </c>
      <c r="R123" s="235">
        <v>1185.93870671118</v>
      </c>
      <c r="S123" s="224">
        <v>0.01</v>
      </c>
      <c r="T123" s="224">
        <v>0.01</v>
      </c>
      <c r="U123" s="231">
        <v>0</v>
      </c>
      <c r="V123" s="232">
        <v>0</v>
      </c>
      <c r="W123" s="223"/>
      <c r="X123" s="231">
        <v>1020.59763</v>
      </c>
      <c r="Y123" s="222">
        <v>412.14919420158401</v>
      </c>
      <c r="Z123" s="233">
        <v>573</v>
      </c>
      <c r="AA123" s="229">
        <v>0.71928306143382903</v>
      </c>
      <c r="AB123" s="230">
        <v>-528.85163652152096</v>
      </c>
      <c r="AC123" s="224"/>
      <c r="AD123" s="224"/>
      <c r="AE123" s="232">
        <v>399</v>
      </c>
      <c r="AF123" s="232">
        <v>683</v>
      </c>
      <c r="AG123" s="223"/>
      <c r="AH123" s="236">
        <v>144.25</v>
      </c>
      <c r="AI123" s="222">
        <v>58.252654636850899</v>
      </c>
      <c r="AJ123" s="237" t="s">
        <v>54</v>
      </c>
      <c r="AK123" s="238">
        <v>0.92464531169604502</v>
      </c>
      <c r="AL123" s="239">
        <v>-26.1082963191202</v>
      </c>
      <c r="AM123" s="224">
        <v>2E-3</v>
      </c>
      <c r="AN123" s="224"/>
      <c r="AO123" s="232">
        <v>12</v>
      </c>
      <c r="AP123" s="232">
        <v>43</v>
      </c>
      <c r="AQ123" s="223"/>
      <c r="AR123" s="236">
        <v>26.9</v>
      </c>
      <c r="AS123" s="222">
        <v>10.863060032799201</v>
      </c>
      <c r="AT123" s="237" t="s">
        <v>55</v>
      </c>
      <c r="AU123" s="229">
        <v>0.67894125204995104</v>
      </c>
      <c r="AV123" s="230">
        <v>-16.365599065173399</v>
      </c>
      <c r="AW123" s="224"/>
      <c r="AX123" s="224"/>
      <c r="AY123" s="232">
        <v>13</v>
      </c>
      <c r="AZ123" s="232">
        <v>21</v>
      </c>
      <c r="BA123" s="223"/>
      <c r="BB123" s="240">
        <v>78.2</v>
      </c>
      <c r="BC123" s="236">
        <v>31.579602028434898</v>
      </c>
      <c r="BD123" s="237" t="s">
        <v>56</v>
      </c>
      <c r="BE123" s="238">
        <v>0.98686256338859102</v>
      </c>
      <c r="BF123" s="239">
        <v>-8.3311981303467508</v>
      </c>
      <c r="BG123" s="224">
        <v>8.0000000000000002E-3</v>
      </c>
      <c r="BH123" s="224"/>
      <c r="BI123" s="232">
        <v>2</v>
      </c>
      <c r="BJ123" s="232">
        <v>17</v>
      </c>
      <c r="BK123" s="225"/>
      <c r="BL123" s="241">
        <v>0.8</v>
      </c>
      <c r="BM123" s="238">
        <v>0.84</v>
      </c>
      <c r="BN123" s="242">
        <v>1.5E-3</v>
      </c>
      <c r="BO123" s="243">
        <v>0.95</v>
      </c>
      <c r="BP123" s="234">
        <v>1</v>
      </c>
      <c r="BQ123" s="242">
        <v>2.5000000000000001E-3</v>
      </c>
    </row>
    <row r="124" spans="1:69" s="211" customFormat="1" ht="22.35" customHeight="1" x14ac:dyDescent="0.2">
      <c r="A124" s="221" t="s">
        <v>176</v>
      </c>
      <c r="B124" s="221" t="s">
        <v>177</v>
      </c>
      <c r="C124" s="221" t="s">
        <v>185</v>
      </c>
      <c r="D124" s="222">
        <v>6.49187964211111</v>
      </c>
      <c r="E124" s="223"/>
      <c r="F124" s="224">
        <v>1.2999999999999999E-2</v>
      </c>
      <c r="G124" s="224"/>
      <c r="H124" s="225"/>
      <c r="I124" s="226">
        <v>3</v>
      </c>
      <c r="J124" s="226">
        <v>1</v>
      </c>
      <c r="K124" s="223"/>
      <c r="L124" s="227">
        <v>1658.9607800000001</v>
      </c>
      <c r="M124" s="227">
        <v>-1602.0561600000001</v>
      </c>
      <c r="N124" s="227">
        <v>56.904620000000001</v>
      </c>
      <c r="O124" s="222">
        <v>8.7655075474404605</v>
      </c>
      <c r="P124" s="228">
        <v>272.23099999999999</v>
      </c>
      <c r="Q124" s="229">
        <v>3.2198785397109297E-2</v>
      </c>
      <c r="R124" s="230">
        <v>-1872.9770284418901</v>
      </c>
      <c r="S124" s="224"/>
      <c r="T124" s="224"/>
      <c r="U124" s="231">
        <v>1711</v>
      </c>
      <c r="V124" s="232">
        <v>2064</v>
      </c>
      <c r="W124" s="223"/>
      <c r="X124" s="231">
        <v>3602.3435650000001</v>
      </c>
      <c r="Y124" s="222">
        <v>554.89993092794703</v>
      </c>
      <c r="Z124" s="233">
        <v>573</v>
      </c>
      <c r="AA124" s="238">
        <v>0.96841174682015096</v>
      </c>
      <c r="AB124" s="239">
        <v>-459.729397143195</v>
      </c>
      <c r="AC124" s="224">
        <v>6.0000000000000001E-3</v>
      </c>
      <c r="AD124" s="224"/>
      <c r="AE124" s="232">
        <v>118</v>
      </c>
      <c r="AF124" s="232">
        <v>862</v>
      </c>
      <c r="AG124" s="223"/>
      <c r="AH124" s="236">
        <v>223.4</v>
      </c>
      <c r="AI124" s="222">
        <v>34.412221469859503</v>
      </c>
      <c r="AJ124" s="237" t="s">
        <v>54</v>
      </c>
      <c r="AK124" s="229">
        <v>0.54622573761681803</v>
      </c>
      <c r="AL124" s="230">
        <v>-223.215351858676</v>
      </c>
      <c r="AM124" s="224"/>
      <c r="AN124" s="224"/>
      <c r="AO124" s="232">
        <v>186</v>
      </c>
      <c r="AP124" s="232">
        <v>268</v>
      </c>
      <c r="AQ124" s="223"/>
      <c r="AR124" s="236">
        <v>47.8</v>
      </c>
      <c r="AS124" s="222">
        <v>7.3630447012501596</v>
      </c>
      <c r="AT124" s="237" t="s">
        <v>55</v>
      </c>
      <c r="AU124" s="229">
        <v>0.46019029382813498</v>
      </c>
      <c r="AV124" s="230">
        <v>-65.6261211069653</v>
      </c>
      <c r="AW124" s="224"/>
      <c r="AX124" s="224"/>
      <c r="AY124" s="232">
        <v>57</v>
      </c>
      <c r="AZ124" s="232">
        <v>77</v>
      </c>
      <c r="BA124" s="223"/>
      <c r="BB124" s="240">
        <v>202.6</v>
      </c>
      <c r="BC124" s="236">
        <v>31.208218754671201</v>
      </c>
      <c r="BD124" s="237" t="s">
        <v>56</v>
      </c>
      <c r="BE124" s="238">
        <v>0.97525683608347402</v>
      </c>
      <c r="BF124" s="239">
        <v>-24.2522422139307</v>
      </c>
      <c r="BG124" s="224">
        <v>7.0000000000000001E-3</v>
      </c>
      <c r="BH124" s="224"/>
      <c r="BI124" s="232">
        <v>6</v>
      </c>
      <c r="BJ124" s="232">
        <v>47</v>
      </c>
      <c r="BK124" s="225"/>
      <c r="BL124" s="241">
        <v>0.8</v>
      </c>
      <c r="BM124" s="244">
        <v>0.79</v>
      </c>
      <c r="BN124" s="242"/>
      <c r="BO124" s="243">
        <v>0.95</v>
      </c>
      <c r="BP124" s="234">
        <v>1</v>
      </c>
      <c r="BQ124" s="242">
        <v>2.5000000000000001E-3</v>
      </c>
    </row>
    <row r="125" spans="1:69" s="211" customFormat="1" ht="22.35" customHeight="1" x14ac:dyDescent="0.2">
      <c r="A125" s="221" t="s">
        <v>176</v>
      </c>
      <c r="B125" s="221" t="s">
        <v>177</v>
      </c>
      <c r="C125" s="221" t="s">
        <v>186</v>
      </c>
      <c r="D125" s="222">
        <v>2.7823128829999999</v>
      </c>
      <c r="E125" s="223"/>
      <c r="F125" s="224">
        <v>0.03</v>
      </c>
      <c r="G125" s="224">
        <v>2.1999999999999999E-2</v>
      </c>
      <c r="H125" s="225"/>
      <c r="I125" s="226">
        <v>4</v>
      </c>
      <c r="J125" s="226">
        <v>4</v>
      </c>
      <c r="K125" s="223"/>
      <c r="L125" s="227">
        <v>1048.1140499999999</v>
      </c>
      <c r="M125" s="227">
        <v>899.41371000000004</v>
      </c>
      <c r="N125" s="227">
        <v>1947.5277599999999</v>
      </c>
      <c r="O125" s="222">
        <v>699.96720063348801</v>
      </c>
      <c r="P125" s="228">
        <v>278.23599999999999</v>
      </c>
      <c r="Q125" s="234">
        <v>2.51573197082149</v>
      </c>
      <c r="R125" s="235">
        <v>1102.16730881269</v>
      </c>
      <c r="S125" s="224">
        <v>0.01</v>
      </c>
      <c r="T125" s="224">
        <v>0.01</v>
      </c>
      <c r="U125" s="231">
        <v>0</v>
      </c>
      <c r="V125" s="232">
        <v>0</v>
      </c>
      <c r="W125" s="223"/>
      <c r="X125" s="231">
        <v>1247.7566549999999</v>
      </c>
      <c r="Y125" s="222">
        <v>448.46022265282397</v>
      </c>
      <c r="Z125" s="233">
        <v>573</v>
      </c>
      <c r="AA125" s="244">
        <v>0.78265309363494495</v>
      </c>
      <c r="AB125" s="227">
        <v>-493.181032899228</v>
      </c>
      <c r="AC125" s="224"/>
      <c r="AD125" s="224"/>
      <c r="AE125" s="232">
        <v>347</v>
      </c>
      <c r="AF125" s="232">
        <v>666</v>
      </c>
      <c r="AG125" s="223"/>
      <c r="AH125" s="236">
        <v>132.85</v>
      </c>
      <c r="AI125" s="222">
        <v>47.748044733472199</v>
      </c>
      <c r="AJ125" s="237" t="s">
        <v>54</v>
      </c>
      <c r="AK125" s="244">
        <v>0.75790547195987601</v>
      </c>
      <c r="AL125" s="227">
        <v>-58.561997098867998</v>
      </c>
      <c r="AM125" s="224"/>
      <c r="AN125" s="224"/>
      <c r="AO125" s="232">
        <v>43</v>
      </c>
      <c r="AP125" s="232">
        <v>78</v>
      </c>
      <c r="AQ125" s="223"/>
      <c r="AR125" s="236">
        <v>19.100000000000001</v>
      </c>
      <c r="AS125" s="222">
        <v>6.8647922800851999</v>
      </c>
      <c r="AT125" s="237" t="s">
        <v>55</v>
      </c>
      <c r="AU125" s="229">
        <v>0.429049517505325</v>
      </c>
      <c r="AV125" s="230">
        <v>-29.512570691775998</v>
      </c>
      <c r="AW125" s="224"/>
      <c r="AX125" s="224"/>
      <c r="AY125" s="232">
        <v>26</v>
      </c>
      <c r="AZ125" s="232">
        <v>35</v>
      </c>
      <c r="BA125" s="223"/>
      <c r="BB125" s="240">
        <v>100</v>
      </c>
      <c r="BC125" s="236">
        <v>35.941320838142403</v>
      </c>
      <c r="BD125" s="237" t="s">
        <v>56</v>
      </c>
      <c r="BE125" s="234">
        <v>1.1231662761919501</v>
      </c>
      <c r="BF125" s="235">
        <v>2.77485861644799</v>
      </c>
      <c r="BG125" s="224">
        <v>0.02</v>
      </c>
      <c r="BH125" s="224">
        <v>1.2E-2</v>
      </c>
      <c r="BI125" s="232">
        <v>0</v>
      </c>
      <c r="BJ125" s="232">
        <v>7</v>
      </c>
      <c r="BK125" s="225"/>
      <c r="BL125" s="241">
        <v>0.8</v>
      </c>
      <c r="BM125" s="238">
        <v>0.84</v>
      </c>
      <c r="BN125" s="242">
        <v>1.5E-3</v>
      </c>
      <c r="BO125" s="243">
        <v>0.95</v>
      </c>
      <c r="BP125" s="234">
        <v>1</v>
      </c>
      <c r="BQ125" s="242">
        <v>2.5000000000000001E-3</v>
      </c>
    </row>
    <row r="126" spans="1:69" s="211" customFormat="1" ht="22.35" customHeight="1" x14ac:dyDescent="0.2">
      <c r="A126" s="221" t="s">
        <v>176</v>
      </c>
      <c r="B126" s="221" t="s">
        <v>177</v>
      </c>
      <c r="C126" s="221" t="s">
        <v>187</v>
      </c>
      <c r="D126" s="222">
        <v>6.3293904736666704</v>
      </c>
      <c r="E126" s="223"/>
      <c r="F126" s="224">
        <v>2.5000000000000001E-2</v>
      </c>
      <c r="G126" s="224">
        <v>1.4E-2</v>
      </c>
      <c r="H126" s="225"/>
      <c r="I126" s="226">
        <v>3</v>
      </c>
      <c r="J126" s="226">
        <v>3</v>
      </c>
      <c r="K126" s="223"/>
      <c r="L126" s="227">
        <v>2477.6832899999999</v>
      </c>
      <c r="M126" s="227">
        <v>1525.7341899999999</v>
      </c>
      <c r="N126" s="227">
        <v>4003.4174800000001</v>
      </c>
      <c r="O126" s="222">
        <v>632.512324315613</v>
      </c>
      <c r="P126" s="228">
        <v>213.245</v>
      </c>
      <c r="Q126" s="234">
        <v>2.9661296833014301</v>
      </c>
      <c r="R126" s="235">
        <v>2529.5332082597001</v>
      </c>
      <c r="S126" s="224">
        <v>0.01</v>
      </c>
      <c r="T126" s="224">
        <v>0.01</v>
      </c>
      <c r="U126" s="231">
        <v>0</v>
      </c>
      <c r="V126" s="232">
        <v>0</v>
      </c>
      <c r="W126" s="223"/>
      <c r="X126" s="231">
        <v>2976.8964649999998</v>
      </c>
      <c r="Y126" s="222">
        <v>470.32909051595601</v>
      </c>
      <c r="Z126" s="233">
        <v>573</v>
      </c>
      <c r="AA126" s="244">
        <v>0.82081865709590895</v>
      </c>
      <c r="AB126" s="227">
        <v>-983.50442462081401</v>
      </c>
      <c r="AC126" s="224"/>
      <c r="AD126" s="224"/>
      <c r="AE126" s="232">
        <v>650</v>
      </c>
      <c r="AF126" s="232">
        <v>1376</v>
      </c>
      <c r="AG126" s="223"/>
      <c r="AH126" s="236">
        <v>251</v>
      </c>
      <c r="AI126" s="222">
        <v>39.656267225774997</v>
      </c>
      <c r="AJ126" s="237" t="s">
        <v>54</v>
      </c>
      <c r="AK126" s="229">
        <v>0.62946455913928601</v>
      </c>
      <c r="AL126" s="230">
        <v>-184.43674702637199</v>
      </c>
      <c r="AM126" s="224"/>
      <c r="AN126" s="224"/>
      <c r="AO126" s="232">
        <v>148</v>
      </c>
      <c r="AP126" s="232">
        <v>228</v>
      </c>
      <c r="AQ126" s="223"/>
      <c r="AR126" s="236">
        <v>79.900000000000006</v>
      </c>
      <c r="AS126" s="222">
        <v>12.6236484117108</v>
      </c>
      <c r="AT126" s="237" t="s">
        <v>55</v>
      </c>
      <c r="AU126" s="244">
        <v>0.78897802573192699</v>
      </c>
      <c r="AV126" s="227">
        <v>-30.6871103559041</v>
      </c>
      <c r="AW126" s="224"/>
      <c r="AX126" s="224"/>
      <c r="AY126" s="232">
        <v>22</v>
      </c>
      <c r="AZ126" s="232">
        <v>42</v>
      </c>
      <c r="BA126" s="223"/>
      <c r="BB126" s="240">
        <v>211.6</v>
      </c>
      <c r="BC126" s="236">
        <v>33.431339223004002</v>
      </c>
      <c r="BD126" s="237" t="s">
        <v>56</v>
      </c>
      <c r="BE126" s="238">
        <v>1.04472935071887</v>
      </c>
      <c r="BF126" s="239">
        <v>-9.5742207118081204</v>
      </c>
      <c r="BG126" s="224">
        <v>1.4999999999999999E-2</v>
      </c>
      <c r="BH126" s="224">
        <v>4.0000000000000001E-3</v>
      </c>
      <c r="BI126" s="232">
        <v>0</v>
      </c>
      <c r="BJ126" s="232">
        <v>32</v>
      </c>
      <c r="BK126" s="225"/>
      <c r="BL126" s="241">
        <v>0.8</v>
      </c>
      <c r="BM126" s="244">
        <v>0.74</v>
      </c>
      <c r="BN126" s="242"/>
      <c r="BO126" s="243">
        <v>0.95</v>
      </c>
      <c r="BP126" s="234">
        <v>1</v>
      </c>
      <c r="BQ126" s="242">
        <v>2.5000000000000001E-3</v>
      </c>
    </row>
    <row r="127" spans="1:69" s="211" customFormat="1" ht="22.35" customHeight="1" x14ac:dyDescent="0.2">
      <c r="A127" s="221" t="s">
        <v>176</v>
      </c>
      <c r="B127" s="221" t="s">
        <v>188</v>
      </c>
      <c r="C127" s="221" t="s">
        <v>189</v>
      </c>
      <c r="D127" s="222">
        <v>2.9213564213333298</v>
      </c>
      <c r="E127" s="223"/>
      <c r="F127" s="224">
        <v>5.7000000000000002E-2</v>
      </c>
      <c r="G127" s="224">
        <v>4.4999999999999998E-2</v>
      </c>
      <c r="H127" s="225"/>
      <c r="I127" s="226">
        <v>6</v>
      </c>
      <c r="J127" s="226">
        <v>5</v>
      </c>
      <c r="K127" s="223"/>
      <c r="L127" s="227">
        <v>1205.29936</v>
      </c>
      <c r="M127" s="227">
        <v>1263.7996499999999</v>
      </c>
      <c r="N127" s="227">
        <v>2469.0990099999999</v>
      </c>
      <c r="O127" s="222">
        <v>845.18923879650401</v>
      </c>
      <c r="P127" s="228">
        <v>212.5</v>
      </c>
      <c r="Q127" s="234">
        <v>3.9773611237482598</v>
      </c>
      <c r="R127" s="235">
        <v>1791.1982524296</v>
      </c>
      <c r="S127" s="224">
        <v>0.01</v>
      </c>
      <c r="T127" s="224">
        <v>0.01</v>
      </c>
      <c r="U127" s="231">
        <v>0</v>
      </c>
      <c r="V127" s="232">
        <v>0</v>
      </c>
      <c r="W127" s="223"/>
      <c r="X127" s="231">
        <v>1920.73073</v>
      </c>
      <c r="Y127" s="222">
        <v>657.47907922969603</v>
      </c>
      <c r="Z127" s="233">
        <v>573</v>
      </c>
      <c r="AA127" s="234">
        <v>1.14743294804484</v>
      </c>
      <c r="AB127" s="235">
        <v>92.791275468994201</v>
      </c>
      <c r="AC127" s="224">
        <v>0.02</v>
      </c>
      <c r="AD127" s="224">
        <v>1.4999999999999999E-2</v>
      </c>
      <c r="AE127" s="232">
        <v>0</v>
      </c>
      <c r="AF127" s="232">
        <v>88</v>
      </c>
      <c r="AG127" s="223"/>
      <c r="AH127" s="236">
        <v>179.5</v>
      </c>
      <c r="AI127" s="222">
        <v>61.444060262278597</v>
      </c>
      <c r="AJ127" s="237" t="s">
        <v>54</v>
      </c>
      <c r="AK127" s="238">
        <v>0.97530254384569304</v>
      </c>
      <c r="AL127" s="239">
        <v>-21.4776363620478</v>
      </c>
      <c r="AM127" s="224">
        <v>7.0000000000000001E-3</v>
      </c>
      <c r="AN127" s="224"/>
      <c r="AO127" s="232">
        <v>5</v>
      </c>
      <c r="AP127" s="232">
        <v>42</v>
      </c>
      <c r="AQ127" s="223"/>
      <c r="AR127" s="236">
        <v>16.399999999999999</v>
      </c>
      <c r="AS127" s="222">
        <v>5.6138305754950997</v>
      </c>
      <c r="AT127" s="237" t="s">
        <v>55</v>
      </c>
      <c r="AU127" s="229">
        <v>0.35086441096844401</v>
      </c>
      <c r="AV127" s="230">
        <v>-34.6419393935359</v>
      </c>
      <c r="AW127" s="224"/>
      <c r="AX127" s="224"/>
      <c r="AY127" s="232">
        <v>31</v>
      </c>
      <c r="AZ127" s="232">
        <v>40</v>
      </c>
      <c r="BA127" s="223"/>
      <c r="BB127" s="240">
        <v>122.4</v>
      </c>
      <c r="BC127" s="236">
        <v>41.898345270768303</v>
      </c>
      <c r="BD127" s="237" t="s">
        <v>56</v>
      </c>
      <c r="BE127" s="234">
        <v>1.3093232897115099</v>
      </c>
      <c r="BF127" s="235">
        <v>20.316121212928099</v>
      </c>
      <c r="BG127" s="224">
        <v>0.02</v>
      </c>
      <c r="BH127" s="224">
        <v>0.02</v>
      </c>
      <c r="BI127" s="232">
        <v>0</v>
      </c>
      <c r="BJ127" s="232">
        <v>0</v>
      </c>
      <c r="BK127" s="225"/>
      <c r="BL127" s="241">
        <v>0.8</v>
      </c>
      <c r="BM127" s="238">
        <v>0.85</v>
      </c>
      <c r="BN127" s="242">
        <v>1.8749999999999999E-3</v>
      </c>
      <c r="BO127" s="243">
        <v>0.95</v>
      </c>
      <c r="BP127" s="234">
        <v>1</v>
      </c>
      <c r="BQ127" s="242">
        <v>2.5000000000000001E-3</v>
      </c>
    </row>
    <row r="128" spans="1:69" s="211" customFormat="1" ht="22.35" customHeight="1" x14ac:dyDescent="0.2">
      <c r="A128" s="221" t="s">
        <v>176</v>
      </c>
      <c r="B128" s="221" t="s">
        <v>188</v>
      </c>
      <c r="C128" s="221" t="s">
        <v>190</v>
      </c>
      <c r="D128" s="222">
        <v>8.5281722426666704</v>
      </c>
      <c r="E128" s="223"/>
      <c r="F128" s="224">
        <v>0.04</v>
      </c>
      <c r="G128" s="224">
        <v>0.04</v>
      </c>
      <c r="H128" s="225"/>
      <c r="I128" s="226">
        <v>4</v>
      </c>
      <c r="J128" s="226">
        <v>4</v>
      </c>
      <c r="K128" s="223"/>
      <c r="L128" s="227">
        <v>8846.2306599999993</v>
      </c>
      <c r="M128" s="227">
        <v>2478.0272</v>
      </c>
      <c r="N128" s="227">
        <v>11324.25786</v>
      </c>
      <c r="O128" s="222">
        <v>1327.8645808001399</v>
      </c>
      <c r="P128" s="228">
        <v>246.12100000000001</v>
      </c>
      <c r="Q128" s="234">
        <v>5.3951697774677498</v>
      </c>
      <c r="R128" s="235">
        <v>9032.1910496532</v>
      </c>
      <c r="S128" s="224">
        <v>0.01</v>
      </c>
      <c r="T128" s="224">
        <v>0.01</v>
      </c>
      <c r="U128" s="231">
        <v>0</v>
      </c>
      <c r="V128" s="232">
        <v>0</v>
      </c>
      <c r="W128" s="223"/>
      <c r="X128" s="231">
        <v>4120.688185</v>
      </c>
      <c r="Y128" s="222">
        <v>483.18538459906898</v>
      </c>
      <c r="Z128" s="233">
        <v>573</v>
      </c>
      <c r="AA128" s="244">
        <v>0.84325547050448402</v>
      </c>
      <c r="AB128" s="227">
        <v>-1215.5256379924199</v>
      </c>
      <c r="AC128" s="224"/>
      <c r="AD128" s="224"/>
      <c r="AE128" s="232">
        <v>766</v>
      </c>
      <c r="AF128" s="232">
        <v>1744</v>
      </c>
      <c r="AG128" s="223"/>
      <c r="AH128" s="236">
        <v>360.05</v>
      </c>
      <c r="AI128" s="222">
        <v>42.218894008573201</v>
      </c>
      <c r="AJ128" s="237" t="s">
        <v>54</v>
      </c>
      <c r="AK128" s="229">
        <v>0.67014117473925705</v>
      </c>
      <c r="AL128" s="230">
        <v>-226.65413760649599</v>
      </c>
      <c r="AM128" s="224"/>
      <c r="AN128" s="224"/>
      <c r="AO128" s="232">
        <v>178</v>
      </c>
      <c r="AP128" s="232">
        <v>285</v>
      </c>
      <c r="AQ128" s="223"/>
      <c r="AR128" s="236">
        <v>176.6</v>
      </c>
      <c r="AS128" s="222">
        <v>20.707836916856099</v>
      </c>
      <c r="AT128" s="237" t="s">
        <v>55</v>
      </c>
      <c r="AU128" s="234">
        <v>1.2942398073035</v>
      </c>
      <c r="AV128" s="235">
        <v>27.595774576127901</v>
      </c>
      <c r="AW128" s="224">
        <v>0.01</v>
      </c>
      <c r="AX128" s="224">
        <v>0.01</v>
      </c>
      <c r="AY128" s="232">
        <v>0</v>
      </c>
      <c r="AZ128" s="232">
        <v>0</v>
      </c>
      <c r="BA128" s="223"/>
      <c r="BB128" s="240">
        <v>402.2</v>
      </c>
      <c r="BC128" s="236">
        <v>47.161336398411699</v>
      </c>
      <c r="BD128" s="237" t="s">
        <v>56</v>
      </c>
      <c r="BE128" s="234">
        <v>1.47379176245037</v>
      </c>
      <c r="BF128" s="235">
        <v>104.191549152256</v>
      </c>
      <c r="BG128" s="224">
        <v>0.02</v>
      </c>
      <c r="BH128" s="224">
        <v>0.02</v>
      </c>
      <c r="BI128" s="232">
        <v>0</v>
      </c>
      <c r="BJ128" s="232">
        <v>0</v>
      </c>
      <c r="BK128" s="225"/>
      <c r="BL128" s="241">
        <v>0.8</v>
      </c>
      <c r="BM128" s="244">
        <v>0.79</v>
      </c>
      <c r="BN128" s="242"/>
      <c r="BO128" s="243">
        <v>0.95</v>
      </c>
      <c r="BP128" s="234">
        <v>1</v>
      </c>
      <c r="BQ128" s="242">
        <v>2.5000000000000001E-3</v>
      </c>
    </row>
    <row r="129" spans="1:69" s="211" customFormat="1" ht="22.35" customHeight="1" x14ac:dyDescent="0.2">
      <c r="A129" s="221" t="s">
        <v>176</v>
      </c>
      <c r="B129" s="221" t="s">
        <v>188</v>
      </c>
      <c r="C129" s="221" t="s">
        <v>188</v>
      </c>
      <c r="D129" s="222">
        <v>4.1541729739999997</v>
      </c>
      <c r="E129" s="223"/>
      <c r="F129" s="224">
        <v>0.08</v>
      </c>
      <c r="G129" s="224">
        <v>7.0000000000000007E-2</v>
      </c>
      <c r="H129" s="225"/>
      <c r="I129" s="226">
        <v>7</v>
      </c>
      <c r="J129" s="226">
        <v>7</v>
      </c>
      <c r="K129" s="223"/>
      <c r="L129" s="227">
        <v>2018.87652</v>
      </c>
      <c r="M129" s="227">
        <v>2638.0044600000001</v>
      </c>
      <c r="N129" s="227">
        <v>4656.8809799999999</v>
      </c>
      <c r="O129" s="222">
        <v>1121.01277658546</v>
      </c>
      <c r="P129" s="228">
        <v>212.5</v>
      </c>
      <c r="Q129" s="234">
        <v>5.2753542427551103</v>
      </c>
      <c r="R129" s="235">
        <v>3692.9051413832999</v>
      </c>
      <c r="S129" s="224">
        <v>0.01</v>
      </c>
      <c r="T129" s="224">
        <v>0.01</v>
      </c>
      <c r="U129" s="231">
        <v>0</v>
      </c>
      <c r="V129" s="232">
        <v>0</v>
      </c>
      <c r="W129" s="223"/>
      <c r="X129" s="231">
        <v>2765.57357</v>
      </c>
      <c r="Y129" s="222">
        <v>665.73385059049804</v>
      </c>
      <c r="Z129" s="233">
        <v>573</v>
      </c>
      <c r="AA129" s="234">
        <v>1.1618391807862101</v>
      </c>
      <c r="AB129" s="235">
        <v>166.24107340061599</v>
      </c>
      <c r="AC129" s="224">
        <v>0.02</v>
      </c>
      <c r="AD129" s="224">
        <v>1.6E-2</v>
      </c>
      <c r="AE129" s="232">
        <v>0</v>
      </c>
      <c r="AF129" s="232">
        <v>91</v>
      </c>
      <c r="AG129" s="223"/>
      <c r="AH129" s="236">
        <v>298</v>
      </c>
      <c r="AI129" s="222">
        <v>71.735096700381206</v>
      </c>
      <c r="AJ129" s="237" t="s">
        <v>54</v>
      </c>
      <c r="AK129" s="234">
        <v>1.1386523285774801</v>
      </c>
      <c r="AL129" s="235">
        <v>12.2095160806959</v>
      </c>
      <c r="AM129" s="224">
        <v>0.02</v>
      </c>
      <c r="AN129" s="224">
        <v>1.4E-2</v>
      </c>
      <c r="AO129" s="232">
        <v>0</v>
      </c>
      <c r="AP129" s="232">
        <v>17</v>
      </c>
      <c r="AQ129" s="223"/>
      <c r="AR129" s="236">
        <v>98.8</v>
      </c>
      <c r="AS129" s="222">
        <v>23.783313939589501</v>
      </c>
      <c r="AT129" s="237" t="s">
        <v>55</v>
      </c>
      <c r="AU129" s="234">
        <v>1.48645712122434</v>
      </c>
      <c r="AV129" s="235">
        <v>26.218289798272</v>
      </c>
      <c r="AW129" s="224">
        <v>0.01</v>
      </c>
      <c r="AX129" s="224">
        <v>0.01</v>
      </c>
      <c r="AY129" s="232">
        <v>0</v>
      </c>
      <c r="AZ129" s="232">
        <v>0</v>
      </c>
      <c r="BA129" s="223"/>
      <c r="BB129" s="240">
        <v>229.8</v>
      </c>
      <c r="BC129" s="236">
        <v>55.317869871636198</v>
      </c>
      <c r="BD129" s="237" t="s">
        <v>56</v>
      </c>
      <c r="BE129" s="234">
        <v>1.7286834334886301</v>
      </c>
      <c r="BF129" s="235">
        <v>84.636579596543996</v>
      </c>
      <c r="BG129" s="224">
        <v>0.02</v>
      </c>
      <c r="BH129" s="224">
        <v>0.02</v>
      </c>
      <c r="BI129" s="232">
        <v>0</v>
      </c>
      <c r="BJ129" s="232">
        <v>0</v>
      </c>
      <c r="BK129" s="225"/>
      <c r="BL129" s="241">
        <v>0.8</v>
      </c>
      <c r="BM129" s="238">
        <v>0.82</v>
      </c>
      <c r="BN129" s="242">
        <v>7.5000000000000002E-4</v>
      </c>
      <c r="BO129" s="243">
        <v>0.95</v>
      </c>
      <c r="BP129" s="234">
        <v>1</v>
      </c>
      <c r="BQ129" s="242">
        <v>2.5000000000000001E-3</v>
      </c>
    </row>
    <row r="130" spans="1:69" s="211" customFormat="1" ht="22.35" customHeight="1" x14ac:dyDescent="0.2">
      <c r="A130" s="221" t="s">
        <v>176</v>
      </c>
      <c r="B130" s="221" t="s">
        <v>188</v>
      </c>
      <c r="C130" s="221" t="s">
        <v>191</v>
      </c>
      <c r="D130" s="222">
        <v>3.1974210582222198</v>
      </c>
      <c r="E130" s="223"/>
      <c r="F130" s="224">
        <v>0.03</v>
      </c>
      <c r="G130" s="224">
        <v>2.3E-2</v>
      </c>
      <c r="H130" s="225"/>
      <c r="I130" s="226">
        <v>4</v>
      </c>
      <c r="J130" s="226">
        <v>4</v>
      </c>
      <c r="K130" s="223"/>
      <c r="L130" s="227">
        <v>2174.2863600000001</v>
      </c>
      <c r="M130" s="227">
        <v>2769.0284099999999</v>
      </c>
      <c r="N130" s="227">
        <v>4943.31477</v>
      </c>
      <c r="O130" s="222">
        <v>1546.0318425339001</v>
      </c>
      <c r="P130" s="228">
        <v>212.5</v>
      </c>
      <c r="Q130" s="234">
        <v>7.2754439648654099</v>
      </c>
      <c r="R130" s="235">
        <v>4201.35321343953</v>
      </c>
      <c r="S130" s="224">
        <v>0.01</v>
      </c>
      <c r="T130" s="224">
        <v>0.01</v>
      </c>
      <c r="U130" s="231">
        <v>0</v>
      </c>
      <c r="V130" s="232">
        <v>0</v>
      </c>
      <c r="W130" s="223"/>
      <c r="X130" s="231">
        <v>1276.3999349999999</v>
      </c>
      <c r="Y130" s="222">
        <v>399.196700014756</v>
      </c>
      <c r="Z130" s="233">
        <v>573</v>
      </c>
      <c r="AA130" s="229">
        <v>0.696678359537096</v>
      </c>
      <c r="AB130" s="230">
        <v>-724.277579866574</v>
      </c>
      <c r="AC130" s="224"/>
      <c r="AD130" s="224"/>
      <c r="AE130" s="232">
        <v>556</v>
      </c>
      <c r="AF130" s="232">
        <v>923</v>
      </c>
      <c r="AG130" s="223"/>
      <c r="AH130" s="236">
        <v>110.9</v>
      </c>
      <c r="AI130" s="222">
        <v>34.6842026685284</v>
      </c>
      <c r="AJ130" s="237" t="s">
        <v>54</v>
      </c>
      <c r="AK130" s="229">
        <v>0.55054289950044999</v>
      </c>
      <c r="AL130" s="230">
        <v>-109.06977912145599</v>
      </c>
      <c r="AM130" s="224"/>
      <c r="AN130" s="224"/>
      <c r="AO130" s="232">
        <v>91</v>
      </c>
      <c r="AP130" s="232">
        <v>131</v>
      </c>
      <c r="AQ130" s="223"/>
      <c r="AR130" s="236">
        <v>24</v>
      </c>
      <c r="AS130" s="222">
        <v>7.5060492700151604</v>
      </c>
      <c r="AT130" s="237" t="s">
        <v>55</v>
      </c>
      <c r="AU130" s="229">
        <v>0.46912807937594803</v>
      </c>
      <c r="AV130" s="230">
        <v>-31.865340729258602</v>
      </c>
      <c r="AW130" s="224"/>
      <c r="AX130" s="224"/>
      <c r="AY130" s="232">
        <v>28</v>
      </c>
      <c r="AZ130" s="232">
        <v>38</v>
      </c>
      <c r="BA130" s="223"/>
      <c r="BB130" s="240">
        <v>116</v>
      </c>
      <c r="BC130" s="236">
        <v>36.279238138406598</v>
      </c>
      <c r="BD130" s="237" t="s">
        <v>56</v>
      </c>
      <c r="BE130" s="234">
        <v>1.13372619182521</v>
      </c>
      <c r="BF130" s="235">
        <v>4.2693185414827504</v>
      </c>
      <c r="BG130" s="224">
        <v>0.02</v>
      </c>
      <c r="BH130" s="224">
        <v>1.2999999999999999E-2</v>
      </c>
      <c r="BI130" s="232">
        <v>0</v>
      </c>
      <c r="BJ130" s="232">
        <v>7</v>
      </c>
      <c r="BK130" s="225"/>
      <c r="BL130" s="241">
        <v>0.8</v>
      </c>
      <c r="BM130" s="238">
        <v>0.81</v>
      </c>
      <c r="BN130" s="242">
        <v>3.7500000000000001E-4</v>
      </c>
      <c r="BO130" s="243">
        <v>0.95</v>
      </c>
      <c r="BP130" s="234">
        <v>1</v>
      </c>
      <c r="BQ130" s="242">
        <v>2.5000000000000001E-3</v>
      </c>
    </row>
    <row r="131" spans="1:69" s="211" customFormat="1" ht="22.35" customHeight="1" x14ac:dyDescent="0.2">
      <c r="A131" s="221" t="s">
        <v>176</v>
      </c>
      <c r="B131" s="221" t="s">
        <v>188</v>
      </c>
      <c r="C131" s="221" t="s">
        <v>192</v>
      </c>
      <c r="D131" s="222">
        <v>3.6646238142222201</v>
      </c>
      <c r="E131" s="223"/>
      <c r="F131" s="224">
        <v>4.5999999999999999E-2</v>
      </c>
      <c r="G131" s="224">
        <v>2.4E-2</v>
      </c>
      <c r="H131" s="225"/>
      <c r="I131" s="226">
        <v>6</v>
      </c>
      <c r="J131" s="226">
        <v>5</v>
      </c>
      <c r="K131" s="223"/>
      <c r="L131" s="227">
        <v>722.55963999999994</v>
      </c>
      <c r="M131" s="227">
        <v>1290.97102</v>
      </c>
      <c r="N131" s="227">
        <v>2013.5306599999999</v>
      </c>
      <c r="O131" s="222">
        <v>549.450847365448</v>
      </c>
      <c r="P131" s="228">
        <v>212.5</v>
      </c>
      <c r="Q131" s="234">
        <v>2.5856510464256401</v>
      </c>
      <c r="R131" s="235">
        <v>1163.15470390973</v>
      </c>
      <c r="S131" s="224">
        <v>0.01</v>
      </c>
      <c r="T131" s="224">
        <v>0.01</v>
      </c>
      <c r="U131" s="231">
        <v>0</v>
      </c>
      <c r="V131" s="232">
        <v>0</v>
      </c>
      <c r="W131" s="223"/>
      <c r="X131" s="231">
        <v>1935.76926</v>
      </c>
      <c r="Y131" s="222">
        <v>528.23137056725295</v>
      </c>
      <c r="Z131" s="233">
        <v>573</v>
      </c>
      <c r="AA131" s="238">
        <v>0.92186975666187299</v>
      </c>
      <c r="AB131" s="239">
        <v>-357.24449453987</v>
      </c>
      <c r="AC131" s="224">
        <v>1E-3</v>
      </c>
      <c r="AD131" s="224"/>
      <c r="AE131" s="232">
        <v>165</v>
      </c>
      <c r="AF131" s="232">
        <v>585</v>
      </c>
      <c r="AG131" s="223"/>
      <c r="AH131" s="236">
        <v>242.1</v>
      </c>
      <c r="AI131" s="222">
        <v>66.0640797727783</v>
      </c>
      <c r="AJ131" s="237" t="s">
        <v>54</v>
      </c>
      <c r="AK131" s="238">
        <v>1.0486361868695</v>
      </c>
      <c r="AL131" s="239">
        <v>-10.0114599232319</v>
      </c>
      <c r="AM131" s="224">
        <v>1.4999999999999999E-2</v>
      </c>
      <c r="AN131" s="224">
        <v>5.0000000000000001E-3</v>
      </c>
      <c r="AO131" s="232">
        <v>0</v>
      </c>
      <c r="AP131" s="232">
        <v>35</v>
      </c>
      <c r="AQ131" s="223"/>
      <c r="AR131" s="236">
        <v>37.9</v>
      </c>
      <c r="AS131" s="222">
        <v>10.3421256645531</v>
      </c>
      <c r="AT131" s="237" t="s">
        <v>55</v>
      </c>
      <c r="AU131" s="229">
        <v>0.64638285403456597</v>
      </c>
      <c r="AV131" s="230">
        <v>-26.128307282090599</v>
      </c>
      <c r="AW131" s="224"/>
      <c r="AX131" s="224"/>
      <c r="AY131" s="232">
        <v>21</v>
      </c>
      <c r="AZ131" s="232">
        <v>33</v>
      </c>
      <c r="BA131" s="223"/>
      <c r="BB131" s="240">
        <v>127.6</v>
      </c>
      <c r="BC131" s="236">
        <v>34.819399335012399</v>
      </c>
      <c r="BD131" s="237" t="s">
        <v>56</v>
      </c>
      <c r="BE131" s="234">
        <v>1.0881062292191399</v>
      </c>
      <c r="BF131" s="235">
        <v>-0.45661456418123703</v>
      </c>
      <c r="BG131" s="224">
        <v>0.02</v>
      </c>
      <c r="BH131" s="224">
        <v>8.9999999999999993E-3</v>
      </c>
      <c r="BI131" s="232">
        <v>0</v>
      </c>
      <c r="BJ131" s="232">
        <v>14</v>
      </c>
      <c r="BK131" s="225"/>
      <c r="BL131" s="241">
        <v>0.8</v>
      </c>
      <c r="BM131" s="238">
        <v>0.84</v>
      </c>
      <c r="BN131" s="242">
        <v>1.5E-3</v>
      </c>
      <c r="BO131" s="243">
        <v>0.95</v>
      </c>
      <c r="BP131" s="234">
        <v>1</v>
      </c>
      <c r="BQ131" s="242">
        <v>2.5000000000000001E-3</v>
      </c>
    </row>
    <row r="132" spans="1:69" s="211" customFormat="1" ht="22.35" customHeight="1" x14ac:dyDescent="0.2">
      <c r="A132" s="221" t="s">
        <v>176</v>
      </c>
      <c r="B132" s="221" t="s">
        <v>188</v>
      </c>
      <c r="C132" s="221" t="s">
        <v>193</v>
      </c>
      <c r="D132" s="222">
        <v>2.8205915805555599</v>
      </c>
      <c r="E132" s="223"/>
      <c r="F132" s="224">
        <v>4.1500000000000002E-2</v>
      </c>
      <c r="G132" s="224">
        <v>0.04</v>
      </c>
      <c r="H132" s="225"/>
      <c r="I132" s="226">
        <v>4</v>
      </c>
      <c r="J132" s="226">
        <v>3</v>
      </c>
      <c r="K132" s="223"/>
      <c r="L132" s="227">
        <v>-947.50597000000005</v>
      </c>
      <c r="M132" s="227">
        <v>675.74381000000005</v>
      </c>
      <c r="N132" s="227">
        <v>-271.76215999999999</v>
      </c>
      <c r="O132" s="222">
        <v>-96.349348084798805</v>
      </c>
      <c r="P132" s="228">
        <v>212.5</v>
      </c>
      <c r="Q132" s="229">
        <v>-0.45340869686964103</v>
      </c>
      <c r="R132" s="230">
        <v>-926.28043626791805</v>
      </c>
      <c r="S132" s="224"/>
      <c r="T132" s="224"/>
      <c r="U132" s="231">
        <v>872</v>
      </c>
      <c r="V132" s="232">
        <v>992</v>
      </c>
      <c r="W132" s="223"/>
      <c r="X132" s="231">
        <v>1429.8662850000001</v>
      </c>
      <c r="Y132" s="222">
        <v>506.93843619797201</v>
      </c>
      <c r="Z132" s="233">
        <v>573</v>
      </c>
      <c r="AA132" s="244">
        <v>0.88470931273642595</v>
      </c>
      <c r="AB132" s="227">
        <v>-335.02299641890301</v>
      </c>
      <c r="AC132" s="224"/>
      <c r="AD132" s="224"/>
      <c r="AE132" s="232">
        <v>187</v>
      </c>
      <c r="AF132" s="232">
        <v>510</v>
      </c>
      <c r="AG132" s="223"/>
      <c r="AH132" s="236">
        <v>218.65</v>
      </c>
      <c r="AI132" s="222">
        <v>77.5191989890765</v>
      </c>
      <c r="AJ132" s="237" t="s">
        <v>54</v>
      </c>
      <c r="AK132" s="234">
        <v>1.2304634760170901</v>
      </c>
      <c r="AL132" s="235">
        <v>24.604581624099701</v>
      </c>
      <c r="AM132" s="224">
        <v>0.02</v>
      </c>
      <c r="AN132" s="224">
        <v>0.02</v>
      </c>
      <c r="AO132" s="232">
        <v>0</v>
      </c>
      <c r="AP132" s="232">
        <v>0</v>
      </c>
      <c r="AQ132" s="223"/>
      <c r="AR132" s="236">
        <v>42.2</v>
      </c>
      <c r="AS132" s="222">
        <v>14.961400399446701</v>
      </c>
      <c r="AT132" s="237" t="s">
        <v>55</v>
      </c>
      <c r="AU132" s="238">
        <v>0.93508752496542102</v>
      </c>
      <c r="AV132" s="239">
        <v>-7.08137609546674</v>
      </c>
      <c r="AW132" s="224">
        <v>1.5E-3</v>
      </c>
      <c r="AX132" s="224"/>
      <c r="AY132" s="232">
        <v>3</v>
      </c>
      <c r="AZ132" s="232">
        <v>12</v>
      </c>
      <c r="BA132" s="223"/>
      <c r="BB132" s="240">
        <v>130</v>
      </c>
      <c r="BC132" s="236">
        <v>46.0896220836037</v>
      </c>
      <c r="BD132" s="237" t="s">
        <v>56</v>
      </c>
      <c r="BE132" s="234">
        <v>1.4403006901126201</v>
      </c>
      <c r="BF132" s="235">
        <v>31.437247809066498</v>
      </c>
      <c r="BG132" s="224">
        <v>0.02</v>
      </c>
      <c r="BH132" s="224">
        <v>0.02</v>
      </c>
      <c r="BI132" s="232">
        <v>0</v>
      </c>
      <c r="BJ132" s="232">
        <v>0</v>
      </c>
      <c r="BK132" s="225"/>
      <c r="BL132" s="241">
        <v>0.8</v>
      </c>
      <c r="BM132" s="244">
        <v>0.79</v>
      </c>
      <c r="BN132" s="242"/>
      <c r="BO132" s="243">
        <v>0.95</v>
      </c>
      <c r="BP132" s="234">
        <v>1</v>
      </c>
      <c r="BQ132" s="242">
        <v>2.5000000000000001E-3</v>
      </c>
    </row>
    <row r="133" spans="1:69" s="211" customFormat="1" ht="22.35" customHeight="1" x14ac:dyDescent="0.2">
      <c r="A133" s="221" t="s">
        <v>176</v>
      </c>
      <c r="B133" s="221" t="s">
        <v>188</v>
      </c>
      <c r="C133" s="221" t="s">
        <v>194</v>
      </c>
      <c r="D133" s="222">
        <v>1.9545245414444401</v>
      </c>
      <c r="E133" s="223"/>
      <c r="F133" s="224">
        <v>6.9000000000000006E-2</v>
      </c>
      <c r="G133" s="224">
        <v>5.8000000000000003E-2</v>
      </c>
      <c r="H133" s="225"/>
      <c r="I133" s="226">
        <v>6</v>
      </c>
      <c r="J133" s="226">
        <v>6</v>
      </c>
      <c r="K133" s="223"/>
      <c r="L133" s="227">
        <v>688.44727999999998</v>
      </c>
      <c r="M133" s="227">
        <v>603.34360000000004</v>
      </c>
      <c r="N133" s="227">
        <v>1291.79088</v>
      </c>
      <c r="O133" s="222">
        <v>660.92333588471195</v>
      </c>
      <c r="P133" s="228">
        <v>212.5</v>
      </c>
      <c r="Q133" s="234">
        <v>3.11022746298688</v>
      </c>
      <c r="R133" s="235">
        <v>838.24346015781805</v>
      </c>
      <c r="S133" s="224">
        <v>0.01</v>
      </c>
      <c r="T133" s="224">
        <v>0.01</v>
      </c>
      <c r="U133" s="231">
        <v>0</v>
      </c>
      <c r="V133" s="232">
        <v>0</v>
      </c>
      <c r="W133" s="223"/>
      <c r="X133" s="231">
        <v>1786.8228799999999</v>
      </c>
      <c r="Y133" s="222">
        <v>914.19823190323905</v>
      </c>
      <c r="Z133" s="233">
        <v>573</v>
      </c>
      <c r="AA133" s="234">
        <v>1.5954593925012901</v>
      </c>
      <c r="AB133" s="235">
        <v>563.84560202555099</v>
      </c>
      <c r="AC133" s="224">
        <v>0.02</v>
      </c>
      <c r="AD133" s="224">
        <v>0.02</v>
      </c>
      <c r="AE133" s="232">
        <v>0</v>
      </c>
      <c r="AF133" s="232">
        <v>0</v>
      </c>
      <c r="AG133" s="223"/>
      <c r="AH133" s="236">
        <v>133.30000000000001</v>
      </c>
      <c r="AI133" s="222">
        <v>68.200729729127801</v>
      </c>
      <c r="AJ133" s="237" t="s">
        <v>54</v>
      </c>
      <c r="AK133" s="238">
        <v>1.08255126554171</v>
      </c>
      <c r="AL133" s="239">
        <v>-1.1634703532116899</v>
      </c>
      <c r="AM133" s="224">
        <v>1.9E-2</v>
      </c>
      <c r="AN133" s="224">
        <v>8.0000000000000002E-3</v>
      </c>
      <c r="AO133" s="232">
        <v>0</v>
      </c>
      <c r="AP133" s="232">
        <v>15</v>
      </c>
      <c r="AQ133" s="223"/>
      <c r="AR133" s="236">
        <v>20.7</v>
      </c>
      <c r="AS133" s="222">
        <v>10.590810993195401</v>
      </c>
      <c r="AT133" s="237" t="s">
        <v>55</v>
      </c>
      <c r="AU133" s="229">
        <v>0.661925687074711</v>
      </c>
      <c r="AV133" s="230">
        <v>-13.4494527881173</v>
      </c>
      <c r="AW133" s="224"/>
      <c r="AX133" s="224"/>
      <c r="AY133" s="232">
        <v>11</v>
      </c>
      <c r="AZ133" s="232">
        <v>17</v>
      </c>
      <c r="BA133" s="223"/>
      <c r="BB133" s="240">
        <v>94.6</v>
      </c>
      <c r="BC133" s="236">
        <v>48.400517872284198</v>
      </c>
      <c r="BD133" s="237" t="s">
        <v>56</v>
      </c>
      <c r="BE133" s="234">
        <v>1.5125161835088801</v>
      </c>
      <c r="BF133" s="235">
        <v>26.301094423765502</v>
      </c>
      <c r="BG133" s="224">
        <v>0.02</v>
      </c>
      <c r="BH133" s="224">
        <v>0.02</v>
      </c>
      <c r="BI133" s="232">
        <v>0</v>
      </c>
      <c r="BJ133" s="232">
        <v>0</v>
      </c>
      <c r="BK133" s="225"/>
      <c r="BL133" s="241">
        <v>0.8</v>
      </c>
      <c r="BM133" s="238">
        <v>0.89</v>
      </c>
      <c r="BN133" s="242">
        <v>3.375E-3</v>
      </c>
      <c r="BO133" s="243">
        <v>0.95</v>
      </c>
      <c r="BP133" s="234">
        <v>1</v>
      </c>
      <c r="BQ133" s="242">
        <v>2.5000000000000001E-3</v>
      </c>
    </row>
    <row r="134" spans="1:69" s="211" customFormat="1" ht="22.35" customHeight="1" x14ac:dyDescent="0.2">
      <c r="A134" s="221" t="s">
        <v>176</v>
      </c>
      <c r="B134" s="221" t="s">
        <v>188</v>
      </c>
      <c r="C134" s="221" t="s">
        <v>195</v>
      </c>
      <c r="D134" s="222">
        <v>5.99043692788889</v>
      </c>
      <c r="E134" s="223"/>
      <c r="F134" s="224">
        <v>3.6999999999999998E-2</v>
      </c>
      <c r="G134" s="224">
        <v>2.1000000000000001E-2</v>
      </c>
      <c r="H134" s="225"/>
      <c r="I134" s="226">
        <v>5</v>
      </c>
      <c r="J134" s="226">
        <v>4</v>
      </c>
      <c r="K134" s="223"/>
      <c r="L134" s="227">
        <v>3037.2775000000001</v>
      </c>
      <c r="M134" s="227">
        <v>-552.50789999999995</v>
      </c>
      <c r="N134" s="227">
        <v>2484.7696000000001</v>
      </c>
      <c r="O134" s="222">
        <v>414.789376786856</v>
      </c>
      <c r="P134" s="228">
        <v>212.5</v>
      </c>
      <c r="Q134" s="234">
        <v>1.95195000840873</v>
      </c>
      <c r="R134" s="235">
        <v>1094.6887108833801</v>
      </c>
      <c r="S134" s="224">
        <v>0.01</v>
      </c>
      <c r="T134" s="224">
        <v>0.01</v>
      </c>
      <c r="U134" s="231">
        <v>0</v>
      </c>
      <c r="V134" s="232">
        <v>0</v>
      </c>
      <c r="W134" s="223"/>
      <c r="X134" s="231">
        <v>2429.9567200000001</v>
      </c>
      <c r="Y134" s="222">
        <v>405.63931300022</v>
      </c>
      <c r="Z134" s="233">
        <v>573</v>
      </c>
      <c r="AA134" s="229">
        <v>0.70792201221678996</v>
      </c>
      <c r="AB134" s="230">
        <v>-1318.3555127709201</v>
      </c>
      <c r="AC134" s="224"/>
      <c r="AD134" s="224"/>
      <c r="AE134" s="232">
        <v>1003</v>
      </c>
      <c r="AF134" s="232">
        <v>1690</v>
      </c>
      <c r="AG134" s="223"/>
      <c r="AH134" s="236">
        <v>367.4</v>
      </c>
      <c r="AI134" s="222">
        <v>61.331085599039397</v>
      </c>
      <c r="AJ134" s="237" t="s">
        <v>54</v>
      </c>
      <c r="AK134" s="238">
        <v>0.97350929522284702</v>
      </c>
      <c r="AL134" s="239">
        <v>-44.7180988910441</v>
      </c>
      <c r="AM134" s="224">
        <v>7.0000000000000001E-3</v>
      </c>
      <c r="AN134" s="224"/>
      <c r="AO134" s="232">
        <v>10</v>
      </c>
      <c r="AP134" s="232">
        <v>86</v>
      </c>
      <c r="AQ134" s="223"/>
      <c r="AR134" s="236">
        <v>61.9</v>
      </c>
      <c r="AS134" s="222">
        <v>10.333136087589899</v>
      </c>
      <c r="AT134" s="237" t="s">
        <v>55</v>
      </c>
      <c r="AU134" s="229">
        <v>0.64582100547437005</v>
      </c>
      <c r="AV134" s="230">
        <v>-42.764914004074697</v>
      </c>
      <c r="AW134" s="224"/>
      <c r="AX134" s="224"/>
      <c r="AY134" s="232">
        <v>34</v>
      </c>
      <c r="AZ134" s="232">
        <v>54</v>
      </c>
      <c r="BA134" s="223"/>
      <c r="BB134" s="240">
        <v>212.2</v>
      </c>
      <c r="BC134" s="236">
        <v>35.423125650833299</v>
      </c>
      <c r="BD134" s="237" t="s">
        <v>56</v>
      </c>
      <c r="BE134" s="234">
        <v>1.1069726765885399</v>
      </c>
      <c r="BF134" s="235">
        <v>2.8701719918506399</v>
      </c>
      <c r="BG134" s="224">
        <v>0.02</v>
      </c>
      <c r="BH134" s="224">
        <v>1.0999999999999999E-2</v>
      </c>
      <c r="BI134" s="232">
        <v>0</v>
      </c>
      <c r="BJ134" s="232">
        <v>18</v>
      </c>
      <c r="BK134" s="225"/>
      <c r="BL134" s="241">
        <v>0.8</v>
      </c>
      <c r="BM134" s="238">
        <v>0.84</v>
      </c>
      <c r="BN134" s="242">
        <v>1.5E-3</v>
      </c>
      <c r="BO134" s="243">
        <v>0.95</v>
      </c>
      <c r="BP134" s="234">
        <v>1</v>
      </c>
      <c r="BQ134" s="242">
        <v>2.5000000000000001E-3</v>
      </c>
    </row>
    <row r="135" spans="1:69" s="211" customFormat="1" ht="22.35" customHeight="1" x14ac:dyDescent="0.2">
      <c r="A135" s="221" t="s">
        <v>176</v>
      </c>
      <c r="B135" s="221" t="s">
        <v>188</v>
      </c>
      <c r="C135" s="221" t="s">
        <v>196</v>
      </c>
      <c r="D135" s="222">
        <v>3.8731675344444398</v>
      </c>
      <c r="E135" s="223"/>
      <c r="F135" s="224">
        <v>6.9000000000000006E-2</v>
      </c>
      <c r="G135" s="224">
        <v>5.5E-2</v>
      </c>
      <c r="H135" s="225"/>
      <c r="I135" s="226">
        <v>6</v>
      </c>
      <c r="J135" s="226">
        <v>6</v>
      </c>
      <c r="K135" s="223"/>
      <c r="L135" s="227">
        <v>1181.1936700000001</v>
      </c>
      <c r="M135" s="227">
        <v>-158.00721999999999</v>
      </c>
      <c r="N135" s="227">
        <v>1023.18645</v>
      </c>
      <c r="O135" s="222">
        <v>264.17304206459102</v>
      </c>
      <c r="P135" s="228">
        <v>212.5</v>
      </c>
      <c r="Q135" s="234">
        <v>1.24316725677454</v>
      </c>
      <c r="R135" s="235">
        <v>124.417923632168</v>
      </c>
      <c r="S135" s="224">
        <v>0.01</v>
      </c>
      <c r="T135" s="224">
        <v>0.01</v>
      </c>
      <c r="U135" s="231">
        <v>0</v>
      </c>
      <c r="V135" s="232">
        <v>0</v>
      </c>
      <c r="W135" s="223"/>
      <c r="X135" s="231">
        <v>2567.868665</v>
      </c>
      <c r="Y135" s="222">
        <v>662.989308405511</v>
      </c>
      <c r="Z135" s="233">
        <v>573</v>
      </c>
      <c r="AA135" s="234">
        <v>1.15704940384906</v>
      </c>
      <c r="AB135" s="235">
        <v>144.365768017563</v>
      </c>
      <c r="AC135" s="224">
        <v>0.02</v>
      </c>
      <c r="AD135" s="224">
        <v>1.6E-2</v>
      </c>
      <c r="AE135" s="232">
        <v>0</v>
      </c>
      <c r="AF135" s="232">
        <v>96</v>
      </c>
      <c r="AG135" s="223"/>
      <c r="AH135" s="236">
        <v>265.2</v>
      </c>
      <c r="AI135" s="222">
        <v>68.471089267776605</v>
      </c>
      <c r="AJ135" s="237" t="s">
        <v>54</v>
      </c>
      <c r="AK135" s="238">
        <v>1.08684268679011</v>
      </c>
      <c r="AL135" s="239">
        <v>-1.2584336996397401</v>
      </c>
      <c r="AM135" s="224">
        <v>1.9E-2</v>
      </c>
      <c r="AN135" s="224">
        <v>8.9999999999999993E-3</v>
      </c>
      <c r="AO135" s="232">
        <v>0</v>
      </c>
      <c r="AP135" s="232">
        <v>28</v>
      </c>
      <c r="AQ135" s="223"/>
      <c r="AR135" s="236">
        <v>55.8</v>
      </c>
      <c r="AS135" s="222">
        <v>14.406812900233501</v>
      </c>
      <c r="AT135" s="237" t="s">
        <v>55</v>
      </c>
      <c r="AU135" s="244">
        <v>0.90042580626459701</v>
      </c>
      <c r="AV135" s="227">
        <v>-11.871983161813301</v>
      </c>
      <c r="AW135" s="224"/>
      <c r="AX135" s="224"/>
      <c r="AY135" s="232">
        <v>7</v>
      </c>
      <c r="AZ135" s="232">
        <v>19</v>
      </c>
      <c r="BA135" s="223"/>
      <c r="BB135" s="240">
        <v>211.8</v>
      </c>
      <c r="BC135" s="236">
        <v>54.683924234219802</v>
      </c>
      <c r="BD135" s="237" t="s">
        <v>56</v>
      </c>
      <c r="BE135" s="234">
        <v>1.7088726323193699</v>
      </c>
      <c r="BF135" s="235">
        <v>76.456033676373494</v>
      </c>
      <c r="BG135" s="224">
        <v>0.02</v>
      </c>
      <c r="BH135" s="224">
        <v>0.02</v>
      </c>
      <c r="BI135" s="232">
        <v>0</v>
      </c>
      <c r="BJ135" s="232">
        <v>0</v>
      </c>
      <c r="BK135" s="225"/>
      <c r="BL135" s="241">
        <v>0.8</v>
      </c>
      <c r="BM135" s="238">
        <v>0.87</v>
      </c>
      <c r="BN135" s="242">
        <v>2.6250000000000002E-3</v>
      </c>
      <c r="BO135" s="243">
        <v>0.95</v>
      </c>
      <c r="BP135" s="234">
        <v>1</v>
      </c>
      <c r="BQ135" s="242">
        <v>2.5000000000000001E-3</v>
      </c>
    </row>
    <row r="136" spans="1:69" s="211" customFormat="1" ht="22.35" customHeight="1" x14ac:dyDescent="0.2">
      <c r="A136" s="221" t="s">
        <v>176</v>
      </c>
      <c r="B136" s="221" t="s">
        <v>188</v>
      </c>
      <c r="C136" s="221" t="s">
        <v>197</v>
      </c>
      <c r="D136" s="222">
        <v>2.7806430641111102</v>
      </c>
      <c r="E136" s="223"/>
      <c r="F136" s="224">
        <v>4.0500000000000001E-2</v>
      </c>
      <c r="G136" s="224">
        <v>2.35E-2</v>
      </c>
      <c r="H136" s="225"/>
      <c r="I136" s="226">
        <v>5</v>
      </c>
      <c r="J136" s="226">
        <v>5</v>
      </c>
      <c r="K136" s="223"/>
      <c r="L136" s="227">
        <v>1364.9541999999999</v>
      </c>
      <c r="M136" s="227">
        <v>-746.21168</v>
      </c>
      <c r="N136" s="227">
        <v>618.74252000000001</v>
      </c>
      <c r="O136" s="222">
        <v>222.51777942516799</v>
      </c>
      <c r="P136" s="228">
        <v>212.5</v>
      </c>
      <c r="Q136" s="238">
        <v>1.04714249141256</v>
      </c>
      <c r="R136" s="239">
        <v>-26.505703026983198</v>
      </c>
      <c r="S136" s="224">
        <v>7.4999999999999997E-3</v>
      </c>
      <c r="T136" s="224">
        <v>2.5000000000000001E-3</v>
      </c>
      <c r="U136" s="231">
        <v>0</v>
      </c>
      <c r="V136" s="232">
        <v>91</v>
      </c>
      <c r="W136" s="223"/>
      <c r="X136" s="231">
        <v>1631.6878999999999</v>
      </c>
      <c r="Y136" s="222">
        <v>586.80235556288505</v>
      </c>
      <c r="Z136" s="233">
        <v>573</v>
      </c>
      <c r="AA136" s="238">
        <v>1.0240878805635001</v>
      </c>
      <c r="AB136" s="239">
        <v>-108.20495550334699</v>
      </c>
      <c r="AC136" s="224">
        <v>1.2999999999999999E-2</v>
      </c>
      <c r="AD136" s="224">
        <v>2E-3</v>
      </c>
      <c r="AE136" s="232">
        <v>0</v>
      </c>
      <c r="AF136" s="232">
        <v>281</v>
      </c>
      <c r="AG136" s="223"/>
      <c r="AH136" s="236">
        <v>147.85</v>
      </c>
      <c r="AI136" s="222">
        <v>53.171153791097296</v>
      </c>
      <c r="AJ136" s="237" t="s">
        <v>54</v>
      </c>
      <c r="AK136" s="244">
        <v>0.84398656811265604</v>
      </c>
      <c r="AL136" s="227">
        <v>-43.447120238587999</v>
      </c>
      <c r="AM136" s="224"/>
      <c r="AN136" s="224"/>
      <c r="AO136" s="232">
        <v>28</v>
      </c>
      <c r="AP136" s="232">
        <v>63</v>
      </c>
      <c r="AQ136" s="223"/>
      <c r="AR136" s="236">
        <v>11</v>
      </c>
      <c r="AS136" s="222">
        <v>3.9559194568959799</v>
      </c>
      <c r="AT136" s="237" t="s">
        <v>55</v>
      </c>
      <c r="AU136" s="229">
        <v>0.24724496605599899</v>
      </c>
      <c r="AV136" s="230">
        <v>-37.583395616149303</v>
      </c>
      <c r="AW136" s="224"/>
      <c r="AX136" s="224"/>
      <c r="AY136" s="232">
        <v>34</v>
      </c>
      <c r="AZ136" s="232">
        <v>43</v>
      </c>
      <c r="BA136" s="223"/>
      <c r="BB136" s="240">
        <v>105.6</v>
      </c>
      <c r="BC136" s="236">
        <v>37.9768267862014</v>
      </c>
      <c r="BD136" s="237" t="s">
        <v>56</v>
      </c>
      <c r="BE136" s="234">
        <v>1.18677583706879</v>
      </c>
      <c r="BF136" s="235">
        <v>8.4332087677013696</v>
      </c>
      <c r="BG136" s="224">
        <v>0.02</v>
      </c>
      <c r="BH136" s="224">
        <v>1.9E-2</v>
      </c>
      <c r="BI136" s="232">
        <v>0</v>
      </c>
      <c r="BJ136" s="232">
        <v>2</v>
      </c>
      <c r="BK136" s="225"/>
      <c r="BL136" s="241">
        <v>0.8</v>
      </c>
      <c r="BM136" s="238">
        <v>0.81</v>
      </c>
      <c r="BN136" s="242">
        <v>3.7500000000000001E-4</v>
      </c>
      <c r="BO136" s="243">
        <v>0.95</v>
      </c>
      <c r="BP136" s="234">
        <v>1</v>
      </c>
      <c r="BQ136" s="242">
        <v>2.5000000000000001E-3</v>
      </c>
    </row>
    <row r="137" spans="1:69" s="211" customFormat="1" ht="22.35" customHeight="1" x14ac:dyDescent="0.2">
      <c r="A137" s="221" t="s">
        <v>176</v>
      </c>
      <c r="B137" s="221" t="s">
        <v>188</v>
      </c>
      <c r="C137" s="221" t="s">
        <v>198</v>
      </c>
      <c r="D137" s="222">
        <v>8.6991771745555599</v>
      </c>
      <c r="E137" s="223"/>
      <c r="F137" s="224">
        <v>2.5000000000000001E-2</v>
      </c>
      <c r="G137" s="224">
        <v>1.4999999999999999E-2</v>
      </c>
      <c r="H137" s="225"/>
      <c r="I137" s="226">
        <v>4</v>
      </c>
      <c r="J137" s="226">
        <v>4</v>
      </c>
      <c r="K137" s="223"/>
      <c r="L137" s="227">
        <v>6075.4373299999997</v>
      </c>
      <c r="M137" s="227">
        <v>3236.0939600000002</v>
      </c>
      <c r="N137" s="227">
        <v>9311.5312900000008</v>
      </c>
      <c r="O137" s="222">
        <v>1070.3921880376799</v>
      </c>
      <c r="P137" s="228">
        <v>226.98400000000001</v>
      </c>
      <c r="Q137" s="234">
        <v>4.7157164735738197</v>
      </c>
      <c r="R137" s="235">
        <v>7155.2964472860604</v>
      </c>
      <c r="S137" s="224">
        <v>0.01</v>
      </c>
      <c r="T137" s="224">
        <v>0.01</v>
      </c>
      <c r="U137" s="231">
        <v>0</v>
      </c>
      <c r="V137" s="232">
        <v>0</v>
      </c>
      <c r="W137" s="223"/>
      <c r="X137" s="231">
        <v>4333.662515</v>
      </c>
      <c r="Y137" s="222">
        <v>498.16924383097302</v>
      </c>
      <c r="Z137" s="233">
        <v>573</v>
      </c>
      <c r="AA137" s="244">
        <v>0.86940531209593896</v>
      </c>
      <c r="AB137" s="227">
        <v>-1109.55182995421</v>
      </c>
      <c r="AC137" s="224"/>
      <c r="AD137" s="224"/>
      <c r="AE137" s="232">
        <v>651</v>
      </c>
      <c r="AF137" s="232">
        <v>1648</v>
      </c>
      <c r="AG137" s="223"/>
      <c r="AH137" s="236">
        <v>389.5</v>
      </c>
      <c r="AI137" s="222">
        <v>44.774349594724697</v>
      </c>
      <c r="AJ137" s="237" t="s">
        <v>54</v>
      </c>
      <c r="AK137" s="229">
        <v>0.71070396182102702</v>
      </c>
      <c r="AL137" s="230">
        <v>-208.96859290072399</v>
      </c>
      <c r="AM137" s="224"/>
      <c r="AN137" s="224"/>
      <c r="AO137" s="232">
        <v>159</v>
      </c>
      <c r="AP137" s="232">
        <v>269</v>
      </c>
      <c r="AQ137" s="223"/>
      <c r="AR137" s="236">
        <v>73.400000000000006</v>
      </c>
      <c r="AS137" s="222">
        <v>8.4375796155399101</v>
      </c>
      <c r="AT137" s="237" t="s">
        <v>55</v>
      </c>
      <c r="AU137" s="229">
        <v>0.52734872597124405</v>
      </c>
      <c r="AV137" s="230">
        <v>-78.592023593834696</v>
      </c>
      <c r="AW137" s="224"/>
      <c r="AX137" s="224"/>
      <c r="AY137" s="232">
        <v>66</v>
      </c>
      <c r="AZ137" s="232">
        <v>94</v>
      </c>
      <c r="BA137" s="223"/>
      <c r="BB137" s="240">
        <v>291.8</v>
      </c>
      <c r="BC137" s="236">
        <v>33.543402340797599</v>
      </c>
      <c r="BD137" s="237" t="s">
        <v>56</v>
      </c>
      <c r="BE137" s="238">
        <v>1.0482313231499301</v>
      </c>
      <c r="BF137" s="239">
        <v>-12.184047187669499</v>
      </c>
      <c r="BG137" s="224">
        <v>1.4999999999999999E-2</v>
      </c>
      <c r="BH137" s="224">
        <v>5.0000000000000001E-3</v>
      </c>
      <c r="BI137" s="232">
        <v>0</v>
      </c>
      <c r="BJ137" s="232">
        <v>43</v>
      </c>
      <c r="BK137" s="225"/>
      <c r="BL137" s="241">
        <v>0.8</v>
      </c>
      <c r="BM137" s="238">
        <v>0.84</v>
      </c>
      <c r="BN137" s="242">
        <v>1.5E-3</v>
      </c>
      <c r="BO137" s="243">
        <v>0.95</v>
      </c>
      <c r="BP137" s="234">
        <v>1</v>
      </c>
      <c r="BQ137" s="242">
        <v>2.5000000000000001E-3</v>
      </c>
    </row>
    <row r="138" spans="1:69" s="211" customFormat="1" ht="22.35" customHeight="1" x14ac:dyDescent="0.2">
      <c r="A138" s="221" t="s">
        <v>176</v>
      </c>
      <c r="B138" s="221" t="s">
        <v>188</v>
      </c>
      <c r="C138" s="221" t="s">
        <v>199</v>
      </c>
      <c r="D138" s="222">
        <v>2.92608844211111</v>
      </c>
      <c r="E138" s="223"/>
      <c r="F138" s="224">
        <v>0.08</v>
      </c>
      <c r="G138" s="224">
        <v>7.3499999999999996E-2</v>
      </c>
      <c r="H138" s="225"/>
      <c r="I138" s="226">
        <v>6</v>
      </c>
      <c r="J138" s="226">
        <v>6</v>
      </c>
      <c r="K138" s="223"/>
      <c r="L138" s="227">
        <v>4911.6354600000004</v>
      </c>
      <c r="M138" s="227">
        <v>450.36396000000002</v>
      </c>
      <c r="N138" s="227">
        <v>5361.9994200000001</v>
      </c>
      <c r="O138" s="222">
        <v>1832.48029787214</v>
      </c>
      <c r="P138" s="228">
        <v>212.5</v>
      </c>
      <c r="Q138" s="234">
        <v>8.6234366958688895</v>
      </c>
      <c r="R138" s="235">
        <v>4683.0005970081202</v>
      </c>
      <c r="S138" s="224">
        <v>0.01</v>
      </c>
      <c r="T138" s="224">
        <v>0.01</v>
      </c>
      <c r="U138" s="231">
        <v>0</v>
      </c>
      <c r="V138" s="232">
        <v>0</v>
      </c>
      <c r="W138" s="223"/>
      <c r="X138" s="231">
        <v>1942.7697499999999</v>
      </c>
      <c r="Y138" s="222">
        <v>663.94772011687098</v>
      </c>
      <c r="Z138" s="233">
        <v>573</v>
      </c>
      <c r="AA138" s="234">
        <v>1.15872202463677</v>
      </c>
      <c r="AB138" s="235">
        <v>111.869394356005</v>
      </c>
      <c r="AC138" s="224">
        <v>0.02</v>
      </c>
      <c r="AD138" s="224">
        <v>1.6E-2</v>
      </c>
      <c r="AE138" s="232">
        <v>0</v>
      </c>
      <c r="AF138" s="232">
        <v>70</v>
      </c>
      <c r="AG138" s="223"/>
      <c r="AH138" s="236">
        <v>254.8</v>
      </c>
      <c r="AI138" s="222">
        <v>87.078707647048105</v>
      </c>
      <c r="AJ138" s="237" t="s">
        <v>54</v>
      </c>
      <c r="AK138" s="234">
        <v>1.3822017086833001</v>
      </c>
      <c r="AL138" s="235">
        <v>53.4968195365241</v>
      </c>
      <c r="AM138" s="224">
        <v>0.02</v>
      </c>
      <c r="AN138" s="224">
        <v>0.02</v>
      </c>
      <c r="AO138" s="232">
        <v>0</v>
      </c>
      <c r="AP138" s="232">
        <v>0</v>
      </c>
      <c r="AQ138" s="223"/>
      <c r="AR138" s="236">
        <v>53.9</v>
      </c>
      <c r="AS138" s="222">
        <v>18.420495848413999</v>
      </c>
      <c r="AT138" s="237" t="s">
        <v>55</v>
      </c>
      <c r="AU138" s="234">
        <v>1.1512809905258801</v>
      </c>
      <c r="AV138" s="235">
        <v>2.7753827394346802</v>
      </c>
      <c r="AW138" s="224">
        <v>0.01</v>
      </c>
      <c r="AX138" s="224">
        <v>7.4999999999999997E-3</v>
      </c>
      <c r="AY138" s="232">
        <v>0</v>
      </c>
      <c r="AZ138" s="232">
        <v>3</v>
      </c>
      <c r="BA138" s="223"/>
      <c r="BB138" s="240">
        <v>147.80000000000001</v>
      </c>
      <c r="BC138" s="236">
        <v>50.511118486003603</v>
      </c>
      <c r="BD138" s="237" t="s">
        <v>56</v>
      </c>
      <c r="BE138" s="234">
        <v>1.5784724526876099</v>
      </c>
      <c r="BF138" s="235">
        <v>45.550765478869401</v>
      </c>
      <c r="BG138" s="224">
        <v>0.02</v>
      </c>
      <c r="BH138" s="224">
        <v>0.02</v>
      </c>
      <c r="BI138" s="232">
        <v>0</v>
      </c>
      <c r="BJ138" s="232">
        <v>0</v>
      </c>
      <c r="BK138" s="225"/>
      <c r="BL138" s="241">
        <v>0.8</v>
      </c>
      <c r="BM138" s="244">
        <v>0.79</v>
      </c>
      <c r="BN138" s="242"/>
      <c r="BO138" s="243">
        <v>0.95</v>
      </c>
      <c r="BP138" s="234">
        <v>1</v>
      </c>
      <c r="BQ138" s="242">
        <v>2.5000000000000001E-3</v>
      </c>
    </row>
    <row r="139" spans="1:69" s="211" customFormat="1" ht="22.35" customHeight="1" x14ac:dyDescent="0.2">
      <c r="A139" s="221" t="s">
        <v>176</v>
      </c>
      <c r="B139" s="221" t="s">
        <v>188</v>
      </c>
      <c r="C139" s="221" t="s">
        <v>200</v>
      </c>
      <c r="D139" s="222">
        <v>2.8460876042222201</v>
      </c>
      <c r="E139" s="223"/>
      <c r="F139" s="224">
        <v>7.1499999999999994E-2</v>
      </c>
      <c r="G139" s="224">
        <v>7.0000000000000007E-2</v>
      </c>
      <c r="H139" s="225"/>
      <c r="I139" s="226">
        <v>6</v>
      </c>
      <c r="J139" s="226">
        <v>5</v>
      </c>
      <c r="K139" s="223"/>
      <c r="L139" s="227">
        <v>1525.6712399999999</v>
      </c>
      <c r="M139" s="227">
        <v>71.622029999999995</v>
      </c>
      <c r="N139" s="227">
        <v>1597.2932699999999</v>
      </c>
      <c r="O139" s="222">
        <v>561.22421095906805</v>
      </c>
      <c r="P139" s="228">
        <v>212.5</v>
      </c>
      <c r="Q139" s="234">
        <v>2.6410551103956101</v>
      </c>
      <c r="R139" s="235">
        <v>936.85864144023401</v>
      </c>
      <c r="S139" s="224">
        <v>0.01</v>
      </c>
      <c r="T139" s="224">
        <v>0.01</v>
      </c>
      <c r="U139" s="231">
        <v>0</v>
      </c>
      <c r="V139" s="232">
        <v>0</v>
      </c>
      <c r="W139" s="223"/>
      <c r="X139" s="231">
        <v>2466.3632699999998</v>
      </c>
      <c r="Y139" s="222">
        <v>866.58023679281905</v>
      </c>
      <c r="Z139" s="233">
        <v>573</v>
      </c>
      <c r="AA139" s="234">
        <v>1.5123564341933999</v>
      </c>
      <c r="AB139" s="235">
        <v>685.52071863648905</v>
      </c>
      <c r="AC139" s="224">
        <v>0.02</v>
      </c>
      <c r="AD139" s="224">
        <v>0.02</v>
      </c>
      <c r="AE139" s="232">
        <v>0</v>
      </c>
      <c r="AF139" s="232">
        <v>0</v>
      </c>
      <c r="AG139" s="223"/>
      <c r="AH139" s="236">
        <v>279.2</v>
      </c>
      <c r="AI139" s="222">
        <v>98.099580485787499</v>
      </c>
      <c r="AJ139" s="237" t="s">
        <v>54</v>
      </c>
      <c r="AK139" s="234">
        <v>1.5571361981870999</v>
      </c>
      <c r="AL139" s="235">
        <v>83.4005571799281</v>
      </c>
      <c r="AM139" s="224">
        <v>0.02</v>
      </c>
      <c r="AN139" s="224">
        <v>0.02</v>
      </c>
      <c r="AO139" s="232">
        <v>0</v>
      </c>
      <c r="AP139" s="232">
        <v>0</v>
      </c>
      <c r="AQ139" s="223"/>
      <c r="AR139" s="236">
        <v>42.6</v>
      </c>
      <c r="AS139" s="222">
        <v>14.9679159337197</v>
      </c>
      <c r="AT139" s="237" t="s">
        <v>55</v>
      </c>
      <c r="AU139" s="238">
        <v>0.93549474585748205</v>
      </c>
      <c r="AV139" s="239">
        <v>-7.1268426209706197</v>
      </c>
      <c r="AW139" s="224">
        <v>1.5E-3</v>
      </c>
      <c r="AX139" s="224"/>
      <c r="AY139" s="232">
        <v>3</v>
      </c>
      <c r="AZ139" s="232">
        <v>13</v>
      </c>
      <c r="BA139" s="223"/>
      <c r="BB139" s="240">
        <v>160.4</v>
      </c>
      <c r="BC139" s="236">
        <v>56.358068445273297</v>
      </c>
      <c r="BD139" s="237" t="s">
        <v>56</v>
      </c>
      <c r="BE139" s="234">
        <v>1.7611896389147901</v>
      </c>
      <c r="BF139" s="235">
        <v>60.946314758058797</v>
      </c>
      <c r="BG139" s="224">
        <v>0.02</v>
      </c>
      <c r="BH139" s="224">
        <v>0.02</v>
      </c>
      <c r="BI139" s="232">
        <v>0</v>
      </c>
      <c r="BJ139" s="232">
        <v>0</v>
      </c>
      <c r="BK139" s="225"/>
      <c r="BL139" s="241">
        <v>0.8</v>
      </c>
      <c r="BM139" s="244">
        <v>0.76</v>
      </c>
      <c r="BN139" s="242"/>
      <c r="BO139" s="243">
        <v>0.95</v>
      </c>
      <c r="BP139" s="234">
        <v>1</v>
      </c>
      <c r="BQ139" s="242">
        <v>2.5000000000000001E-3</v>
      </c>
    </row>
    <row r="140" spans="1:69" s="211" customFormat="1" ht="22.35" customHeight="1" x14ac:dyDescent="0.2">
      <c r="A140" s="221" t="s">
        <v>176</v>
      </c>
      <c r="B140" s="221" t="s">
        <v>188</v>
      </c>
      <c r="C140" s="221" t="s">
        <v>201</v>
      </c>
      <c r="D140" s="222">
        <v>0.62457229755555599</v>
      </c>
      <c r="E140" s="223"/>
      <c r="F140" s="224">
        <v>7.0000000000000007E-2</v>
      </c>
      <c r="G140" s="224">
        <v>5.8999999999999997E-2</v>
      </c>
      <c r="H140" s="225"/>
      <c r="I140" s="226">
        <v>5</v>
      </c>
      <c r="J140" s="226">
        <v>5</v>
      </c>
      <c r="K140" s="223"/>
      <c r="L140" s="227"/>
      <c r="M140" s="227">
        <v>368.28228000000001</v>
      </c>
      <c r="N140" s="227">
        <v>368.28228000000001</v>
      </c>
      <c r="O140" s="222">
        <v>589.65516312743796</v>
      </c>
      <c r="P140" s="228">
        <v>226.98400000000001</v>
      </c>
      <c r="Q140" s="234">
        <v>2.5977829412092399</v>
      </c>
      <c r="R140" s="235">
        <v>213.47171311992199</v>
      </c>
      <c r="S140" s="224">
        <v>0.01</v>
      </c>
      <c r="T140" s="224">
        <v>0.01</v>
      </c>
      <c r="U140" s="231">
        <v>0</v>
      </c>
      <c r="V140" s="232">
        <v>0</v>
      </c>
      <c r="W140" s="223"/>
      <c r="X140" s="231">
        <v>389.79370999999998</v>
      </c>
      <c r="Y140" s="222">
        <v>624.09702051399097</v>
      </c>
      <c r="Z140" s="233">
        <v>573</v>
      </c>
      <c r="AA140" s="234">
        <v>1.0891745558708401</v>
      </c>
      <c r="AB140" s="235">
        <v>-1.0111697372719799</v>
      </c>
      <c r="AC140" s="224">
        <v>0.02</v>
      </c>
      <c r="AD140" s="224">
        <v>8.9999999999999993E-3</v>
      </c>
      <c r="AE140" s="232">
        <v>0</v>
      </c>
      <c r="AF140" s="232">
        <v>40</v>
      </c>
      <c r="AG140" s="223"/>
      <c r="AH140" s="236">
        <v>51.6</v>
      </c>
      <c r="AI140" s="222">
        <v>82.616536471360504</v>
      </c>
      <c r="AJ140" s="237" t="s">
        <v>54</v>
      </c>
      <c r="AK140" s="234">
        <v>1.3113735947834999</v>
      </c>
      <c r="AL140" s="235">
        <v>8.6319242173680006</v>
      </c>
      <c r="AM140" s="224">
        <v>0.02</v>
      </c>
      <c r="AN140" s="224">
        <v>0.02</v>
      </c>
      <c r="AO140" s="232">
        <v>0</v>
      </c>
      <c r="AP140" s="232">
        <v>0</v>
      </c>
      <c r="AQ140" s="223"/>
      <c r="AR140" s="236">
        <v>1</v>
      </c>
      <c r="AS140" s="222">
        <v>1.60109566804962</v>
      </c>
      <c r="AT140" s="237" t="s">
        <v>55</v>
      </c>
      <c r="AU140" s="229">
        <v>0.100068479253101</v>
      </c>
      <c r="AV140" s="230">
        <v>-9.9125271828906705</v>
      </c>
      <c r="AW140" s="224"/>
      <c r="AX140" s="224"/>
      <c r="AY140" s="232">
        <v>9</v>
      </c>
      <c r="AZ140" s="232">
        <v>11</v>
      </c>
      <c r="BA140" s="223"/>
      <c r="BB140" s="240">
        <v>26.2</v>
      </c>
      <c r="BC140" s="236">
        <v>41.948706502900102</v>
      </c>
      <c r="BD140" s="237" t="s">
        <v>56</v>
      </c>
      <c r="BE140" s="234">
        <v>1.31089707821563</v>
      </c>
      <c r="BF140" s="235">
        <v>4.3749456342186699</v>
      </c>
      <c r="BG140" s="224">
        <v>0.02</v>
      </c>
      <c r="BH140" s="224">
        <v>0.02</v>
      </c>
      <c r="BI140" s="232">
        <v>0</v>
      </c>
      <c r="BJ140" s="232">
        <v>0</v>
      </c>
      <c r="BK140" s="225"/>
      <c r="BL140" s="241">
        <v>0.8</v>
      </c>
      <c r="BM140" s="229"/>
      <c r="BN140" s="242"/>
      <c r="BO140" s="243">
        <v>0.95</v>
      </c>
      <c r="BP140" s="234">
        <v>1</v>
      </c>
      <c r="BQ140" s="242">
        <v>2.5000000000000001E-3</v>
      </c>
    </row>
    <row r="141" spans="1:69" s="211" customFormat="1" ht="22.35" customHeight="1" x14ac:dyDescent="0.2">
      <c r="A141" s="221" t="s">
        <v>176</v>
      </c>
      <c r="B141" s="221" t="s">
        <v>202</v>
      </c>
      <c r="C141" s="221" t="s">
        <v>203</v>
      </c>
      <c r="D141" s="222">
        <v>2.7066750453333301</v>
      </c>
      <c r="E141" s="223"/>
      <c r="F141" s="224">
        <v>6.9000000000000006E-2</v>
      </c>
      <c r="G141" s="224">
        <v>5.8000000000000003E-2</v>
      </c>
      <c r="H141" s="225"/>
      <c r="I141" s="226">
        <v>7</v>
      </c>
      <c r="J141" s="226">
        <v>6</v>
      </c>
      <c r="K141" s="223"/>
      <c r="L141" s="227">
        <v>1211.06882</v>
      </c>
      <c r="M141" s="227">
        <v>518.48659999999995</v>
      </c>
      <c r="N141" s="227">
        <v>1729.5554199999999</v>
      </c>
      <c r="O141" s="222">
        <v>638.99632982614003</v>
      </c>
      <c r="P141" s="228">
        <v>287.5</v>
      </c>
      <c r="Q141" s="234">
        <v>2.2225959298300499</v>
      </c>
      <c r="R141" s="235">
        <v>879.79478951760098</v>
      </c>
      <c r="S141" s="224">
        <v>0.01</v>
      </c>
      <c r="T141" s="224">
        <v>0.01</v>
      </c>
      <c r="U141" s="231">
        <v>0</v>
      </c>
      <c r="V141" s="232">
        <v>0</v>
      </c>
      <c r="W141" s="223"/>
      <c r="X141" s="231">
        <v>1829.1500699999999</v>
      </c>
      <c r="Y141" s="222">
        <v>675.79226887752804</v>
      </c>
      <c r="Z141" s="233">
        <v>573</v>
      </c>
      <c r="AA141" s="234">
        <v>1.17939313940232</v>
      </c>
      <c r="AB141" s="235">
        <v>135.54018733421</v>
      </c>
      <c r="AC141" s="224">
        <v>0.02</v>
      </c>
      <c r="AD141" s="224">
        <v>1.7999999999999999E-2</v>
      </c>
      <c r="AE141" s="232">
        <v>0</v>
      </c>
      <c r="AF141" s="232">
        <v>32</v>
      </c>
      <c r="AG141" s="223"/>
      <c r="AH141" s="236">
        <v>168.95</v>
      </c>
      <c r="AI141" s="222">
        <v>62.419757514405802</v>
      </c>
      <c r="AJ141" s="237" t="s">
        <v>54</v>
      </c>
      <c r="AK141" s="238">
        <v>0.99078980181596499</v>
      </c>
      <c r="AL141" s="239">
        <v>-17.2584164187518</v>
      </c>
      <c r="AM141" s="224">
        <v>8.9999999999999993E-3</v>
      </c>
      <c r="AN141" s="224"/>
      <c r="AO141" s="232">
        <v>2</v>
      </c>
      <c r="AP141" s="232">
        <v>36</v>
      </c>
      <c r="AQ141" s="223"/>
      <c r="AR141" s="236">
        <v>57.1</v>
      </c>
      <c r="AS141" s="222">
        <v>21.0959938092487</v>
      </c>
      <c r="AT141" s="237" t="s">
        <v>55</v>
      </c>
      <c r="AU141" s="234">
        <v>1.31849961307805</v>
      </c>
      <c r="AV141" s="235">
        <v>9.8089736079360605</v>
      </c>
      <c r="AW141" s="224">
        <v>0.01</v>
      </c>
      <c r="AX141" s="224">
        <v>0.01</v>
      </c>
      <c r="AY141" s="232">
        <v>0</v>
      </c>
      <c r="AZ141" s="232">
        <v>0</v>
      </c>
      <c r="BA141" s="223"/>
      <c r="BB141" s="240">
        <v>135.4</v>
      </c>
      <c r="BC141" s="236">
        <v>50.024475687780701</v>
      </c>
      <c r="BD141" s="237" t="s">
        <v>56</v>
      </c>
      <c r="BE141" s="234">
        <v>1.56326486524315</v>
      </c>
      <c r="BF141" s="235">
        <v>40.817947215872103</v>
      </c>
      <c r="BG141" s="224">
        <v>0.02</v>
      </c>
      <c r="BH141" s="224">
        <v>0.02</v>
      </c>
      <c r="BI141" s="232">
        <v>0</v>
      </c>
      <c r="BJ141" s="232">
        <v>0</v>
      </c>
      <c r="BK141" s="225"/>
      <c r="BL141" s="241">
        <v>0.8</v>
      </c>
      <c r="BM141" s="238">
        <v>0.88</v>
      </c>
      <c r="BN141" s="242">
        <v>3.0000000000000001E-3</v>
      </c>
      <c r="BO141" s="243">
        <v>0.95</v>
      </c>
      <c r="BP141" s="234">
        <v>1</v>
      </c>
      <c r="BQ141" s="242">
        <v>2.5000000000000001E-3</v>
      </c>
    </row>
    <row r="142" spans="1:69" s="211" customFormat="1" ht="22.35" customHeight="1" x14ac:dyDescent="0.2">
      <c r="A142" s="221" t="s">
        <v>176</v>
      </c>
      <c r="B142" s="221" t="s">
        <v>202</v>
      </c>
      <c r="C142" s="221" t="s">
        <v>204</v>
      </c>
      <c r="D142" s="222">
        <v>2.9894179894444401</v>
      </c>
      <c r="E142" s="223"/>
      <c r="F142" s="224">
        <v>0.08</v>
      </c>
      <c r="G142" s="224">
        <v>6.9000000000000006E-2</v>
      </c>
      <c r="H142" s="225"/>
      <c r="I142" s="226">
        <v>7</v>
      </c>
      <c r="J142" s="226">
        <v>7</v>
      </c>
      <c r="K142" s="223"/>
      <c r="L142" s="227">
        <v>1678.32428</v>
      </c>
      <c r="M142" s="227">
        <v>2936.7939500000002</v>
      </c>
      <c r="N142" s="227">
        <v>4615.11823</v>
      </c>
      <c r="O142" s="222">
        <v>1543.81831055271</v>
      </c>
      <c r="P142" s="228">
        <v>273.93400000000003</v>
      </c>
      <c r="Q142" s="234">
        <v>5.6357309080023299</v>
      </c>
      <c r="R142" s="235">
        <v>3720.8759055476398</v>
      </c>
      <c r="S142" s="224">
        <v>0.01</v>
      </c>
      <c r="T142" s="224">
        <v>0.01</v>
      </c>
      <c r="U142" s="231">
        <v>0</v>
      </c>
      <c r="V142" s="232">
        <v>0</v>
      </c>
      <c r="W142" s="223"/>
      <c r="X142" s="231">
        <v>1986.54628</v>
      </c>
      <c r="Y142" s="222">
        <v>664.52610073748201</v>
      </c>
      <c r="Z142" s="233">
        <v>573</v>
      </c>
      <c r="AA142" s="234">
        <v>1.1597314148996201</v>
      </c>
      <c r="AB142" s="235">
        <v>116.01961331678299</v>
      </c>
      <c r="AC142" s="224">
        <v>0.02</v>
      </c>
      <c r="AD142" s="224">
        <v>1.6E-2</v>
      </c>
      <c r="AE142" s="232">
        <v>0</v>
      </c>
      <c r="AF142" s="232">
        <v>69</v>
      </c>
      <c r="AG142" s="223"/>
      <c r="AH142" s="236">
        <v>213.7</v>
      </c>
      <c r="AI142" s="222">
        <v>71.485486725031095</v>
      </c>
      <c r="AJ142" s="237" t="s">
        <v>54</v>
      </c>
      <c r="AK142" s="234">
        <v>1.1346902654766799</v>
      </c>
      <c r="AL142" s="235">
        <v>8.0399999981802903</v>
      </c>
      <c r="AM142" s="224">
        <v>0.02</v>
      </c>
      <c r="AN142" s="224">
        <v>1.2999999999999999E-2</v>
      </c>
      <c r="AO142" s="232">
        <v>0</v>
      </c>
      <c r="AP142" s="232">
        <v>13</v>
      </c>
      <c r="AQ142" s="223"/>
      <c r="AR142" s="236">
        <v>68.400000000000006</v>
      </c>
      <c r="AS142" s="222">
        <v>22.880707964399299</v>
      </c>
      <c r="AT142" s="237" t="s">
        <v>55</v>
      </c>
      <c r="AU142" s="234">
        <v>1.43004424777495</v>
      </c>
      <c r="AV142" s="235">
        <v>16.1688888884267</v>
      </c>
      <c r="AW142" s="224">
        <v>0.01</v>
      </c>
      <c r="AX142" s="224">
        <v>0.01</v>
      </c>
      <c r="AY142" s="232">
        <v>0</v>
      </c>
      <c r="AZ142" s="232">
        <v>0</v>
      </c>
      <c r="BA142" s="223"/>
      <c r="BB142" s="240">
        <v>129.80000000000001</v>
      </c>
      <c r="BC142" s="236">
        <v>43.419823008465301</v>
      </c>
      <c r="BD142" s="237" t="s">
        <v>56</v>
      </c>
      <c r="BE142" s="234">
        <v>1.35686946901454</v>
      </c>
      <c r="BF142" s="235">
        <v>25.3377777768535</v>
      </c>
      <c r="BG142" s="224">
        <v>0.02</v>
      </c>
      <c r="BH142" s="224">
        <v>0.02</v>
      </c>
      <c r="BI142" s="232">
        <v>0</v>
      </c>
      <c r="BJ142" s="232">
        <v>0</v>
      </c>
      <c r="BK142" s="225"/>
      <c r="BL142" s="241">
        <v>0.8</v>
      </c>
      <c r="BM142" s="238">
        <v>0.83</v>
      </c>
      <c r="BN142" s="242">
        <v>1.1249999999999999E-3</v>
      </c>
      <c r="BO142" s="243">
        <v>0.95</v>
      </c>
      <c r="BP142" s="234">
        <v>1</v>
      </c>
      <c r="BQ142" s="242">
        <v>2.5000000000000001E-3</v>
      </c>
    </row>
    <row r="143" spans="1:69" s="211" customFormat="1" ht="22.35" customHeight="1" x14ac:dyDescent="0.2">
      <c r="A143" s="221" t="s">
        <v>176</v>
      </c>
      <c r="B143" s="221" t="s">
        <v>202</v>
      </c>
      <c r="C143" s="221" t="s">
        <v>205</v>
      </c>
      <c r="D143" s="222">
        <v>2.92477570733333</v>
      </c>
      <c r="E143" s="223"/>
      <c r="F143" s="224">
        <v>0.06</v>
      </c>
      <c r="G143" s="224">
        <v>0.06</v>
      </c>
      <c r="H143" s="225"/>
      <c r="I143" s="226">
        <v>6</v>
      </c>
      <c r="J143" s="226">
        <v>6</v>
      </c>
      <c r="K143" s="223"/>
      <c r="L143" s="227">
        <v>2282.62815</v>
      </c>
      <c r="M143" s="227">
        <v>-65.936790000000002</v>
      </c>
      <c r="N143" s="227">
        <v>2216.6913599999998</v>
      </c>
      <c r="O143" s="222">
        <v>757.90131682305002</v>
      </c>
      <c r="P143" s="228">
        <v>287.5</v>
      </c>
      <c r="Q143" s="234">
        <v>2.6361784932975598</v>
      </c>
      <c r="R143" s="235">
        <v>1298.4580266826999</v>
      </c>
      <c r="S143" s="224">
        <v>0.01</v>
      </c>
      <c r="T143" s="224">
        <v>0.01</v>
      </c>
      <c r="U143" s="231">
        <v>0</v>
      </c>
      <c r="V143" s="232">
        <v>0</v>
      </c>
      <c r="W143" s="223"/>
      <c r="X143" s="231">
        <v>2203.3306499999999</v>
      </c>
      <c r="Y143" s="222">
        <v>753.33320243174796</v>
      </c>
      <c r="Z143" s="233">
        <v>573</v>
      </c>
      <c r="AA143" s="234">
        <v>1.3147176307709401</v>
      </c>
      <c r="AB143" s="235">
        <v>373.25169351021799</v>
      </c>
      <c r="AC143" s="224">
        <v>0.02</v>
      </c>
      <c r="AD143" s="224">
        <v>0.02</v>
      </c>
      <c r="AE143" s="232">
        <v>0</v>
      </c>
      <c r="AF143" s="232">
        <v>0</v>
      </c>
      <c r="AG143" s="223"/>
      <c r="AH143" s="236">
        <v>154.5</v>
      </c>
      <c r="AI143" s="222">
        <v>52.824563474258802</v>
      </c>
      <c r="AJ143" s="237" t="s">
        <v>54</v>
      </c>
      <c r="AK143" s="244">
        <v>0.83848513451204498</v>
      </c>
      <c r="AL143" s="227">
        <v>-46.712869561703798</v>
      </c>
      <c r="AM143" s="224"/>
      <c r="AN143" s="224"/>
      <c r="AO143" s="232">
        <v>30</v>
      </c>
      <c r="AP143" s="232">
        <v>67</v>
      </c>
      <c r="AQ143" s="223"/>
      <c r="AR143" s="236">
        <v>59.7</v>
      </c>
      <c r="AS143" s="222">
        <v>20.411821614325302</v>
      </c>
      <c r="AT143" s="237" t="s">
        <v>55</v>
      </c>
      <c r="AU143" s="234">
        <v>1.27573885089533</v>
      </c>
      <c r="AV143" s="235">
        <v>8.5983188414720608</v>
      </c>
      <c r="AW143" s="224">
        <v>0.01</v>
      </c>
      <c r="AX143" s="224">
        <v>0.01</v>
      </c>
      <c r="AY143" s="232">
        <v>0</v>
      </c>
      <c r="AZ143" s="232">
        <v>0</v>
      </c>
      <c r="BA143" s="223"/>
      <c r="BB143" s="240">
        <v>152</v>
      </c>
      <c r="BC143" s="236">
        <v>51.969797074999001</v>
      </c>
      <c r="BD143" s="237" t="s">
        <v>56</v>
      </c>
      <c r="BE143" s="234">
        <v>1.6240561585937201</v>
      </c>
      <c r="BF143" s="235">
        <v>49.796637682944102</v>
      </c>
      <c r="BG143" s="224">
        <v>0.02</v>
      </c>
      <c r="BH143" s="224">
        <v>0.02</v>
      </c>
      <c r="BI143" s="232">
        <v>0</v>
      </c>
      <c r="BJ143" s="232">
        <v>0</v>
      </c>
      <c r="BK143" s="225"/>
      <c r="BL143" s="241">
        <v>0.8</v>
      </c>
      <c r="BM143" s="238">
        <v>0.83</v>
      </c>
      <c r="BN143" s="242">
        <v>1.1249999999999999E-3</v>
      </c>
      <c r="BO143" s="243">
        <v>0.95</v>
      </c>
      <c r="BP143" s="234">
        <v>1</v>
      </c>
      <c r="BQ143" s="242">
        <v>2.5000000000000001E-3</v>
      </c>
    </row>
    <row r="144" spans="1:69" s="211" customFormat="1" ht="22.35" customHeight="1" x14ac:dyDescent="0.2">
      <c r="A144" s="221" t="s">
        <v>176</v>
      </c>
      <c r="B144" s="221" t="s">
        <v>202</v>
      </c>
      <c r="C144" s="221" t="s">
        <v>206</v>
      </c>
      <c r="D144" s="222">
        <v>2.6681531807777801</v>
      </c>
      <c r="E144" s="223"/>
      <c r="F144" s="224">
        <v>0.04</v>
      </c>
      <c r="G144" s="224">
        <v>0.04</v>
      </c>
      <c r="H144" s="225"/>
      <c r="I144" s="226">
        <v>4</v>
      </c>
      <c r="J144" s="226">
        <v>4</v>
      </c>
      <c r="K144" s="223"/>
      <c r="L144" s="227">
        <v>849.60068999999999</v>
      </c>
      <c r="M144" s="227">
        <v>506.45076999999998</v>
      </c>
      <c r="N144" s="227">
        <v>1356.0514599999999</v>
      </c>
      <c r="O144" s="222">
        <v>508.235985013689</v>
      </c>
      <c r="P144" s="228">
        <v>265.91699999999997</v>
      </c>
      <c r="Q144" s="234">
        <v>1.91125796776321</v>
      </c>
      <c r="R144" s="235">
        <v>581.26950000480997</v>
      </c>
      <c r="S144" s="224">
        <v>0.01</v>
      </c>
      <c r="T144" s="224">
        <v>0.01</v>
      </c>
      <c r="U144" s="231">
        <v>0</v>
      </c>
      <c r="V144" s="232">
        <v>0</v>
      </c>
      <c r="W144" s="223"/>
      <c r="X144" s="231">
        <v>1077.0676450000001</v>
      </c>
      <c r="Y144" s="222">
        <v>403.67534096600502</v>
      </c>
      <c r="Z144" s="233">
        <v>573</v>
      </c>
      <c r="AA144" s="229">
        <v>0.70449448685166705</v>
      </c>
      <c r="AB144" s="230">
        <v>-592.43849066354903</v>
      </c>
      <c r="AC144" s="224"/>
      <c r="AD144" s="224"/>
      <c r="AE144" s="232">
        <v>452</v>
      </c>
      <c r="AF144" s="232">
        <v>758</v>
      </c>
      <c r="AG144" s="223"/>
      <c r="AH144" s="236">
        <v>109.1</v>
      </c>
      <c r="AI144" s="222">
        <v>40.889706327954102</v>
      </c>
      <c r="AJ144" s="237" t="s">
        <v>54</v>
      </c>
      <c r="AK144" s="229">
        <v>0.64904295758657304</v>
      </c>
      <c r="AL144" s="230">
        <v>-74.458266224788204</v>
      </c>
      <c r="AM144" s="224"/>
      <c r="AN144" s="224"/>
      <c r="AO144" s="232">
        <v>59</v>
      </c>
      <c r="AP144" s="232">
        <v>93</v>
      </c>
      <c r="AQ144" s="223"/>
      <c r="AR144" s="236">
        <v>52</v>
      </c>
      <c r="AS144" s="222">
        <v>19.489135921664602</v>
      </c>
      <c r="AT144" s="237" t="s">
        <v>55</v>
      </c>
      <c r="AU144" s="234">
        <v>1.21807099510404</v>
      </c>
      <c r="AV144" s="235">
        <v>5.3820276254506298</v>
      </c>
      <c r="AW144" s="224">
        <v>0.01</v>
      </c>
      <c r="AX144" s="224">
        <v>0.01</v>
      </c>
      <c r="AY144" s="232">
        <v>0</v>
      </c>
      <c r="AZ144" s="232">
        <v>0</v>
      </c>
      <c r="BA144" s="223"/>
      <c r="BB144" s="240">
        <v>102.8</v>
      </c>
      <c r="BC144" s="236">
        <v>38.528522552829301</v>
      </c>
      <c r="BD144" s="237" t="s">
        <v>56</v>
      </c>
      <c r="BE144" s="234">
        <v>1.2040163297759201</v>
      </c>
      <c r="BF144" s="235">
        <v>9.5640552509012497</v>
      </c>
      <c r="BG144" s="224">
        <v>0.02</v>
      </c>
      <c r="BH144" s="224">
        <v>0.02</v>
      </c>
      <c r="BI144" s="232">
        <v>0</v>
      </c>
      <c r="BJ144" s="232">
        <v>0</v>
      </c>
      <c r="BK144" s="225"/>
      <c r="BL144" s="241">
        <v>0.8</v>
      </c>
      <c r="BM144" s="244">
        <v>0.78</v>
      </c>
      <c r="BN144" s="242"/>
      <c r="BO144" s="243">
        <v>0.95</v>
      </c>
      <c r="BP144" s="234">
        <v>1</v>
      </c>
      <c r="BQ144" s="242">
        <v>2.5000000000000001E-3</v>
      </c>
    </row>
    <row r="145" spans="1:69" s="211" customFormat="1" ht="22.35" customHeight="1" x14ac:dyDescent="0.2">
      <c r="A145" s="221" t="s">
        <v>176</v>
      </c>
      <c r="B145" s="221" t="s">
        <v>202</v>
      </c>
      <c r="C145" s="221" t="s">
        <v>207</v>
      </c>
      <c r="D145" s="222">
        <v>10.628939992444399</v>
      </c>
      <c r="E145" s="223"/>
      <c r="F145" s="224">
        <v>6.0499999999999998E-2</v>
      </c>
      <c r="G145" s="224">
        <v>3.5000000000000003E-2</v>
      </c>
      <c r="H145" s="225"/>
      <c r="I145" s="226">
        <v>6</v>
      </c>
      <c r="J145" s="226">
        <v>5</v>
      </c>
      <c r="K145" s="223"/>
      <c r="L145" s="227">
        <v>10037.73885</v>
      </c>
      <c r="M145" s="227">
        <v>3460.8567899999998</v>
      </c>
      <c r="N145" s="227">
        <v>13498.59564</v>
      </c>
      <c r="O145" s="222">
        <v>1269.9851207736101</v>
      </c>
      <c r="P145" s="228">
        <v>287.5</v>
      </c>
      <c r="Q145" s="234">
        <v>4.4173395505168997</v>
      </c>
      <c r="R145" s="235">
        <v>10161.639929372101</v>
      </c>
      <c r="S145" s="224">
        <v>0.01</v>
      </c>
      <c r="T145" s="224">
        <v>0.01</v>
      </c>
      <c r="U145" s="231">
        <v>0</v>
      </c>
      <c r="V145" s="232">
        <v>0</v>
      </c>
      <c r="W145" s="223"/>
      <c r="X145" s="231">
        <v>6238.4005999999999</v>
      </c>
      <c r="Y145" s="222">
        <v>586.92594035101797</v>
      </c>
      <c r="Z145" s="233">
        <v>573</v>
      </c>
      <c r="AA145" s="238">
        <v>1.0243035608220199</v>
      </c>
      <c r="AB145" s="239">
        <v>-412.29721631236401</v>
      </c>
      <c r="AC145" s="224">
        <v>1.2999999999999999E-2</v>
      </c>
      <c r="AD145" s="224">
        <v>2E-3</v>
      </c>
      <c r="AE145" s="232">
        <v>0</v>
      </c>
      <c r="AF145" s="232">
        <v>1071</v>
      </c>
      <c r="AG145" s="223"/>
      <c r="AH145" s="236">
        <v>693.85</v>
      </c>
      <c r="AI145" s="222">
        <v>65.279322349474299</v>
      </c>
      <c r="AJ145" s="237" t="s">
        <v>54</v>
      </c>
      <c r="AK145" s="238">
        <v>1.0361797198329299</v>
      </c>
      <c r="AL145" s="239">
        <v>-37.378555720207601</v>
      </c>
      <c r="AM145" s="224">
        <v>1.4E-2</v>
      </c>
      <c r="AN145" s="224">
        <v>4.0000000000000001E-3</v>
      </c>
      <c r="AO145" s="232">
        <v>0</v>
      </c>
      <c r="AP145" s="232">
        <v>110</v>
      </c>
      <c r="AQ145" s="223"/>
      <c r="AR145" s="236">
        <v>165.1</v>
      </c>
      <c r="AS145" s="222">
        <v>15.533063515022301</v>
      </c>
      <c r="AT145" s="237" t="s">
        <v>55</v>
      </c>
      <c r="AU145" s="238">
        <v>0.97081646968889201</v>
      </c>
      <c r="AV145" s="239">
        <v>-20.608839547989199</v>
      </c>
      <c r="AW145" s="224">
        <v>3.5000000000000001E-3</v>
      </c>
      <c r="AX145" s="224"/>
      <c r="AY145" s="232">
        <v>5</v>
      </c>
      <c r="AZ145" s="232">
        <v>39</v>
      </c>
      <c r="BA145" s="223"/>
      <c r="BB145" s="240">
        <v>405.8</v>
      </c>
      <c r="BC145" s="236">
        <v>38.178783612332197</v>
      </c>
      <c r="BD145" s="237" t="s">
        <v>56</v>
      </c>
      <c r="BE145" s="234">
        <v>1.19308698788538</v>
      </c>
      <c r="BF145" s="235">
        <v>34.382320904021498</v>
      </c>
      <c r="BG145" s="224">
        <v>0.02</v>
      </c>
      <c r="BH145" s="224">
        <v>1.9E-2</v>
      </c>
      <c r="BI145" s="232">
        <v>0</v>
      </c>
      <c r="BJ145" s="232">
        <v>3</v>
      </c>
      <c r="BK145" s="225"/>
      <c r="BL145" s="241">
        <v>0.8</v>
      </c>
      <c r="BM145" s="244">
        <v>0.79</v>
      </c>
      <c r="BN145" s="242"/>
      <c r="BO145" s="243">
        <v>0.95</v>
      </c>
      <c r="BP145" s="234">
        <v>1</v>
      </c>
      <c r="BQ145" s="242">
        <v>2.5000000000000001E-3</v>
      </c>
    </row>
    <row r="146" spans="1:69" s="211" customFormat="1" ht="22.35" customHeight="1" x14ac:dyDescent="0.2">
      <c r="A146" s="221" t="s">
        <v>176</v>
      </c>
      <c r="B146" s="221" t="s">
        <v>202</v>
      </c>
      <c r="C146" s="221" t="s">
        <v>208</v>
      </c>
      <c r="D146" s="222">
        <v>2.3655582742222201</v>
      </c>
      <c r="E146" s="223"/>
      <c r="F146" s="224">
        <v>6.3E-2</v>
      </c>
      <c r="G146" s="224">
        <v>0.05</v>
      </c>
      <c r="H146" s="225"/>
      <c r="I146" s="226">
        <v>6</v>
      </c>
      <c r="J146" s="226">
        <v>5</v>
      </c>
      <c r="K146" s="223"/>
      <c r="L146" s="227">
        <v>1798.9796699999999</v>
      </c>
      <c r="M146" s="227">
        <v>-207.66566</v>
      </c>
      <c r="N146" s="227">
        <v>1591.3140100000001</v>
      </c>
      <c r="O146" s="222">
        <v>672.70125083822404</v>
      </c>
      <c r="P146" s="228">
        <v>212.5</v>
      </c>
      <c r="Q146" s="234">
        <v>3.16565294512105</v>
      </c>
      <c r="R146" s="235">
        <v>1042.3862124667301</v>
      </c>
      <c r="S146" s="224">
        <v>0.01</v>
      </c>
      <c r="T146" s="224">
        <v>0.01</v>
      </c>
      <c r="U146" s="231">
        <v>0</v>
      </c>
      <c r="V146" s="232">
        <v>0</v>
      </c>
      <c r="W146" s="223"/>
      <c r="X146" s="231">
        <v>1489.7648300000001</v>
      </c>
      <c r="Y146" s="222">
        <v>629.77304183716399</v>
      </c>
      <c r="Z146" s="233">
        <v>573</v>
      </c>
      <c r="AA146" s="234">
        <v>1.0990803522463599</v>
      </c>
      <c r="AB146" s="235">
        <v>9.5971688867693992</v>
      </c>
      <c r="AC146" s="224">
        <v>0.02</v>
      </c>
      <c r="AD146" s="224">
        <v>0.01</v>
      </c>
      <c r="AE146" s="232">
        <v>0</v>
      </c>
      <c r="AF146" s="232">
        <v>137</v>
      </c>
      <c r="AG146" s="223"/>
      <c r="AH146" s="236">
        <v>139.6</v>
      </c>
      <c r="AI146" s="222">
        <v>59.013553595883998</v>
      </c>
      <c r="AJ146" s="237" t="s">
        <v>54</v>
      </c>
      <c r="AK146" s="238">
        <v>0.93672307295054003</v>
      </c>
      <c r="AL146" s="239">
        <v>-23.1409470333919</v>
      </c>
      <c r="AM146" s="224">
        <v>3.0000000000000001E-3</v>
      </c>
      <c r="AN146" s="224"/>
      <c r="AO146" s="232">
        <v>10</v>
      </c>
      <c r="AP146" s="232">
        <v>40</v>
      </c>
      <c r="AQ146" s="223"/>
      <c r="AR146" s="236">
        <v>82.1</v>
      </c>
      <c r="AS146" s="222">
        <v>34.7063950588974</v>
      </c>
      <c r="AT146" s="237" t="s">
        <v>55</v>
      </c>
      <c r="AU146" s="234">
        <v>2.1691496911810901</v>
      </c>
      <c r="AV146" s="235">
        <v>40.768965832789398</v>
      </c>
      <c r="AW146" s="224">
        <v>0.01</v>
      </c>
      <c r="AX146" s="224">
        <v>0.01</v>
      </c>
      <c r="AY146" s="232">
        <v>0</v>
      </c>
      <c r="AZ146" s="232">
        <v>0</v>
      </c>
      <c r="BA146" s="223"/>
      <c r="BB146" s="240">
        <v>152</v>
      </c>
      <c r="BC146" s="236">
        <v>64.2554451760342</v>
      </c>
      <c r="BD146" s="237" t="s">
        <v>56</v>
      </c>
      <c r="BE146" s="234">
        <v>2.0079826617510701</v>
      </c>
      <c r="BF146" s="235">
        <v>69.337931665578694</v>
      </c>
      <c r="BG146" s="224">
        <v>0.02</v>
      </c>
      <c r="BH146" s="224">
        <v>0.02</v>
      </c>
      <c r="BI146" s="232">
        <v>0</v>
      </c>
      <c r="BJ146" s="232">
        <v>0</v>
      </c>
      <c r="BK146" s="225"/>
      <c r="BL146" s="241">
        <v>0.8</v>
      </c>
      <c r="BM146" s="244">
        <v>0.78</v>
      </c>
      <c r="BN146" s="242"/>
      <c r="BO146" s="243">
        <v>0.95</v>
      </c>
      <c r="BP146" s="234">
        <v>1</v>
      </c>
      <c r="BQ146" s="242">
        <v>2.5000000000000001E-3</v>
      </c>
    </row>
    <row r="147" spans="1:69" s="211" customFormat="1" ht="22.35" customHeight="1" x14ac:dyDescent="0.2">
      <c r="A147" s="221" t="s">
        <v>176</v>
      </c>
      <c r="B147" s="221" t="s">
        <v>202</v>
      </c>
      <c r="C147" s="221" t="s">
        <v>209</v>
      </c>
      <c r="D147" s="222">
        <v>1.8899021605555599</v>
      </c>
      <c r="E147" s="223"/>
      <c r="F147" s="224">
        <v>6.8000000000000005E-2</v>
      </c>
      <c r="G147" s="224">
        <v>4.8000000000000001E-2</v>
      </c>
      <c r="H147" s="225"/>
      <c r="I147" s="226">
        <v>7</v>
      </c>
      <c r="J147" s="226">
        <v>6</v>
      </c>
      <c r="K147" s="223"/>
      <c r="L147" s="227">
        <v>424.00729000000001</v>
      </c>
      <c r="M147" s="227">
        <v>1220.80368</v>
      </c>
      <c r="N147" s="227">
        <v>1644.81097</v>
      </c>
      <c r="O147" s="222">
        <v>870.31540802963696</v>
      </c>
      <c r="P147" s="228">
        <v>273.64299999999997</v>
      </c>
      <c r="Q147" s="234">
        <v>3.1804775127799201</v>
      </c>
      <c r="R147" s="235">
        <v>1080.07389136237</v>
      </c>
      <c r="S147" s="224">
        <v>0.01</v>
      </c>
      <c r="T147" s="224">
        <v>0.01</v>
      </c>
      <c r="U147" s="231">
        <v>0</v>
      </c>
      <c r="V147" s="232">
        <v>0</v>
      </c>
      <c r="W147" s="223"/>
      <c r="X147" s="231">
        <v>1170.9112</v>
      </c>
      <c r="Y147" s="222">
        <v>619.56180824503599</v>
      </c>
      <c r="Z147" s="233">
        <v>573</v>
      </c>
      <c r="AA147" s="238">
        <v>1.0812597002531199</v>
      </c>
      <c r="AB147" s="239">
        <v>-11.630820294182699</v>
      </c>
      <c r="AC147" s="224">
        <v>1.9E-2</v>
      </c>
      <c r="AD147" s="224">
        <v>8.0000000000000002E-3</v>
      </c>
      <c r="AE147" s="232">
        <v>0</v>
      </c>
      <c r="AF147" s="232">
        <v>129</v>
      </c>
      <c r="AG147" s="223"/>
      <c r="AH147" s="236">
        <v>118</v>
      </c>
      <c r="AI147" s="222">
        <v>62.437094608809097</v>
      </c>
      <c r="AJ147" s="237" t="s">
        <v>54</v>
      </c>
      <c r="AK147" s="238">
        <v>0.99106499379062096</v>
      </c>
      <c r="AL147" s="239">
        <v>-12.0177090375803</v>
      </c>
      <c r="AM147" s="224">
        <v>8.9999999999999993E-3</v>
      </c>
      <c r="AN147" s="224"/>
      <c r="AO147" s="232">
        <v>2</v>
      </c>
      <c r="AP147" s="232">
        <v>25</v>
      </c>
      <c r="AQ147" s="223"/>
      <c r="AR147" s="236">
        <v>59.5</v>
      </c>
      <c r="AS147" s="222">
        <v>31.483111264611399</v>
      </c>
      <c r="AT147" s="237" t="s">
        <v>55</v>
      </c>
      <c r="AU147" s="234">
        <v>1.96769445403821</v>
      </c>
      <c r="AV147" s="235">
        <v>26.479629450773299</v>
      </c>
      <c r="AW147" s="224">
        <v>0.01</v>
      </c>
      <c r="AX147" s="224">
        <v>0.01</v>
      </c>
      <c r="AY147" s="232">
        <v>0</v>
      </c>
      <c r="AZ147" s="232">
        <v>0</v>
      </c>
      <c r="BA147" s="223"/>
      <c r="BB147" s="240">
        <v>82.6</v>
      </c>
      <c r="BC147" s="236">
        <v>43.705966226166403</v>
      </c>
      <c r="BD147" s="237" t="s">
        <v>56</v>
      </c>
      <c r="BE147" s="234">
        <v>1.3658114445677001</v>
      </c>
      <c r="BF147" s="235">
        <v>16.559258901546499</v>
      </c>
      <c r="BG147" s="224">
        <v>0.02</v>
      </c>
      <c r="BH147" s="224">
        <v>0.02</v>
      </c>
      <c r="BI147" s="232">
        <v>0</v>
      </c>
      <c r="BJ147" s="232">
        <v>0</v>
      </c>
      <c r="BK147" s="225"/>
      <c r="BL147" s="241">
        <v>0.8</v>
      </c>
      <c r="BM147" s="238">
        <v>0.87</v>
      </c>
      <c r="BN147" s="242">
        <v>2.6250000000000002E-3</v>
      </c>
      <c r="BO147" s="243">
        <v>0.95</v>
      </c>
      <c r="BP147" s="234">
        <v>1</v>
      </c>
      <c r="BQ147" s="242">
        <v>2.5000000000000001E-3</v>
      </c>
    </row>
    <row r="148" spans="1:69" s="211" customFormat="1" ht="22.35" customHeight="1" x14ac:dyDescent="0.2">
      <c r="A148" s="221" t="s">
        <v>176</v>
      </c>
      <c r="B148" s="221" t="s">
        <v>202</v>
      </c>
      <c r="C148" s="221" t="s">
        <v>210</v>
      </c>
      <c r="D148" s="222">
        <v>8.0221390946666702</v>
      </c>
      <c r="E148" s="223"/>
      <c r="F148" s="224">
        <v>3.85E-2</v>
      </c>
      <c r="G148" s="224">
        <v>3.15E-2</v>
      </c>
      <c r="H148" s="225"/>
      <c r="I148" s="226">
        <v>5</v>
      </c>
      <c r="J148" s="226">
        <v>4</v>
      </c>
      <c r="K148" s="223"/>
      <c r="L148" s="227">
        <v>5525.2289600000004</v>
      </c>
      <c r="M148" s="227">
        <v>-935.14302999999995</v>
      </c>
      <c r="N148" s="227">
        <v>4590.0859300000002</v>
      </c>
      <c r="O148" s="222">
        <v>572.17730530895597</v>
      </c>
      <c r="P148" s="228">
        <v>287.5</v>
      </c>
      <c r="Q148" s="234">
        <v>1.99018193150941</v>
      </c>
      <c r="R148" s="235">
        <v>2071.5353612294002</v>
      </c>
      <c r="S148" s="224">
        <v>0.01</v>
      </c>
      <c r="T148" s="224">
        <v>0.01</v>
      </c>
      <c r="U148" s="231">
        <v>0</v>
      </c>
      <c r="V148" s="232">
        <v>0</v>
      </c>
      <c r="W148" s="223"/>
      <c r="X148" s="231">
        <v>4255.6180649999997</v>
      </c>
      <c r="Y148" s="222">
        <v>530.48420312597796</v>
      </c>
      <c r="Z148" s="233">
        <v>573</v>
      </c>
      <c r="AA148" s="238">
        <v>0.92580140161601698</v>
      </c>
      <c r="AB148" s="239">
        <v>-763.96272075845002</v>
      </c>
      <c r="AC148" s="224">
        <v>2E-3</v>
      </c>
      <c r="AD148" s="224"/>
      <c r="AE148" s="232">
        <v>342</v>
      </c>
      <c r="AF148" s="232">
        <v>1261</v>
      </c>
      <c r="AG148" s="223"/>
      <c r="AH148" s="236">
        <v>455.95</v>
      </c>
      <c r="AI148" s="222">
        <v>56.836461524723198</v>
      </c>
      <c r="AJ148" s="237" t="s">
        <v>54</v>
      </c>
      <c r="AK148" s="244">
        <v>0.90216605594798804</v>
      </c>
      <c r="AL148" s="227">
        <v>-95.941081156688298</v>
      </c>
      <c r="AM148" s="224"/>
      <c r="AN148" s="224"/>
      <c r="AO148" s="232">
        <v>50</v>
      </c>
      <c r="AP148" s="232">
        <v>151</v>
      </c>
      <c r="AQ148" s="223"/>
      <c r="AR148" s="236">
        <v>131.69999999999999</v>
      </c>
      <c r="AS148" s="222">
        <v>16.417067623217601</v>
      </c>
      <c r="AT148" s="237" t="s">
        <v>55</v>
      </c>
      <c r="AU148" s="238">
        <v>1.0260667264511001</v>
      </c>
      <c r="AV148" s="239">
        <v>-8.4628142620160798</v>
      </c>
      <c r="AW148" s="224">
        <v>6.4999999999999997E-3</v>
      </c>
      <c r="AX148" s="224">
        <v>1.5E-3</v>
      </c>
      <c r="AY148" s="232">
        <v>0</v>
      </c>
      <c r="AZ148" s="232">
        <v>23</v>
      </c>
      <c r="BA148" s="223"/>
      <c r="BB148" s="240">
        <v>341.6</v>
      </c>
      <c r="BC148" s="236">
        <v>42.582158694693398</v>
      </c>
      <c r="BD148" s="237" t="s">
        <v>56</v>
      </c>
      <c r="BE148" s="234">
        <v>1.33069245920917</v>
      </c>
      <c r="BF148" s="235">
        <v>61.274371475967897</v>
      </c>
      <c r="BG148" s="224">
        <v>0.02</v>
      </c>
      <c r="BH148" s="224">
        <v>0.02</v>
      </c>
      <c r="BI148" s="232">
        <v>0</v>
      </c>
      <c r="BJ148" s="232">
        <v>0</v>
      </c>
      <c r="BK148" s="225"/>
      <c r="BL148" s="241">
        <v>0.8</v>
      </c>
      <c r="BM148" s="244">
        <v>0.76</v>
      </c>
      <c r="BN148" s="242"/>
      <c r="BO148" s="243">
        <v>0.95</v>
      </c>
      <c r="BP148" s="234">
        <v>1</v>
      </c>
      <c r="BQ148" s="242">
        <v>2.5000000000000001E-3</v>
      </c>
    </row>
    <row r="149" spans="1:69" s="211" customFormat="1" ht="22.35" customHeight="1" x14ac:dyDescent="0.2">
      <c r="A149" s="221" t="s">
        <v>176</v>
      </c>
      <c r="B149" s="221" t="s">
        <v>202</v>
      </c>
      <c r="C149" s="221" t="s">
        <v>211</v>
      </c>
      <c r="D149" s="222">
        <v>3.69585255633333</v>
      </c>
      <c r="E149" s="223"/>
      <c r="F149" s="224">
        <v>7.2999999999999995E-2</v>
      </c>
      <c r="G149" s="224">
        <v>5.7000000000000002E-2</v>
      </c>
      <c r="H149" s="225"/>
      <c r="I149" s="226">
        <v>6</v>
      </c>
      <c r="J149" s="226">
        <v>6</v>
      </c>
      <c r="K149" s="223"/>
      <c r="L149" s="227">
        <v>2189.3921500000001</v>
      </c>
      <c r="M149" s="227">
        <v>265.75225999999998</v>
      </c>
      <c r="N149" s="227">
        <v>2455.1444099999999</v>
      </c>
      <c r="O149" s="222">
        <v>664.29717435366399</v>
      </c>
      <c r="P149" s="228">
        <v>239.22399999999999</v>
      </c>
      <c r="Q149" s="234">
        <v>2.7768834830688598</v>
      </c>
      <c r="R149" s="235">
        <v>1489.66720792558</v>
      </c>
      <c r="S149" s="224">
        <v>0.01</v>
      </c>
      <c r="T149" s="224">
        <v>0.01</v>
      </c>
      <c r="U149" s="231">
        <v>0</v>
      </c>
      <c r="V149" s="232">
        <v>0</v>
      </c>
      <c r="W149" s="223"/>
      <c r="X149" s="231">
        <v>2421.9140349999998</v>
      </c>
      <c r="Y149" s="222">
        <v>655.30591334054395</v>
      </c>
      <c r="Z149" s="233">
        <v>573</v>
      </c>
      <c r="AA149" s="234">
        <v>1.1436403374180499</v>
      </c>
      <c r="AB149" s="235">
        <v>109.359956861334</v>
      </c>
      <c r="AC149" s="224">
        <v>0.02</v>
      </c>
      <c r="AD149" s="224">
        <v>1.4E-2</v>
      </c>
      <c r="AE149" s="232">
        <v>0</v>
      </c>
      <c r="AF149" s="232">
        <v>120</v>
      </c>
      <c r="AG149" s="223"/>
      <c r="AH149" s="236">
        <v>240.4</v>
      </c>
      <c r="AI149" s="222">
        <v>65.045884903617903</v>
      </c>
      <c r="AJ149" s="237" t="s">
        <v>54</v>
      </c>
      <c r="AK149" s="238">
        <v>1.03247436354949</v>
      </c>
      <c r="AL149" s="239">
        <v>-13.8598724655078</v>
      </c>
      <c r="AM149" s="224">
        <v>1.2999999999999999E-2</v>
      </c>
      <c r="AN149" s="224">
        <v>3.0000000000000001E-3</v>
      </c>
      <c r="AO149" s="232">
        <v>0</v>
      </c>
      <c r="AP149" s="232">
        <v>40</v>
      </c>
      <c r="AQ149" s="223"/>
      <c r="AR149" s="236">
        <v>93.7</v>
      </c>
      <c r="AS149" s="222">
        <v>25.352742992799499</v>
      </c>
      <c r="AT149" s="237" t="s">
        <v>55</v>
      </c>
      <c r="AU149" s="234">
        <v>1.58454643704997</v>
      </c>
      <c r="AV149" s="235">
        <v>29.126064135744102</v>
      </c>
      <c r="AW149" s="224">
        <v>0.01</v>
      </c>
      <c r="AX149" s="224">
        <v>0.01</v>
      </c>
      <c r="AY149" s="232">
        <v>0</v>
      </c>
      <c r="AZ149" s="232">
        <v>0</v>
      </c>
      <c r="BA149" s="223"/>
      <c r="BB149" s="240">
        <v>202</v>
      </c>
      <c r="BC149" s="236">
        <v>54.655860027166398</v>
      </c>
      <c r="BD149" s="237" t="s">
        <v>56</v>
      </c>
      <c r="BE149" s="234">
        <v>1.7079956258489499</v>
      </c>
      <c r="BF149" s="235">
        <v>72.852128271488098</v>
      </c>
      <c r="BG149" s="224">
        <v>0.02</v>
      </c>
      <c r="BH149" s="224">
        <v>0.02</v>
      </c>
      <c r="BI149" s="232">
        <v>0</v>
      </c>
      <c r="BJ149" s="232">
        <v>0</v>
      </c>
      <c r="BK149" s="225"/>
      <c r="BL149" s="241">
        <v>0.8</v>
      </c>
      <c r="BM149" s="244">
        <v>0.76</v>
      </c>
      <c r="BN149" s="242"/>
      <c r="BO149" s="243">
        <v>0.95</v>
      </c>
      <c r="BP149" s="234">
        <v>1</v>
      </c>
      <c r="BQ149" s="242">
        <v>2.5000000000000001E-3</v>
      </c>
    </row>
    <row r="150" spans="1:69" s="211" customFormat="1" ht="22.35" customHeight="1" x14ac:dyDescent="0.2">
      <c r="A150" s="221" t="s">
        <v>176</v>
      </c>
      <c r="B150" s="221" t="s">
        <v>202</v>
      </c>
      <c r="C150" s="221" t="s">
        <v>212</v>
      </c>
      <c r="D150" s="222">
        <v>2.8061909415555601</v>
      </c>
      <c r="E150" s="223"/>
      <c r="F150" s="224">
        <v>6.4000000000000001E-2</v>
      </c>
      <c r="G150" s="224">
        <v>4.5999999999999999E-2</v>
      </c>
      <c r="H150" s="225"/>
      <c r="I150" s="226">
        <v>7</v>
      </c>
      <c r="J150" s="226">
        <v>6</v>
      </c>
      <c r="K150" s="223"/>
      <c r="L150" s="227">
        <v>2125.1541200000001</v>
      </c>
      <c r="M150" s="227">
        <v>1709.5621799999999</v>
      </c>
      <c r="N150" s="227">
        <v>3834.7163</v>
      </c>
      <c r="O150" s="222">
        <v>1366.52009070855</v>
      </c>
      <c r="P150" s="228">
        <v>229.53</v>
      </c>
      <c r="Q150" s="234">
        <v>5.9535576643948502</v>
      </c>
      <c r="R150" s="235">
        <v>3131.3536325577502</v>
      </c>
      <c r="S150" s="224">
        <v>0.01</v>
      </c>
      <c r="T150" s="224">
        <v>0.01</v>
      </c>
      <c r="U150" s="231">
        <v>0</v>
      </c>
      <c r="V150" s="232">
        <v>0</v>
      </c>
      <c r="W150" s="223"/>
      <c r="X150" s="231">
        <v>1702.6897799999999</v>
      </c>
      <c r="Y150" s="222">
        <v>606.76191159541997</v>
      </c>
      <c r="Z150" s="233">
        <v>573</v>
      </c>
      <c r="AA150" s="238">
        <v>1.0589213116848499</v>
      </c>
      <c r="AB150" s="239">
        <v>-53.1887911863789</v>
      </c>
      <c r="AC150" s="224">
        <v>1.6E-2</v>
      </c>
      <c r="AD150" s="224">
        <v>6.0000000000000001E-3</v>
      </c>
      <c r="AE150" s="232">
        <v>0</v>
      </c>
      <c r="AF150" s="232">
        <v>227</v>
      </c>
      <c r="AG150" s="223"/>
      <c r="AH150" s="236">
        <v>173.55</v>
      </c>
      <c r="AI150" s="222">
        <v>61.845399552104602</v>
      </c>
      <c r="AJ150" s="237" t="s">
        <v>54</v>
      </c>
      <c r="AK150" s="238">
        <v>0.981673008763565</v>
      </c>
      <c r="AL150" s="239">
        <v>-19.504712015256299</v>
      </c>
      <c r="AM150" s="224">
        <v>8.0000000000000002E-3</v>
      </c>
      <c r="AN150" s="224"/>
      <c r="AO150" s="232">
        <v>4</v>
      </c>
      <c r="AP150" s="232">
        <v>39</v>
      </c>
      <c r="AQ150" s="223"/>
      <c r="AR150" s="236">
        <v>60.4</v>
      </c>
      <c r="AS150" s="222">
        <v>21.523838276848799</v>
      </c>
      <c r="AT150" s="237" t="s">
        <v>55</v>
      </c>
      <c r="AU150" s="234">
        <v>1.34523989230305</v>
      </c>
      <c r="AV150" s="235">
        <v>11.3702318691413</v>
      </c>
      <c r="AW150" s="224">
        <v>0.01</v>
      </c>
      <c r="AX150" s="224">
        <v>0.01</v>
      </c>
      <c r="AY150" s="232">
        <v>0</v>
      </c>
      <c r="AZ150" s="232">
        <v>0</v>
      </c>
      <c r="BA150" s="223"/>
      <c r="BB150" s="240">
        <v>158.4</v>
      </c>
      <c r="BC150" s="236">
        <v>56.446622235974502</v>
      </c>
      <c r="BD150" s="237" t="s">
        <v>56</v>
      </c>
      <c r="BE150" s="234">
        <v>1.7639569448742001</v>
      </c>
      <c r="BF150" s="235">
        <v>60.340463738282502</v>
      </c>
      <c r="BG150" s="224">
        <v>0.02</v>
      </c>
      <c r="BH150" s="224">
        <v>0.02</v>
      </c>
      <c r="BI150" s="232">
        <v>0</v>
      </c>
      <c r="BJ150" s="232">
        <v>0</v>
      </c>
      <c r="BK150" s="225"/>
      <c r="BL150" s="241">
        <v>0.8</v>
      </c>
      <c r="BM150" s="238">
        <v>0.83</v>
      </c>
      <c r="BN150" s="242">
        <v>1.1249999999999999E-3</v>
      </c>
      <c r="BO150" s="243">
        <v>0.95</v>
      </c>
      <c r="BP150" s="234">
        <v>1</v>
      </c>
      <c r="BQ150" s="242">
        <v>2.5000000000000001E-3</v>
      </c>
    </row>
    <row r="151" spans="1:69" s="211" customFormat="1" ht="22.35" customHeight="1" x14ac:dyDescent="0.2">
      <c r="A151" s="221" t="s">
        <v>176</v>
      </c>
      <c r="B151" s="221" t="s">
        <v>202</v>
      </c>
      <c r="C151" s="221" t="s">
        <v>213</v>
      </c>
      <c r="D151" s="222">
        <v>3.7250110427777798</v>
      </c>
      <c r="E151" s="223"/>
      <c r="F151" s="224">
        <v>4.1000000000000002E-2</v>
      </c>
      <c r="G151" s="224">
        <v>0.04</v>
      </c>
      <c r="H151" s="225"/>
      <c r="I151" s="226">
        <v>5</v>
      </c>
      <c r="J151" s="226">
        <v>4</v>
      </c>
      <c r="K151" s="223"/>
      <c r="L151" s="227">
        <v>2883.15508</v>
      </c>
      <c r="M151" s="227">
        <v>2657.2826599999999</v>
      </c>
      <c r="N151" s="227">
        <v>5540.4377400000003</v>
      </c>
      <c r="O151" s="222">
        <v>1487.3614269525599</v>
      </c>
      <c r="P151" s="228">
        <v>247.43600000000001</v>
      </c>
      <c r="Q151" s="234">
        <v>6.0110955032920002</v>
      </c>
      <c r="R151" s="235">
        <v>4533.9393390402101</v>
      </c>
      <c r="S151" s="224">
        <v>0.01</v>
      </c>
      <c r="T151" s="224">
        <v>0.01</v>
      </c>
      <c r="U151" s="231">
        <v>0</v>
      </c>
      <c r="V151" s="232">
        <v>0</v>
      </c>
      <c r="W151" s="223"/>
      <c r="X151" s="231">
        <v>1665.3319449999999</v>
      </c>
      <c r="Y151" s="222">
        <v>447.06765318959799</v>
      </c>
      <c r="Z151" s="233">
        <v>573</v>
      </c>
      <c r="AA151" s="244">
        <v>0.78022278043559901</v>
      </c>
      <c r="AB151" s="227">
        <v>-665.46706464274098</v>
      </c>
      <c r="AC151" s="224"/>
      <c r="AD151" s="224"/>
      <c r="AE151" s="232">
        <v>470</v>
      </c>
      <c r="AF151" s="232">
        <v>896</v>
      </c>
      <c r="AG151" s="223"/>
      <c r="AH151" s="236">
        <v>216.45</v>
      </c>
      <c r="AI151" s="222">
        <v>58.107210291272303</v>
      </c>
      <c r="AJ151" s="237" t="s">
        <v>54</v>
      </c>
      <c r="AK151" s="238">
        <v>0.92233667129003705</v>
      </c>
      <c r="AL151" s="239">
        <v>-39.815859698940201</v>
      </c>
      <c r="AM151" s="224">
        <v>1E-3</v>
      </c>
      <c r="AN151" s="224"/>
      <c r="AO151" s="232">
        <v>19</v>
      </c>
      <c r="AP151" s="232">
        <v>66</v>
      </c>
      <c r="AQ151" s="223"/>
      <c r="AR151" s="236">
        <v>96.6</v>
      </c>
      <c r="AS151" s="222">
        <v>25.9328090281215</v>
      </c>
      <c r="AT151" s="237" t="s">
        <v>55</v>
      </c>
      <c r="AU151" s="234">
        <v>1.6208005642576</v>
      </c>
      <c r="AV151" s="235">
        <v>31.516607060586601</v>
      </c>
      <c r="AW151" s="224">
        <v>0.01</v>
      </c>
      <c r="AX151" s="224">
        <v>0.01</v>
      </c>
      <c r="AY151" s="232">
        <v>0</v>
      </c>
      <c r="AZ151" s="232">
        <v>0</v>
      </c>
      <c r="BA151" s="223"/>
      <c r="BB151" s="240">
        <v>188.2</v>
      </c>
      <c r="BC151" s="236">
        <v>50.523340156236799</v>
      </c>
      <c r="BD151" s="237" t="s">
        <v>56</v>
      </c>
      <c r="BE151" s="234">
        <v>1.5788543798824</v>
      </c>
      <c r="BF151" s="235">
        <v>58.033214121173202</v>
      </c>
      <c r="BG151" s="224">
        <v>0.02</v>
      </c>
      <c r="BH151" s="224">
        <v>0.02</v>
      </c>
      <c r="BI151" s="232">
        <v>0</v>
      </c>
      <c r="BJ151" s="232">
        <v>0</v>
      </c>
      <c r="BK151" s="225"/>
      <c r="BL151" s="241">
        <v>0.8</v>
      </c>
      <c r="BM151" s="244">
        <v>0.79</v>
      </c>
      <c r="BN151" s="242"/>
      <c r="BO151" s="243">
        <v>0.95</v>
      </c>
      <c r="BP151" s="234">
        <v>1</v>
      </c>
      <c r="BQ151" s="242">
        <v>2.5000000000000001E-3</v>
      </c>
    </row>
    <row r="152" spans="1:69" s="211" customFormat="1" ht="22.35" customHeight="1" x14ac:dyDescent="0.2">
      <c r="A152" s="221" t="s">
        <v>176</v>
      </c>
      <c r="B152" s="221" t="s">
        <v>202</v>
      </c>
      <c r="C152" s="221" t="s">
        <v>214</v>
      </c>
      <c r="D152" s="222">
        <v>7.9314378249999997</v>
      </c>
      <c r="E152" s="223"/>
      <c r="F152" s="224">
        <v>1.4999999999999999E-2</v>
      </c>
      <c r="G152" s="224">
        <v>0.01</v>
      </c>
      <c r="H152" s="225"/>
      <c r="I152" s="226">
        <v>3</v>
      </c>
      <c r="J152" s="226">
        <v>2</v>
      </c>
      <c r="K152" s="223"/>
      <c r="L152" s="227">
        <v>4726.3046100000001</v>
      </c>
      <c r="M152" s="227">
        <v>1757.3989099999999</v>
      </c>
      <c r="N152" s="227">
        <v>6483.70352</v>
      </c>
      <c r="O152" s="222">
        <v>817.468870469271</v>
      </c>
      <c r="P152" s="228">
        <v>287.5</v>
      </c>
      <c r="Q152" s="234">
        <v>2.8433699842409399</v>
      </c>
      <c r="R152" s="235">
        <v>3993.6286148412501</v>
      </c>
      <c r="S152" s="224">
        <v>0.01</v>
      </c>
      <c r="T152" s="224">
        <v>0.01</v>
      </c>
      <c r="U152" s="231">
        <v>0</v>
      </c>
      <c r="V152" s="232">
        <v>0</v>
      </c>
      <c r="W152" s="223"/>
      <c r="X152" s="231">
        <v>2921.1957649999999</v>
      </c>
      <c r="Y152" s="222">
        <v>368.30595277344901</v>
      </c>
      <c r="Z152" s="233">
        <v>573</v>
      </c>
      <c r="AA152" s="229">
        <v>0.64276780588734606</v>
      </c>
      <c r="AB152" s="230">
        <v>-2041.6317851076999</v>
      </c>
      <c r="AC152" s="224"/>
      <c r="AD152" s="224"/>
      <c r="AE152" s="232">
        <v>1624</v>
      </c>
      <c r="AF152" s="232">
        <v>2533</v>
      </c>
      <c r="AG152" s="223"/>
      <c r="AH152" s="236">
        <v>282.8</v>
      </c>
      <c r="AI152" s="222">
        <v>35.655577997297101</v>
      </c>
      <c r="AJ152" s="237" t="s">
        <v>54</v>
      </c>
      <c r="AK152" s="229">
        <v>0.56596155551265204</v>
      </c>
      <c r="AL152" s="230">
        <v>-262.85119660869998</v>
      </c>
      <c r="AM152" s="224"/>
      <c r="AN152" s="224"/>
      <c r="AO152" s="232">
        <v>217</v>
      </c>
      <c r="AP152" s="232">
        <v>317</v>
      </c>
      <c r="AQ152" s="223"/>
      <c r="AR152" s="236">
        <v>65.400000000000006</v>
      </c>
      <c r="AS152" s="222">
        <v>8.2456676132363196</v>
      </c>
      <c r="AT152" s="237" t="s">
        <v>55</v>
      </c>
      <c r="AU152" s="229">
        <v>0.51535422582726997</v>
      </c>
      <c r="AV152" s="230">
        <v>-73.178081678400005</v>
      </c>
      <c r="AW152" s="224"/>
      <c r="AX152" s="224"/>
      <c r="AY152" s="232">
        <v>62</v>
      </c>
      <c r="AZ152" s="232">
        <v>87</v>
      </c>
      <c r="BA152" s="223"/>
      <c r="BB152" s="240">
        <v>242.4</v>
      </c>
      <c r="BC152" s="236">
        <v>30.561923997683198</v>
      </c>
      <c r="BD152" s="237" t="s">
        <v>56</v>
      </c>
      <c r="BE152" s="238">
        <v>0.95506012492760095</v>
      </c>
      <c r="BF152" s="239">
        <v>-34.756163356800002</v>
      </c>
      <c r="BG152" s="224">
        <v>5.0000000000000001E-3</v>
      </c>
      <c r="BH152" s="224"/>
      <c r="BI152" s="232">
        <v>12</v>
      </c>
      <c r="BJ152" s="232">
        <v>63</v>
      </c>
      <c r="BK152" s="225"/>
      <c r="BL152" s="241">
        <v>0.8</v>
      </c>
      <c r="BM152" s="244">
        <v>0.76</v>
      </c>
      <c r="BN152" s="242"/>
      <c r="BO152" s="243">
        <v>0.95</v>
      </c>
      <c r="BP152" s="234">
        <v>1</v>
      </c>
      <c r="BQ152" s="242">
        <v>2.5000000000000001E-3</v>
      </c>
    </row>
    <row r="153" spans="1:69" s="211" customFormat="1" ht="22.35" customHeight="1" x14ac:dyDescent="0.2">
      <c r="A153" s="221" t="s">
        <v>176</v>
      </c>
      <c r="B153" s="221" t="s">
        <v>202</v>
      </c>
      <c r="C153" s="221" t="s">
        <v>215</v>
      </c>
      <c r="D153" s="222">
        <v>4.0442520443333301</v>
      </c>
      <c r="E153" s="223"/>
      <c r="F153" s="224">
        <v>5.8000000000000003E-2</v>
      </c>
      <c r="G153" s="224">
        <v>4.2000000000000003E-2</v>
      </c>
      <c r="H153" s="225"/>
      <c r="I153" s="226">
        <v>7</v>
      </c>
      <c r="J153" s="226">
        <v>6</v>
      </c>
      <c r="K153" s="223"/>
      <c r="L153" s="227">
        <v>-353.21111999999999</v>
      </c>
      <c r="M153" s="227">
        <v>1751.17464</v>
      </c>
      <c r="N153" s="227">
        <v>1397.96352</v>
      </c>
      <c r="O153" s="222">
        <v>345.66676475042601</v>
      </c>
      <c r="P153" s="228">
        <v>232.012</v>
      </c>
      <c r="Q153" s="234">
        <v>1.4898658894816901</v>
      </c>
      <c r="R153" s="235">
        <v>373.32353420162798</v>
      </c>
      <c r="S153" s="224">
        <v>0.01</v>
      </c>
      <c r="T153" s="224">
        <v>0.01</v>
      </c>
      <c r="U153" s="231">
        <v>0</v>
      </c>
      <c r="V153" s="232">
        <v>0</v>
      </c>
      <c r="W153" s="223"/>
      <c r="X153" s="231">
        <v>2370.955555</v>
      </c>
      <c r="Y153" s="222">
        <v>586.25316350450998</v>
      </c>
      <c r="Z153" s="233">
        <v>573</v>
      </c>
      <c r="AA153" s="238">
        <v>1.0231294301998399</v>
      </c>
      <c r="AB153" s="239">
        <v>-159.59765717207401</v>
      </c>
      <c r="AC153" s="224">
        <v>1.2E-2</v>
      </c>
      <c r="AD153" s="224">
        <v>2E-3</v>
      </c>
      <c r="AE153" s="232">
        <v>0</v>
      </c>
      <c r="AF153" s="232">
        <v>410</v>
      </c>
      <c r="AG153" s="223"/>
      <c r="AH153" s="236">
        <v>246.7</v>
      </c>
      <c r="AI153" s="222">
        <v>61.000154613426602</v>
      </c>
      <c r="AJ153" s="237" t="s">
        <v>54</v>
      </c>
      <c r="AK153" s="238">
        <v>0.96825642243534304</v>
      </c>
      <c r="AL153" s="239">
        <v>-31.528363641955799</v>
      </c>
      <c r="AM153" s="224">
        <v>6.0000000000000001E-3</v>
      </c>
      <c r="AN153" s="224"/>
      <c r="AO153" s="232">
        <v>9</v>
      </c>
      <c r="AP153" s="232">
        <v>60</v>
      </c>
      <c r="AQ153" s="223"/>
      <c r="AR153" s="236">
        <v>81.099999999999994</v>
      </c>
      <c r="AS153" s="222">
        <v>20.053151759825301</v>
      </c>
      <c r="AT153" s="237" t="s">
        <v>55</v>
      </c>
      <c r="AU153" s="234">
        <v>1.25332198498908</v>
      </c>
      <c r="AV153" s="235">
        <v>10.438828281408099</v>
      </c>
      <c r="AW153" s="224">
        <v>0.01</v>
      </c>
      <c r="AX153" s="224">
        <v>0.01</v>
      </c>
      <c r="AY153" s="232">
        <v>0</v>
      </c>
      <c r="AZ153" s="232">
        <v>0</v>
      </c>
      <c r="BA153" s="223"/>
      <c r="BB153" s="240">
        <v>191.4</v>
      </c>
      <c r="BC153" s="236">
        <v>47.326427211227603</v>
      </c>
      <c r="BD153" s="237" t="s">
        <v>56</v>
      </c>
      <c r="BE153" s="234">
        <v>1.4789508503508599</v>
      </c>
      <c r="BF153" s="235">
        <v>50.077656562816102</v>
      </c>
      <c r="BG153" s="224">
        <v>0.02</v>
      </c>
      <c r="BH153" s="224">
        <v>0.02</v>
      </c>
      <c r="BI153" s="232">
        <v>0</v>
      </c>
      <c r="BJ153" s="232">
        <v>0</v>
      </c>
      <c r="BK153" s="225"/>
      <c r="BL153" s="241">
        <v>0.8</v>
      </c>
      <c r="BM153" s="238">
        <v>0.82</v>
      </c>
      <c r="BN153" s="242">
        <v>7.5000000000000002E-4</v>
      </c>
      <c r="BO153" s="243">
        <v>0.95</v>
      </c>
      <c r="BP153" s="234">
        <v>1</v>
      </c>
      <c r="BQ153" s="242">
        <v>2.5000000000000001E-3</v>
      </c>
    </row>
    <row r="154" spans="1:69" s="211" customFormat="1" ht="22.35" customHeight="1" x14ac:dyDescent="0.2">
      <c r="A154" s="221" t="s">
        <v>176</v>
      </c>
      <c r="B154" s="221" t="s">
        <v>202</v>
      </c>
      <c r="C154" s="221" t="s">
        <v>216</v>
      </c>
      <c r="D154" s="222">
        <v>2.8994516252222202</v>
      </c>
      <c r="E154" s="223"/>
      <c r="F154" s="224">
        <v>7.2999999999999995E-2</v>
      </c>
      <c r="G154" s="224">
        <v>5.0999999999999997E-2</v>
      </c>
      <c r="H154" s="225"/>
      <c r="I154" s="226">
        <v>6</v>
      </c>
      <c r="J154" s="226">
        <v>6</v>
      </c>
      <c r="K154" s="223"/>
      <c r="L154" s="227">
        <v>1534.7593199999999</v>
      </c>
      <c r="M154" s="227">
        <v>-869.61278000000004</v>
      </c>
      <c r="N154" s="227">
        <v>665.14653999999996</v>
      </c>
      <c r="O154" s="222">
        <v>229.40425500253701</v>
      </c>
      <c r="P154" s="228">
        <v>221.65100000000001</v>
      </c>
      <c r="Q154" s="238">
        <v>1.0349795624767599</v>
      </c>
      <c r="R154" s="239">
        <v>-36.645116582886303</v>
      </c>
      <c r="S154" s="224">
        <v>7.0000000000000001E-3</v>
      </c>
      <c r="T154" s="224">
        <v>1.5E-3</v>
      </c>
      <c r="U154" s="231">
        <v>0</v>
      </c>
      <c r="V154" s="232">
        <v>107</v>
      </c>
      <c r="W154" s="223"/>
      <c r="X154" s="231">
        <v>1799.2612999999999</v>
      </c>
      <c r="Y154" s="222">
        <v>620.55227421223105</v>
      </c>
      <c r="Z154" s="233">
        <v>573</v>
      </c>
      <c r="AA154" s="238">
        <v>1.08298826215049</v>
      </c>
      <c r="AB154" s="239">
        <v>-14.971973127546599</v>
      </c>
      <c r="AC154" s="224">
        <v>1.9E-2</v>
      </c>
      <c r="AD154" s="224">
        <v>8.0000000000000002E-3</v>
      </c>
      <c r="AE154" s="232">
        <v>0</v>
      </c>
      <c r="AF154" s="232">
        <v>195</v>
      </c>
      <c r="AG154" s="223"/>
      <c r="AH154" s="236">
        <v>227.95</v>
      </c>
      <c r="AI154" s="222">
        <v>78.618314586479499</v>
      </c>
      <c r="AJ154" s="237" t="s">
        <v>54</v>
      </c>
      <c r="AK154" s="234">
        <v>1.24790975534094</v>
      </c>
      <c r="AL154" s="235">
        <v>28.4793259912121</v>
      </c>
      <c r="AM154" s="224">
        <v>0.02</v>
      </c>
      <c r="AN154" s="224">
        <v>0.02</v>
      </c>
      <c r="AO154" s="232">
        <v>0</v>
      </c>
      <c r="AP154" s="232">
        <v>0</v>
      </c>
      <c r="AQ154" s="223"/>
      <c r="AR154" s="236">
        <v>48</v>
      </c>
      <c r="AS154" s="222">
        <v>16.5548545740339</v>
      </c>
      <c r="AT154" s="237" t="s">
        <v>55</v>
      </c>
      <c r="AU154" s="238">
        <v>1.0346784108771201</v>
      </c>
      <c r="AV154" s="239">
        <v>-2.6592187958826399</v>
      </c>
      <c r="AW154" s="224">
        <v>7.0000000000000001E-3</v>
      </c>
      <c r="AX154" s="224">
        <v>1.5E-3</v>
      </c>
      <c r="AY154" s="232">
        <v>0</v>
      </c>
      <c r="AZ154" s="232">
        <v>8</v>
      </c>
      <c r="BA154" s="223"/>
      <c r="BB154" s="240">
        <v>138.4</v>
      </c>
      <c r="BC154" s="236">
        <v>47.733164021797599</v>
      </c>
      <c r="BD154" s="237" t="s">
        <v>56</v>
      </c>
      <c r="BE154" s="234">
        <v>1.4916613756811801</v>
      </c>
      <c r="BF154" s="235">
        <v>37.081562408234703</v>
      </c>
      <c r="BG154" s="224">
        <v>0.02</v>
      </c>
      <c r="BH154" s="224">
        <v>0.02</v>
      </c>
      <c r="BI154" s="232">
        <v>0</v>
      </c>
      <c r="BJ154" s="232">
        <v>0</v>
      </c>
      <c r="BK154" s="225"/>
      <c r="BL154" s="241">
        <v>0.8</v>
      </c>
      <c r="BM154" s="244">
        <v>0.72</v>
      </c>
      <c r="BN154" s="242"/>
      <c r="BO154" s="243">
        <v>0.95</v>
      </c>
      <c r="BP154" s="234">
        <v>1</v>
      </c>
      <c r="BQ154" s="242">
        <v>2.5000000000000001E-3</v>
      </c>
    </row>
    <row r="155" spans="1:69" s="211" customFormat="1" ht="22.35" customHeight="1" x14ac:dyDescent="0.2">
      <c r="A155" s="221" t="s">
        <v>176</v>
      </c>
      <c r="B155" s="221" t="s">
        <v>202</v>
      </c>
      <c r="C155" s="221" t="s">
        <v>217</v>
      </c>
      <c r="D155" s="222">
        <v>4.91139505655556</v>
      </c>
      <c r="E155" s="223"/>
      <c r="F155" s="224">
        <v>4.3999999999999997E-2</v>
      </c>
      <c r="G155" s="224">
        <v>2.4E-2</v>
      </c>
      <c r="H155" s="225"/>
      <c r="I155" s="226">
        <v>6</v>
      </c>
      <c r="J155" s="226">
        <v>5</v>
      </c>
      <c r="K155" s="223"/>
      <c r="L155" s="227">
        <v>3166.7828</v>
      </c>
      <c r="M155" s="227">
        <v>2305.2747199999999</v>
      </c>
      <c r="N155" s="227">
        <v>5472.0575200000003</v>
      </c>
      <c r="O155" s="222">
        <v>1114.1554399490001</v>
      </c>
      <c r="P155" s="228">
        <v>287.5</v>
      </c>
      <c r="Q155" s="234">
        <v>3.8753232693878301</v>
      </c>
      <c r="R155" s="235">
        <v>3930.1250419943799</v>
      </c>
      <c r="S155" s="224">
        <v>0.01</v>
      </c>
      <c r="T155" s="224">
        <v>0.01</v>
      </c>
      <c r="U155" s="231">
        <v>0</v>
      </c>
      <c r="V155" s="232">
        <v>0</v>
      </c>
      <c r="W155" s="223"/>
      <c r="X155" s="231">
        <v>2704.2968249999999</v>
      </c>
      <c r="Y155" s="222">
        <v>550.61683978982705</v>
      </c>
      <c r="Z155" s="233">
        <v>573</v>
      </c>
      <c r="AA155" s="238">
        <v>0.96093689317596398</v>
      </c>
      <c r="AB155" s="239">
        <v>-368.84164420771799</v>
      </c>
      <c r="AC155" s="224">
        <v>6.0000000000000001E-3</v>
      </c>
      <c r="AD155" s="224"/>
      <c r="AE155" s="232">
        <v>110</v>
      </c>
      <c r="AF155" s="232">
        <v>673</v>
      </c>
      <c r="AG155" s="223"/>
      <c r="AH155" s="236">
        <v>227.1</v>
      </c>
      <c r="AI155" s="222">
        <v>46.239408026620701</v>
      </c>
      <c r="AJ155" s="237" t="s">
        <v>54</v>
      </c>
      <c r="AK155" s="244">
        <v>0.73395885756540702</v>
      </c>
      <c r="AL155" s="227">
        <v>-110.784334310796</v>
      </c>
      <c r="AM155" s="224"/>
      <c r="AN155" s="224"/>
      <c r="AO155" s="232">
        <v>83</v>
      </c>
      <c r="AP155" s="232">
        <v>145</v>
      </c>
      <c r="AQ155" s="223"/>
      <c r="AR155" s="236">
        <v>89.2</v>
      </c>
      <c r="AS155" s="222">
        <v>18.161845865145601</v>
      </c>
      <c r="AT155" s="237" t="s">
        <v>55</v>
      </c>
      <c r="AU155" s="234">
        <v>1.1351153665716001</v>
      </c>
      <c r="AV155" s="235">
        <v>3.3881055718612698</v>
      </c>
      <c r="AW155" s="224">
        <v>0.01</v>
      </c>
      <c r="AX155" s="224">
        <v>7.0000000000000001E-3</v>
      </c>
      <c r="AY155" s="232">
        <v>0</v>
      </c>
      <c r="AZ155" s="232">
        <v>6</v>
      </c>
      <c r="BA155" s="223"/>
      <c r="BB155" s="240">
        <v>168.4</v>
      </c>
      <c r="BC155" s="236">
        <v>34.2876103552749</v>
      </c>
      <c r="BD155" s="237" t="s">
        <v>56</v>
      </c>
      <c r="BE155" s="238">
        <v>1.07148782360234</v>
      </c>
      <c r="BF155" s="239">
        <v>-3.2237888562774502</v>
      </c>
      <c r="BG155" s="224">
        <v>1.7999999999999999E-2</v>
      </c>
      <c r="BH155" s="224">
        <v>7.0000000000000001E-3</v>
      </c>
      <c r="BI155" s="232">
        <v>0</v>
      </c>
      <c r="BJ155" s="232">
        <v>21</v>
      </c>
      <c r="BK155" s="225"/>
      <c r="BL155" s="241">
        <v>0.8</v>
      </c>
      <c r="BM155" s="238">
        <v>0.81</v>
      </c>
      <c r="BN155" s="242">
        <v>3.7500000000000001E-4</v>
      </c>
      <c r="BO155" s="243">
        <v>0.95</v>
      </c>
      <c r="BP155" s="234">
        <v>1</v>
      </c>
      <c r="BQ155" s="242">
        <v>2.5000000000000001E-3</v>
      </c>
    </row>
    <row r="156" spans="1:69" s="211" customFormat="1" ht="22.35" customHeight="1" x14ac:dyDescent="0.2">
      <c r="A156" s="221" t="s">
        <v>176</v>
      </c>
      <c r="B156" s="221" t="s">
        <v>202</v>
      </c>
      <c r="C156" s="221" t="s">
        <v>218</v>
      </c>
      <c r="D156" s="222">
        <v>2.8078154285555601</v>
      </c>
      <c r="E156" s="223"/>
      <c r="F156" s="224">
        <v>5.5E-2</v>
      </c>
      <c r="G156" s="224">
        <v>4.3999999999999997E-2</v>
      </c>
      <c r="H156" s="225"/>
      <c r="I156" s="226">
        <v>6</v>
      </c>
      <c r="J156" s="226">
        <v>6</v>
      </c>
      <c r="K156" s="223"/>
      <c r="L156" s="227">
        <v>2283.7221199999999</v>
      </c>
      <c r="M156" s="227">
        <v>1737.94661</v>
      </c>
      <c r="N156" s="227">
        <v>4021.6687299999999</v>
      </c>
      <c r="O156" s="222">
        <v>1432.3123553989799</v>
      </c>
      <c r="P156" s="228">
        <v>264.61399999999998</v>
      </c>
      <c r="Q156" s="234">
        <v>5.4128366428041597</v>
      </c>
      <c r="R156" s="235">
        <v>3210.3266291815098</v>
      </c>
      <c r="S156" s="224">
        <v>0.01</v>
      </c>
      <c r="T156" s="224">
        <v>0.01</v>
      </c>
      <c r="U156" s="231">
        <v>0</v>
      </c>
      <c r="V156" s="232">
        <v>0</v>
      </c>
      <c r="W156" s="223"/>
      <c r="X156" s="231">
        <v>1678.0413550000001</v>
      </c>
      <c r="Y156" s="222">
        <v>597.63235785880897</v>
      </c>
      <c r="Z156" s="233">
        <v>573</v>
      </c>
      <c r="AA156" s="238">
        <v>1.04298840813056</v>
      </c>
      <c r="AB156" s="239">
        <v>-78.853683694070696</v>
      </c>
      <c r="AC156" s="224">
        <v>1.4999999999999999E-2</v>
      </c>
      <c r="AD156" s="224">
        <v>4.0000000000000001E-3</v>
      </c>
      <c r="AE156" s="232">
        <v>0</v>
      </c>
      <c r="AF156" s="232">
        <v>253</v>
      </c>
      <c r="AG156" s="223"/>
      <c r="AH156" s="236">
        <v>159.30000000000001</v>
      </c>
      <c r="AI156" s="222">
        <v>56.734498421767597</v>
      </c>
      <c r="AJ156" s="237" t="s">
        <v>54</v>
      </c>
      <c r="AK156" s="244">
        <v>0.90054759399631201</v>
      </c>
      <c r="AL156" s="227">
        <v>-33.866470222908298</v>
      </c>
      <c r="AM156" s="224"/>
      <c r="AN156" s="224"/>
      <c r="AO156" s="232">
        <v>18</v>
      </c>
      <c r="AP156" s="232">
        <v>53</v>
      </c>
      <c r="AQ156" s="223"/>
      <c r="AR156" s="236">
        <v>73.400000000000006</v>
      </c>
      <c r="AS156" s="222">
        <v>26.1413194234635</v>
      </c>
      <c r="AT156" s="237" t="s">
        <v>55</v>
      </c>
      <c r="AU156" s="234">
        <v>1.6338324639664701</v>
      </c>
      <c r="AV156" s="235">
        <v>24.3418488322773</v>
      </c>
      <c r="AW156" s="224">
        <v>0.01</v>
      </c>
      <c r="AX156" s="224">
        <v>0.01</v>
      </c>
      <c r="AY156" s="232">
        <v>0</v>
      </c>
      <c r="AZ156" s="232">
        <v>0</v>
      </c>
      <c r="BA156" s="223"/>
      <c r="BB156" s="240">
        <v>174.2</v>
      </c>
      <c r="BC156" s="236">
        <v>62.041115034977501</v>
      </c>
      <c r="BD156" s="237" t="s">
        <v>56</v>
      </c>
      <c r="BE156" s="234">
        <v>1.93878484484305</v>
      </c>
      <c r="BF156" s="235">
        <v>76.083697664554506</v>
      </c>
      <c r="BG156" s="224">
        <v>0.02</v>
      </c>
      <c r="BH156" s="224">
        <v>0.02</v>
      </c>
      <c r="BI156" s="232">
        <v>0</v>
      </c>
      <c r="BJ156" s="232">
        <v>0</v>
      </c>
      <c r="BK156" s="225"/>
      <c r="BL156" s="241">
        <v>0.8</v>
      </c>
      <c r="BM156" s="238">
        <v>0.82</v>
      </c>
      <c r="BN156" s="242">
        <v>7.5000000000000002E-4</v>
      </c>
      <c r="BO156" s="243">
        <v>0.95</v>
      </c>
      <c r="BP156" s="234">
        <v>1</v>
      </c>
      <c r="BQ156" s="242">
        <v>2.5000000000000001E-3</v>
      </c>
    </row>
    <row r="157" spans="1:69" s="211" customFormat="1" ht="22.35" customHeight="1" x14ac:dyDescent="0.2">
      <c r="A157" s="221" t="s">
        <v>176</v>
      </c>
      <c r="B157" s="221" t="s">
        <v>202</v>
      </c>
      <c r="C157" s="221" t="s">
        <v>219</v>
      </c>
      <c r="D157" s="222">
        <v>8.1451756455555593</v>
      </c>
      <c r="E157" s="223"/>
      <c r="F157" s="224">
        <v>0.04</v>
      </c>
      <c r="G157" s="224">
        <v>2.9000000000000001E-2</v>
      </c>
      <c r="H157" s="225"/>
      <c r="I157" s="226">
        <v>6</v>
      </c>
      <c r="J157" s="226">
        <v>4</v>
      </c>
      <c r="K157" s="223"/>
      <c r="L157" s="227">
        <v>5178.5259699999997</v>
      </c>
      <c r="M157" s="227">
        <v>4609.9940399999996</v>
      </c>
      <c r="N157" s="227">
        <v>9788.5200100000002</v>
      </c>
      <c r="O157" s="222">
        <v>1201.7567743110801</v>
      </c>
      <c r="P157" s="228">
        <v>241.934</v>
      </c>
      <c r="Q157" s="234">
        <v>4.9672917998755004</v>
      </c>
      <c r="R157" s="235">
        <v>7636.6303523020297</v>
      </c>
      <c r="S157" s="224">
        <v>0.01</v>
      </c>
      <c r="T157" s="224">
        <v>0.01</v>
      </c>
      <c r="U157" s="231">
        <v>0</v>
      </c>
      <c r="V157" s="232">
        <v>0</v>
      </c>
      <c r="W157" s="223"/>
      <c r="X157" s="231">
        <v>4645.95856</v>
      </c>
      <c r="Y157" s="222">
        <v>570.39390704055404</v>
      </c>
      <c r="Z157" s="233">
        <v>573</v>
      </c>
      <c r="AA157" s="238">
        <v>0.99545184474791304</v>
      </c>
      <c r="AB157" s="239">
        <v>-450.608164234443</v>
      </c>
      <c r="AC157" s="224">
        <v>8.9999999999999993E-3</v>
      </c>
      <c r="AD157" s="224">
        <v>0</v>
      </c>
      <c r="AE157" s="232">
        <v>22</v>
      </c>
      <c r="AF157" s="232">
        <v>955</v>
      </c>
      <c r="AG157" s="223"/>
      <c r="AH157" s="236">
        <v>450.8</v>
      </c>
      <c r="AI157" s="222">
        <v>55.3456450317288</v>
      </c>
      <c r="AJ157" s="237" t="s">
        <v>54</v>
      </c>
      <c r="AK157" s="244">
        <v>0.87850230209093305</v>
      </c>
      <c r="AL157" s="227">
        <v>-109.55550371164</v>
      </c>
      <c r="AM157" s="224"/>
      <c r="AN157" s="224"/>
      <c r="AO157" s="232">
        <v>63</v>
      </c>
      <c r="AP157" s="232">
        <v>165</v>
      </c>
      <c r="AQ157" s="223"/>
      <c r="AR157" s="236">
        <v>121.4</v>
      </c>
      <c r="AS157" s="222">
        <v>14.904528187337799</v>
      </c>
      <c r="AT157" s="237" t="s">
        <v>55</v>
      </c>
      <c r="AU157" s="238">
        <v>0.93153301170861103</v>
      </c>
      <c r="AV157" s="239">
        <v>-20.912508879146799</v>
      </c>
      <c r="AW157" s="224">
        <v>1E-3</v>
      </c>
      <c r="AX157" s="224"/>
      <c r="AY157" s="232">
        <v>9</v>
      </c>
      <c r="AZ157" s="232">
        <v>35</v>
      </c>
      <c r="BA157" s="223"/>
      <c r="BB157" s="240">
        <v>310.2</v>
      </c>
      <c r="BC157" s="236">
        <v>38.083893276047597</v>
      </c>
      <c r="BD157" s="237" t="s">
        <v>56</v>
      </c>
      <c r="BE157" s="234">
        <v>1.1901216648764901</v>
      </c>
      <c r="BF157" s="235">
        <v>25.574982241706401</v>
      </c>
      <c r="BG157" s="224">
        <v>0.02</v>
      </c>
      <c r="BH157" s="224">
        <v>1.9E-2</v>
      </c>
      <c r="BI157" s="232">
        <v>0</v>
      </c>
      <c r="BJ157" s="232">
        <v>3</v>
      </c>
      <c r="BK157" s="225"/>
      <c r="BL157" s="241">
        <v>0.8</v>
      </c>
      <c r="BM157" s="238">
        <v>0.81</v>
      </c>
      <c r="BN157" s="242">
        <v>3.7500000000000001E-4</v>
      </c>
      <c r="BO157" s="243">
        <v>0.95</v>
      </c>
      <c r="BP157" s="234">
        <v>1</v>
      </c>
      <c r="BQ157" s="242">
        <v>2.5000000000000001E-3</v>
      </c>
    </row>
    <row r="158" spans="1:69" s="211" customFormat="1" ht="22.35" customHeight="1" x14ac:dyDescent="0.2">
      <c r="A158" s="221" t="s">
        <v>176</v>
      </c>
      <c r="B158" s="221" t="s">
        <v>202</v>
      </c>
      <c r="C158" s="221" t="s">
        <v>220</v>
      </c>
      <c r="D158" s="222">
        <v>4.9912352884444404</v>
      </c>
      <c r="E158" s="223"/>
      <c r="F158" s="224">
        <v>0.05</v>
      </c>
      <c r="G158" s="224">
        <v>4.2999999999999997E-2</v>
      </c>
      <c r="H158" s="225"/>
      <c r="I158" s="226">
        <v>5</v>
      </c>
      <c r="J158" s="226">
        <v>5</v>
      </c>
      <c r="K158" s="223"/>
      <c r="L158" s="227">
        <v>6993.5192699999998</v>
      </c>
      <c r="M158" s="227">
        <v>7521.1213399999997</v>
      </c>
      <c r="N158" s="227">
        <v>14514.64061</v>
      </c>
      <c r="O158" s="222">
        <v>2908.02572333223</v>
      </c>
      <c r="P158" s="228">
        <v>267.06299999999999</v>
      </c>
      <c r="Q158" s="234">
        <v>10.8889128158233</v>
      </c>
      <c r="R158" s="235">
        <v>13059.032707337101</v>
      </c>
      <c r="S158" s="224">
        <v>0.01</v>
      </c>
      <c r="T158" s="224">
        <v>0.01</v>
      </c>
      <c r="U158" s="231">
        <v>0</v>
      </c>
      <c r="V158" s="232">
        <v>0</v>
      </c>
      <c r="W158" s="223"/>
      <c r="X158" s="231">
        <v>3229.49251</v>
      </c>
      <c r="Y158" s="222">
        <v>647.03271301932398</v>
      </c>
      <c r="Z158" s="233">
        <v>573</v>
      </c>
      <c r="AA158" s="234">
        <v>1.1292019424421</v>
      </c>
      <c r="AB158" s="235">
        <v>106.396730255698</v>
      </c>
      <c r="AC158" s="224">
        <v>0.02</v>
      </c>
      <c r="AD158" s="224">
        <v>1.2999999999999999E-2</v>
      </c>
      <c r="AE158" s="232">
        <v>0</v>
      </c>
      <c r="AF158" s="232">
        <v>203</v>
      </c>
      <c r="AG158" s="223"/>
      <c r="AH158" s="236">
        <v>265.10000000000002</v>
      </c>
      <c r="AI158" s="222">
        <v>53.113104207639999</v>
      </c>
      <c r="AJ158" s="237" t="s">
        <v>54</v>
      </c>
      <c r="AK158" s="244">
        <v>0.84306514615301598</v>
      </c>
      <c r="AL158" s="227">
        <v>-78.277022903823607</v>
      </c>
      <c r="AM158" s="224"/>
      <c r="AN158" s="224"/>
      <c r="AO158" s="232">
        <v>50</v>
      </c>
      <c r="AP158" s="232">
        <v>113</v>
      </c>
      <c r="AQ158" s="223"/>
      <c r="AR158" s="236">
        <v>54.4</v>
      </c>
      <c r="AS158" s="222">
        <v>10.8991055031898</v>
      </c>
      <c r="AT158" s="237" t="s">
        <v>55</v>
      </c>
      <c r="AU158" s="229">
        <v>0.68119409394936203</v>
      </c>
      <c r="AV158" s="230">
        <v>-32.806862959701299</v>
      </c>
      <c r="AW158" s="224"/>
      <c r="AX158" s="224"/>
      <c r="AY158" s="232">
        <v>26</v>
      </c>
      <c r="AZ158" s="232">
        <v>42</v>
      </c>
      <c r="BA158" s="223"/>
      <c r="BB158" s="240">
        <v>224</v>
      </c>
      <c r="BC158" s="236">
        <v>44.878669719016798</v>
      </c>
      <c r="BD158" s="237" t="s">
        <v>56</v>
      </c>
      <c r="BE158" s="234">
        <v>1.4024584287192801</v>
      </c>
      <c r="BF158" s="235">
        <v>49.586274080597498</v>
      </c>
      <c r="BG158" s="224">
        <v>0.02</v>
      </c>
      <c r="BH158" s="224">
        <v>0.02</v>
      </c>
      <c r="BI158" s="232">
        <v>0</v>
      </c>
      <c r="BJ158" s="232">
        <v>0</v>
      </c>
      <c r="BK158" s="225"/>
      <c r="BL158" s="241">
        <v>0.8</v>
      </c>
      <c r="BM158" s="238">
        <v>0.82</v>
      </c>
      <c r="BN158" s="242">
        <v>7.5000000000000002E-4</v>
      </c>
      <c r="BO158" s="243">
        <v>0.95</v>
      </c>
      <c r="BP158" s="234">
        <v>1</v>
      </c>
      <c r="BQ158" s="242">
        <v>2.5000000000000001E-3</v>
      </c>
    </row>
    <row r="159" spans="1:69" s="211" customFormat="1" ht="22.35" customHeight="1" x14ac:dyDescent="0.2">
      <c r="A159" s="221" t="s">
        <v>221</v>
      </c>
      <c r="B159" s="221" t="s">
        <v>222</v>
      </c>
      <c r="C159" s="221" t="s">
        <v>223</v>
      </c>
      <c r="D159" s="222">
        <v>2.5021163648888902</v>
      </c>
      <c r="E159" s="223"/>
      <c r="F159" s="224">
        <v>1.4999999999999999E-2</v>
      </c>
      <c r="G159" s="224">
        <v>0.01</v>
      </c>
      <c r="H159" s="225"/>
      <c r="I159" s="226">
        <v>3</v>
      </c>
      <c r="J159" s="226">
        <v>2</v>
      </c>
      <c r="K159" s="223"/>
      <c r="L159" s="227">
        <v>927.55918999999994</v>
      </c>
      <c r="M159" s="227">
        <v>936.63094000000001</v>
      </c>
      <c r="N159" s="227">
        <v>1864.19013</v>
      </c>
      <c r="O159" s="222">
        <v>745.04533688335596</v>
      </c>
      <c r="P159" s="228">
        <v>242.67599999999999</v>
      </c>
      <c r="Q159" s="234">
        <v>3.0701236911905401</v>
      </c>
      <c r="R159" s="235">
        <v>1201.12380866537</v>
      </c>
      <c r="S159" s="224">
        <v>0.01</v>
      </c>
      <c r="T159" s="224">
        <v>0.01</v>
      </c>
      <c r="U159" s="231">
        <v>0</v>
      </c>
      <c r="V159" s="232">
        <v>0</v>
      </c>
      <c r="W159" s="223"/>
      <c r="X159" s="231">
        <v>1372.22606</v>
      </c>
      <c r="Y159" s="222">
        <v>548.42615605567005</v>
      </c>
      <c r="Z159" s="233">
        <v>573</v>
      </c>
      <c r="AA159" s="238">
        <v>0.95711371039383997</v>
      </c>
      <c r="AB159" s="239">
        <v>-193.388183372817</v>
      </c>
      <c r="AC159" s="224">
        <v>5.0000000000000001E-3</v>
      </c>
      <c r="AD159" s="224"/>
      <c r="AE159" s="232">
        <v>62</v>
      </c>
      <c r="AF159" s="232">
        <v>349</v>
      </c>
      <c r="AG159" s="223"/>
      <c r="AH159" s="236">
        <v>116.7</v>
      </c>
      <c r="AI159" s="222">
        <v>46.640516659257102</v>
      </c>
      <c r="AJ159" s="237" t="s">
        <v>54</v>
      </c>
      <c r="AK159" s="244">
        <v>0.74032566125804899</v>
      </c>
      <c r="AL159" s="227">
        <v>-55.435597438896103</v>
      </c>
      <c r="AM159" s="224"/>
      <c r="AN159" s="224"/>
      <c r="AO159" s="232">
        <v>41</v>
      </c>
      <c r="AP159" s="232">
        <v>73</v>
      </c>
      <c r="AQ159" s="223"/>
      <c r="AR159" s="236">
        <v>19.399999999999999</v>
      </c>
      <c r="AS159" s="222">
        <v>7.7534363598079503</v>
      </c>
      <c r="AT159" s="237" t="s">
        <v>55</v>
      </c>
      <c r="AU159" s="229">
        <v>0.48458977248799701</v>
      </c>
      <c r="AV159" s="230">
        <v>-24.316977127338699</v>
      </c>
      <c r="AW159" s="224"/>
      <c r="AX159" s="224"/>
      <c r="AY159" s="232">
        <v>21</v>
      </c>
      <c r="AZ159" s="232">
        <v>29</v>
      </c>
      <c r="BA159" s="223"/>
      <c r="BB159" s="240">
        <v>54</v>
      </c>
      <c r="BC159" s="236">
        <v>21.581730073692199</v>
      </c>
      <c r="BD159" s="237" t="s">
        <v>56</v>
      </c>
      <c r="BE159" s="229">
        <v>0.67442906480288201</v>
      </c>
      <c r="BF159" s="230">
        <v>-33.433954254677403</v>
      </c>
      <c r="BG159" s="224"/>
      <c r="BH159" s="224"/>
      <c r="BI159" s="232">
        <v>27</v>
      </c>
      <c r="BJ159" s="232">
        <v>43</v>
      </c>
      <c r="BK159" s="225"/>
      <c r="BL159" s="241">
        <v>0.8</v>
      </c>
      <c r="BM159" s="244">
        <v>0.78</v>
      </c>
      <c r="BN159" s="242"/>
      <c r="BO159" s="243">
        <v>0.95</v>
      </c>
      <c r="BP159" s="234">
        <v>1</v>
      </c>
      <c r="BQ159" s="242">
        <v>2.5000000000000001E-3</v>
      </c>
    </row>
    <row r="160" spans="1:69" s="211" customFormat="1" ht="22.35" customHeight="1" x14ac:dyDescent="0.2">
      <c r="A160" s="221" t="s">
        <v>221</v>
      </c>
      <c r="B160" s="221" t="s">
        <v>222</v>
      </c>
      <c r="C160" s="221" t="s">
        <v>224</v>
      </c>
      <c r="D160" s="222">
        <v>1.37464506811111</v>
      </c>
      <c r="E160" s="223"/>
      <c r="F160" s="224">
        <v>2.4E-2</v>
      </c>
      <c r="G160" s="224">
        <v>1.4E-2</v>
      </c>
      <c r="H160" s="225"/>
      <c r="I160" s="226">
        <v>3</v>
      </c>
      <c r="J160" s="226">
        <v>3</v>
      </c>
      <c r="K160" s="223"/>
      <c r="L160" s="227">
        <v>1058.91444</v>
      </c>
      <c r="M160" s="227">
        <v>-193.24618000000001</v>
      </c>
      <c r="N160" s="227">
        <v>865.66826000000003</v>
      </c>
      <c r="O160" s="222">
        <v>629.73947245124702</v>
      </c>
      <c r="P160" s="228">
        <v>219.79400000000001</v>
      </c>
      <c r="Q160" s="234">
        <v>2.8651349556914498</v>
      </c>
      <c r="R160" s="235">
        <v>535.73275799434896</v>
      </c>
      <c r="S160" s="224">
        <v>0.01</v>
      </c>
      <c r="T160" s="224">
        <v>0.01</v>
      </c>
      <c r="U160" s="231">
        <v>0</v>
      </c>
      <c r="V160" s="232">
        <v>0</v>
      </c>
      <c r="W160" s="223"/>
      <c r="X160" s="231">
        <v>818.984105</v>
      </c>
      <c r="Y160" s="222">
        <v>595.77859332471905</v>
      </c>
      <c r="Z160" s="233">
        <v>573</v>
      </c>
      <c r="AA160" s="238">
        <v>1.03975321697159</v>
      </c>
      <c r="AB160" s="239">
        <v>-41.153308438211297</v>
      </c>
      <c r="AC160" s="224">
        <v>1.4E-2</v>
      </c>
      <c r="AD160" s="224">
        <v>4.0000000000000001E-3</v>
      </c>
      <c r="AE160" s="232">
        <v>0</v>
      </c>
      <c r="AF160" s="232">
        <v>127</v>
      </c>
      <c r="AG160" s="223"/>
      <c r="AH160" s="236">
        <v>71.7</v>
      </c>
      <c r="AI160" s="222">
        <v>52.158918446142899</v>
      </c>
      <c r="AJ160" s="237" t="s">
        <v>54</v>
      </c>
      <c r="AK160" s="244">
        <v>0.82791934041496695</v>
      </c>
      <c r="AL160" s="227">
        <v>-22.8700821057719</v>
      </c>
      <c r="AM160" s="224"/>
      <c r="AN160" s="224"/>
      <c r="AO160" s="232">
        <v>15</v>
      </c>
      <c r="AP160" s="232">
        <v>33</v>
      </c>
      <c r="AQ160" s="223"/>
      <c r="AR160" s="236">
        <v>10.6</v>
      </c>
      <c r="AS160" s="222">
        <v>7.7110813881327003</v>
      </c>
      <c r="AT160" s="237" t="s">
        <v>55</v>
      </c>
      <c r="AU160" s="229">
        <v>0.48194258675829399</v>
      </c>
      <c r="AV160" s="230">
        <v>-13.4177986300373</v>
      </c>
      <c r="AW160" s="224"/>
      <c r="AX160" s="224"/>
      <c r="AY160" s="232">
        <v>12</v>
      </c>
      <c r="AZ160" s="232">
        <v>16</v>
      </c>
      <c r="BA160" s="223"/>
      <c r="BB160" s="240">
        <v>31.8</v>
      </c>
      <c r="BC160" s="236">
        <v>23.1332441643981</v>
      </c>
      <c r="BD160" s="237" t="s">
        <v>56</v>
      </c>
      <c r="BE160" s="229">
        <v>0.72291388013744096</v>
      </c>
      <c r="BF160" s="230">
        <v>-16.235597260074599</v>
      </c>
      <c r="BG160" s="224"/>
      <c r="BH160" s="224"/>
      <c r="BI160" s="232">
        <v>13</v>
      </c>
      <c r="BJ160" s="232">
        <v>21</v>
      </c>
      <c r="BK160" s="225"/>
      <c r="BL160" s="241">
        <v>0.8</v>
      </c>
      <c r="BM160" s="244">
        <v>0.77</v>
      </c>
      <c r="BN160" s="242"/>
      <c r="BO160" s="243">
        <v>0.95</v>
      </c>
      <c r="BP160" s="234">
        <v>1</v>
      </c>
      <c r="BQ160" s="242">
        <v>2.5000000000000001E-3</v>
      </c>
    </row>
    <row r="161" spans="1:69" s="211" customFormat="1" ht="22.35" customHeight="1" x14ac:dyDescent="0.2">
      <c r="A161" s="221" t="s">
        <v>221</v>
      </c>
      <c r="B161" s="221" t="s">
        <v>222</v>
      </c>
      <c r="C161" s="221" t="s">
        <v>225</v>
      </c>
      <c r="D161" s="222">
        <v>2.7294855338888899</v>
      </c>
      <c r="E161" s="223"/>
      <c r="F161" s="224">
        <v>2.7E-2</v>
      </c>
      <c r="G161" s="224">
        <v>1.4E-2</v>
      </c>
      <c r="H161" s="225"/>
      <c r="I161" s="226">
        <v>4</v>
      </c>
      <c r="J161" s="226">
        <v>3</v>
      </c>
      <c r="K161" s="223"/>
      <c r="L161" s="227">
        <v>1181.72991</v>
      </c>
      <c r="M161" s="227">
        <v>851.94185000000004</v>
      </c>
      <c r="N161" s="227">
        <v>2033.6717599999999</v>
      </c>
      <c r="O161" s="222">
        <v>745.07511937697802</v>
      </c>
      <c r="P161" s="228">
        <v>219.79400000000001</v>
      </c>
      <c r="Q161" s="234">
        <v>3.3898792477364199</v>
      </c>
      <c r="R161" s="235">
        <v>1378.55415856835</v>
      </c>
      <c r="S161" s="224">
        <v>0.01</v>
      </c>
      <c r="T161" s="224">
        <v>0.01</v>
      </c>
      <c r="U161" s="231">
        <v>0</v>
      </c>
      <c r="V161" s="232">
        <v>0</v>
      </c>
      <c r="W161" s="223"/>
      <c r="X161" s="231">
        <v>1627.2174749999999</v>
      </c>
      <c r="Y161" s="222">
        <v>596.16270348265596</v>
      </c>
      <c r="Z161" s="233">
        <v>573</v>
      </c>
      <c r="AA161" s="238">
        <v>1.04042356628736</v>
      </c>
      <c r="AB161" s="239">
        <v>-80.665295322820796</v>
      </c>
      <c r="AC161" s="224">
        <v>1.4E-2</v>
      </c>
      <c r="AD161" s="224">
        <v>4.0000000000000001E-3</v>
      </c>
      <c r="AE161" s="232">
        <v>0</v>
      </c>
      <c r="AF161" s="232">
        <v>250</v>
      </c>
      <c r="AG161" s="223"/>
      <c r="AH161" s="236">
        <v>72.7</v>
      </c>
      <c r="AI161" s="222">
        <v>26.635055983029599</v>
      </c>
      <c r="AJ161" s="237" t="s">
        <v>54</v>
      </c>
      <c r="AK161" s="229">
        <v>0.422778666397295</v>
      </c>
      <c r="AL161" s="230">
        <v>-115.07768678942</v>
      </c>
      <c r="AM161" s="224"/>
      <c r="AN161" s="224"/>
      <c r="AO161" s="232">
        <v>100</v>
      </c>
      <c r="AP161" s="232">
        <v>134</v>
      </c>
      <c r="AQ161" s="223"/>
      <c r="AR161" s="236">
        <v>21.6</v>
      </c>
      <c r="AS161" s="222">
        <v>7.91357921916698</v>
      </c>
      <c r="AT161" s="237" t="s">
        <v>55</v>
      </c>
      <c r="AU161" s="229">
        <v>0.49459870119793597</v>
      </c>
      <c r="AV161" s="230">
        <v>-26.089571248106701</v>
      </c>
      <c r="AW161" s="224"/>
      <c r="AX161" s="224"/>
      <c r="AY161" s="232">
        <v>23</v>
      </c>
      <c r="AZ161" s="232">
        <v>31</v>
      </c>
      <c r="BA161" s="223"/>
      <c r="BB161" s="240">
        <v>81.599999999999994</v>
      </c>
      <c r="BC161" s="236">
        <v>29.895743716853001</v>
      </c>
      <c r="BD161" s="237" t="s">
        <v>56</v>
      </c>
      <c r="BE161" s="238">
        <v>0.93424199115165696</v>
      </c>
      <c r="BF161" s="239">
        <v>-13.779142496213399</v>
      </c>
      <c r="BG161" s="224">
        <v>3.0000000000000001E-3</v>
      </c>
      <c r="BH161" s="224"/>
      <c r="BI161" s="232">
        <v>6</v>
      </c>
      <c r="BJ161" s="232">
        <v>24</v>
      </c>
      <c r="BK161" s="225"/>
      <c r="BL161" s="241">
        <v>0.8</v>
      </c>
      <c r="BM161" s="244">
        <v>0.8</v>
      </c>
      <c r="BN161" s="242">
        <v>0</v>
      </c>
      <c r="BO161" s="243">
        <v>0.95</v>
      </c>
      <c r="BP161" s="234">
        <v>1</v>
      </c>
      <c r="BQ161" s="242">
        <v>2.5000000000000001E-3</v>
      </c>
    </row>
    <row r="162" spans="1:69" s="211" customFormat="1" ht="22.35" customHeight="1" x14ac:dyDescent="0.2">
      <c r="A162" s="221" t="s">
        <v>221</v>
      </c>
      <c r="B162" s="221" t="s">
        <v>222</v>
      </c>
      <c r="C162" s="221" t="s">
        <v>226</v>
      </c>
      <c r="D162" s="222">
        <v>1.1783439328888901</v>
      </c>
      <c r="E162" s="223"/>
      <c r="F162" s="224">
        <v>0.05</v>
      </c>
      <c r="G162" s="224">
        <v>4.1000000000000002E-2</v>
      </c>
      <c r="H162" s="225"/>
      <c r="I162" s="226">
        <v>5</v>
      </c>
      <c r="J162" s="226">
        <v>5</v>
      </c>
      <c r="K162" s="223"/>
      <c r="L162" s="227">
        <v>1061.19625</v>
      </c>
      <c r="M162" s="227">
        <v>537.65188999999998</v>
      </c>
      <c r="N162" s="227">
        <v>1598.8481400000001</v>
      </c>
      <c r="O162" s="222">
        <v>1356.8603320086499</v>
      </c>
      <c r="P162" s="228">
        <v>224.79599999999999</v>
      </c>
      <c r="Q162" s="234">
        <v>6.0359629709098499</v>
      </c>
      <c r="R162" s="235">
        <v>1309.5915330104399</v>
      </c>
      <c r="S162" s="224">
        <v>0.01</v>
      </c>
      <c r="T162" s="224">
        <v>0.01</v>
      </c>
      <c r="U162" s="231">
        <v>0</v>
      </c>
      <c r="V162" s="232">
        <v>0</v>
      </c>
      <c r="W162" s="223"/>
      <c r="X162" s="231">
        <v>555.42299500000001</v>
      </c>
      <c r="Y162" s="222">
        <v>471.35898059770699</v>
      </c>
      <c r="Z162" s="233">
        <v>573</v>
      </c>
      <c r="AA162" s="244">
        <v>0.82261602198552797</v>
      </c>
      <c r="AB162" s="227">
        <v>-181.88565731150501</v>
      </c>
      <c r="AC162" s="224"/>
      <c r="AD162" s="224"/>
      <c r="AE162" s="232">
        <v>120</v>
      </c>
      <c r="AF162" s="232">
        <v>255</v>
      </c>
      <c r="AG162" s="223"/>
      <c r="AH162" s="236">
        <v>82.4</v>
      </c>
      <c r="AI162" s="222">
        <v>69.928649607406101</v>
      </c>
      <c r="AJ162" s="237" t="s">
        <v>54</v>
      </c>
      <c r="AK162" s="234">
        <v>1.1099785651969201</v>
      </c>
      <c r="AL162" s="235">
        <v>1.3346507929759399</v>
      </c>
      <c r="AM162" s="224">
        <v>0.02</v>
      </c>
      <c r="AN162" s="224">
        <v>1.0999999999999999E-2</v>
      </c>
      <c r="AO162" s="232">
        <v>0</v>
      </c>
      <c r="AP162" s="232">
        <v>7</v>
      </c>
      <c r="AQ162" s="223"/>
      <c r="AR162" s="236">
        <v>9.6</v>
      </c>
      <c r="AS162" s="222">
        <v>8.14702713872693</v>
      </c>
      <c r="AT162" s="237" t="s">
        <v>55</v>
      </c>
      <c r="AU162" s="229">
        <v>0.50918919617043301</v>
      </c>
      <c r="AV162" s="230">
        <v>-10.9880251954347</v>
      </c>
      <c r="AW162" s="224"/>
      <c r="AX162" s="224"/>
      <c r="AY162" s="232">
        <v>10</v>
      </c>
      <c r="AZ162" s="232">
        <v>14</v>
      </c>
      <c r="BA162" s="223"/>
      <c r="BB162" s="240">
        <v>46.4</v>
      </c>
      <c r="BC162" s="236">
        <v>39.377297837180201</v>
      </c>
      <c r="BD162" s="237" t="s">
        <v>56</v>
      </c>
      <c r="BE162" s="234">
        <v>1.23054055741188</v>
      </c>
      <c r="BF162" s="235">
        <v>5.2239496091306297</v>
      </c>
      <c r="BG162" s="224">
        <v>0.02</v>
      </c>
      <c r="BH162" s="224">
        <v>0.02</v>
      </c>
      <c r="BI162" s="232">
        <v>0</v>
      </c>
      <c r="BJ162" s="232">
        <v>0</v>
      </c>
      <c r="BK162" s="225"/>
      <c r="BL162" s="241">
        <v>0.8</v>
      </c>
      <c r="BM162" s="238">
        <v>0.83</v>
      </c>
      <c r="BN162" s="242">
        <v>1.1249999999999999E-3</v>
      </c>
      <c r="BO162" s="243">
        <v>0.95</v>
      </c>
      <c r="BP162" s="234">
        <v>1</v>
      </c>
      <c r="BQ162" s="242">
        <v>2.5000000000000001E-3</v>
      </c>
    </row>
    <row r="163" spans="1:69" s="211" customFormat="1" ht="22.35" customHeight="1" x14ac:dyDescent="0.2">
      <c r="A163" s="221" t="s">
        <v>221</v>
      </c>
      <c r="B163" s="221" t="s">
        <v>222</v>
      </c>
      <c r="C163" s="221" t="s">
        <v>227</v>
      </c>
      <c r="D163" s="222">
        <v>3.1786816065555601</v>
      </c>
      <c r="E163" s="223"/>
      <c r="F163" s="224">
        <v>0.08</v>
      </c>
      <c r="G163" s="224">
        <v>7.9500000000000001E-2</v>
      </c>
      <c r="H163" s="225"/>
      <c r="I163" s="226">
        <v>6</v>
      </c>
      <c r="J163" s="226">
        <v>6</v>
      </c>
      <c r="K163" s="223"/>
      <c r="L163" s="227">
        <v>3230.8780900000002</v>
      </c>
      <c r="M163" s="227">
        <v>-424.17930999999999</v>
      </c>
      <c r="N163" s="227">
        <v>2806.6987800000002</v>
      </c>
      <c r="O163" s="222">
        <v>882.97575139693197</v>
      </c>
      <c r="P163" s="228">
        <v>239.25899999999999</v>
      </c>
      <c r="Q163" s="234">
        <v>3.6904599258415902</v>
      </c>
      <c r="R163" s="235">
        <v>1976.20200470686</v>
      </c>
      <c r="S163" s="224">
        <v>0.01</v>
      </c>
      <c r="T163" s="224">
        <v>0.01</v>
      </c>
      <c r="U163" s="231">
        <v>0</v>
      </c>
      <c r="V163" s="232">
        <v>0</v>
      </c>
      <c r="W163" s="223"/>
      <c r="X163" s="231">
        <v>2459.3987400000001</v>
      </c>
      <c r="Y163" s="222">
        <v>773.71660468536902</v>
      </c>
      <c r="Z163" s="233">
        <v>573</v>
      </c>
      <c r="AA163" s="234">
        <v>1.35029075861321</v>
      </c>
      <c r="AB163" s="235">
        <v>470.44679987248099</v>
      </c>
      <c r="AC163" s="224">
        <v>0.02</v>
      </c>
      <c r="AD163" s="224">
        <v>0.02</v>
      </c>
      <c r="AE163" s="232">
        <v>0</v>
      </c>
      <c r="AF163" s="232">
        <v>0</v>
      </c>
      <c r="AG163" s="223"/>
      <c r="AH163" s="236">
        <v>295.39999999999998</v>
      </c>
      <c r="AI163" s="222">
        <v>92.93161019675</v>
      </c>
      <c r="AJ163" s="237" t="s">
        <v>54</v>
      </c>
      <c r="AK163" s="234">
        <v>1.4751049237579399</v>
      </c>
      <c r="AL163" s="235">
        <v>76.7194201954037</v>
      </c>
      <c r="AM163" s="224">
        <v>0.02</v>
      </c>
      <c r="AN163" s="224">
        <v>0.02</v>
      </c>
      <c r="AO163" s="232">
        <v>0</v>
      </c>
      <c r="AP163" s="232">
        <v>0</v>
      </c>
      <c r="AQ163" s="223"/>
      <c r="AR163" s="236">
        <v>60.3</v>
      </c>
      <c r="AS163" s="222">
        <v>18.970128960270898</v>
      </c>
      <c r="AT163" s="237" t="s">
        <v>55</v>
      </c>
      <c r="AU163" s="234">
        <v>1.18563306001693</v>
      </c>
      <c r="AV163" s="235">
        <v>4.7620749702612599</v>
      </c>
      <c r="AW163" s="224">
        <v>0.01</v>
      </c>
      <c r="AX163" s="224">
        <v>9.4999999999999998E-3</v>
      </c>
      <c r="AY163" s="232">
        <v>0</v>
      </c>
      <c r="AZ163" s="232">
        <v>1</v>
      </c>
      <c r="BA163" s="223"/>
      <c r="BB163" s="240">
        <v>197.2</v>
      </c>
      <c r="BC163" s="236">
        <v>62.038299020985399</v>
      </c>
      <c r="BD163" s="237" t="s">
        <v>56</v>
      </c>
      <c r="BE163" s="234">
        <v>1.9386968444057999</v>
      </c>
      <c r="BF163" s="235">
        <v>86.1241499405225</v>
      </c>
      <c r="BG163" s="224">
        <v>0.02</v>
      </c>
      <c r="BH163" s="224">
        <v>0.02</v>
      </c>
      <c r="BI163" s="232">
        <v>0</v>
      </c>
      <c r="BJ163" s="232">
        <v>0</v>
      </c>
      <c r="BK163" s="225"/>
      <c r="BL163" s="241">
        <v>0.8</v>
      </c>
      <c r="BM163" s="244">
        <v>0.78</v>
      </c>
      <c r="BN163" s="242"/>
      <c r="BO163" s="243">
        <v>0.95</v>
      </c>
      <c r="BP163" s="234">
        <v>1</v>
      </c>
      <c r="BQ163" s="242">
        <v>2.5000000000000001E-3</v>
      </c>
    </row>
    <row r="164" spans="1:69" s="211" customFormat="1" ht="22.35" customHeight="1" x14ac:dyDescent="0.2">
      <c r="A164" s="221" t="s">
        <v>221</v>
      </c>
      <c r="B164" s="221" t="s">
        <v>222</v>
      </c>
      <c r="C164" s="221" t="s">
        <v>228</v>
      </c>
      <c r="D164" s="222">
        <v>3.7074923414444401</v>
      </c>
      <c r="E164" s="223"/>
      <c r="F164" s="224">
        <v>2.1999999999999999E-2</v>
      </c>
      <c r="G164" s="224">
        <v>1.2E-2</v>
      </c>
      <c r="H164" s="225"/>
      <c r="I164" s="226">
        <v>3</v>
      </c>
      <c r="J164" s="226">
        <v>3</v>
      </c>
      <c r="K164" s="223"/>
      <c r="L164" s="227">
        <v>1870.79556</v>
      </c>
      <c r="M164" s="227">
        <v>-209.71955</v>
      </c>
      <c r="N164" s="227">
        <v>1661.07601</v>
      </c>
      <c r="O164" s="222">
        <v>448.03221612396999</v>
      </c>
      <c r="P164" s="228">
        <v>272.85399999999998</v>
      </c>
      <c r="Q164" s="234">
        <v>1.64202179965831</v>
      </c>
      <c r="R164" s="235">
        <v>556.40431605693004</v>
      </c>
      <c r="S164" s="224">
        <v>0.01</v>
      </c>
      <c r="T164" s="224">
        <v>0.01</v>
      </c>
      <c r="U164" s="231">
        <v>0</v>
      </c>
      <c r="V164" s="232">
        <v>0</v>
      </c>
      <c r="W164" s="223"/>
      <c r="X164" s="231">
        <v>1841.54764</v>
      </c>
      <c r="Y164" s="222">
        <v>496.709762394959</v>
      </c>
      <c r="Z164" s="233">
        <v>573</v>
      </c>
      <c r="AA164" s="244">
        <v>0.86685822407497204</v>
      </c>
      <c r="AB164" s="227">
        <v>-478.289637919249</v>
      </c>
      <c r="AC164" s="224"/>
      <c r="AD164" s="224"/>
      <c r="AE164" s="232">
        <v>283</v>
      </c>
      <c r="AF164" s="232">
        <v>708</v>
      </c>
      <c r="AG164" s="223"/>
      <c r="AH164" s="236">
        <v>94.2</v>
      </c>
      <c r="AI164" s="222">
        <v>25.408009329373201</v>
      </c>
      <c r="AJ164" s="237" t="s">
        <v>54</v>
      </c>
      <c r="AK164" s="229">
        <v>0.40330173538687603</v>
      </c>
      <c r="AL164" s="230">
        <v>-160.86064312201199</v>
      </c>
      <c r="AM164" s="224"/>
      <c r="AN164" s="224"/>
      <c r="AO164" s="232">
        <v>140</v>
      </c>
      <c r="AP164" s="232">
        <v>187</v>
      </c>
      <c r="AQ164" s="223"/>
      <c r="AR164" s="236">
        <v>30.8</v>
      </c>
      <c r="AS164" s="222">
        <v>8.3075019887971706</v>
      </c>
      <c r="AT164" s="237" t="s">
        <v>55</v>
      </c>
      <c r="AU164" s="229">
        <v>0.51921887429982305</v>
      </c>
      <c r="AV164" s="230">
        <v>-33.977306189717297</v>
      </c>
      <c r="AW164" s="224"/>
      <c r="AX164" s="224"/>
      <c r="AY164" s="232">
        <v>29</v>
      </c>
      <c r="AZ164" s="232">
        <v>41</v>
      </c>
      <c r="BA164" s="223"/>
      <c r="BB164" s="240">
        <v>121</v>
      </c>
      <c r="BC164" s="236">
        <v>32.636614955988897</v>
      </c>
      <c r="BD164" s="237" t="s">
        <v>56</v>
      </c>
      <c r="BE164" s="238">
        <v>1.0198942173746499</v>
      </c>
      <c r="BF164" s="239">
        <v>-8.5546123794345004</v>
      </c>
      <c r="BG164" s="224">
        <v>1.2E-2</v>
      </c>
      <c r="BH164" s="224">
        <v>2E-3</v>
      </c>
      <c r="BI164" s="232">
        <v>0</v>
      </c>
      <c r="BJ164" s="232">
        <v>22</v>
      </c>
      <c r="BK164" s="225"/>
      <c r="BL164" s="241">
        <v>0.8</v>
      </c>
      <c r="BM164" s="244">
        <v>0.72</v>
      </c>
      <c r="BN164" s="242"/>
      <c r="BO164" s="243">
        <v>0.95</v>
      </c>
      <c r="BP164" s="234">
        <v>1</v>
      </c>
      <c r="BQ164" s="242">
        <v>2.5000000000000001E-3</v>
      </c>
    </row>
    <row r="165" spans="1:69" s="211" customFormat="1" ht="22.35" customHeight="1" x14ac:dyDescent="0.2">
      <c r="A165" s="221" t="s">
        <v>221</v>
      </c>
      <c r="B165" s="221" t="s">
        <v>222</v>
      </c>
      <c r="C165" s="221" t="s">
        <v>229</v>
      </c>
      <c r="D165" s="222">
        <v>3.59068721</v>
      </c>
      <c r="E165" s="223"/>
      <c r="F165" s="224">
        <v>0.01</v>
      </c>
      <c r="G165" s="224">
        <v>0.01</v>
      </c>
      <c r="H165" s="225"/>
      <c r="I165" s="226">
        <v>2</v>
      </c>
      <c r="J165" s="226">
        <v>2</v>
      </c>
      <c r="K165" s="223"/>
      <c r="L165" s="227">
        <v>611.86848999999995</v>
      </c>
      <c r="M165" s="227">
        <v>792.53138999999999</v>
      </c>
      <c r="N165" s="227">
        <v>1404.3998799999999</v>
      </c>
      <c r="O165" s="222">
        <v>391.12286809298502</v>
      </c>
      <c r="P165" s="228">
        <v>244.22499999999999</v>
      </c>
      <c r="Q165" s="234">
        <v>1.60148579421839</v>
      </c>
      <c r="R165" s="235">
        <v>446.78622242242301</v>
      </c>
      <c r="S165" s="224">
        <v>0.01</v>
      </c>
      <c r="T165" s="224">
        <v>0.01</v>
      </c>
      <c r="U165" s="231">
        <v>0</v>
      </c>
      <c r="V165" s="232">
        <v>0</v>
      </c>
      <c r="W165" s="223"/>
      <c r="X165" s="231">
        <v>1728.7739349999999</v>
      </c>
      <c r="Y165" s="222">
        <v>481.46046533526902</v>
      </c>
      <c r="Z165" s="233">
        <v>573</v>
      </c>
      <c r="AA165" s="244">
        <v>0.84024514020116803</v>
      </c>
      <c r="AB165" s="227">
        <v>-517.97650329236001</v>
      </c>
      <c r="AC165" s="224"/>
      <c r="AD165" s="224"/>
      <c r="AE165" s="232">
        <v>329</v>
      </c>
      <c r="AF165" s="232">
        <v>741</v>
      </c>
      <c r="AG165" s="223"/>
      <c r="AH165" s="236">
        <v>160.30000000000001</v>
      </c>
      <c r="AI165" s="222">
        <v>44.643264819494</v>
      </c>
      <c r="AJ165" s="237" t="s">
        <v>54</v>
      </c>
      <c r="AK165" s="229">
        <v>0.708623251103079</v>
      </c>
      <c r="AL165" s="230">
        <v>-86.724917299159998</v>
      </c>
      <c r="AM165" s="224"/>
      <c r="AN165" s="224"/>
      <c r="AO165" s="232">
        <v>66</v>
      </c>
      <c r="AP165" s="232">
        <v>112</v>
      </c>
      <c r="AQ165" s="223"/>
      <c r="AR165" s="236">
        <v>29.4</v>
      </c>
      <c r="AS165" s="222">
        <v>8.1878476961517297</v>
      </c>
      <c r="AT165" s="237" t="s">
        <v>55</v>
      </c>
      <c r="AU165" s="229">
        <v>0.51174048100948299</v>
      </c>
      <c r="AV165" s="230">
        <v>-33.33648693312</v>
      </c>
      <c r="AW165" s="224"/>
      <c r="AX165" s="224"/>
      <c r="AY165" s="232">
        <v>29</v>
      </c>
      <c r="AZ165" s="232">
        <v>40</v>
      </c>
      <c r="BA165" s="223"/>
      <c r="BB165" s="240">
        <v>96.6</v>
      </c>
      <c r="BC165" s="236">
        <v>26.9029281444985</v>
      </c>
      <c r="BD165" s="237" t="s">
        <v>56</v>
      </c>
      <c r="BE165" s="244">
        <v>0.84071650451558</v>
      </c>
      <c r="BF165" s="227">
        <v>-28.872973866239999</v>
      </c>
      <c r="BG165" s="224"/>
      <c r="BH165" s="224"/>
      <c r="BI165" s="232">
        <v>19</v>
      </c>
      <c r="BJ165" s="232">
        <v>42</v>
      </c>
      <c r="BK165" s="225"/>
      <c r="BL165" s="241">
        <v>0.8</v>
      </c>
      <c r="BM165" s="244">
        <v>0.78</v>
      </c>
      <c r="BN165" s="242"/>
      <c r="BO165" s="243">
        <v>0.95</v>
      </c>
      <c r="BP165" s="234">
        <v>1</v>
      </c>
      <c r="BQ165" s="242">
        <v>2.5000000000000001E-3</v>
      </c>
    </row>
    <row r="166" spans="1:69" s="211" customFormat="1" ht="22.35" customHeight="1" x14ac:dyDescent="0.2">
      <c r="A166" s="221" t="s">
        <v>221</v>
      </c>
      <c r="B166" s="221" t="s">
        <v>222</v>
      </c>
      <c r="C166" s="221" t="s">
        <v>230</v>
      </c>
      <c r="D166" s="222">
        <v>8.2706296171111102</v>
      </c>
      <c r="E166" s="223"/>
      <c r="F166" s="224">
        <v>3.7999999999999999E-2</v>
      </c>
      <c r="G166" s="224">
        <v>0.03</v>
      </c>
      <c r="H166" s="225"/>
      <c r="I166" s="226">
        <v>5</v>
      </c>
      <c r="J166" s="226">
        <v>3</v>
      </c>
      <c r="K166" s="223"/>
      <c r="L166" s="227">
        <v>12902.40545</v>
      </c>
      <c r="M166" s="227">
        <v>-143.12826999999999</v>
      </c>
      <c r="N166" s="227">
        <v>12759.277179999999</v>
      </c>
      <c r="O166" s="222">
        <v>1542.72138527426</v>
      </c>
      <c r="P166" s="228">
        <v>224.79599999999999</v>
      </c>
      <c r="Q166" s="234">
        <v>6.8627617274073396</v>
      </c>
      <c r="R166" s="235">
        <v>10729.025914694301</v>
      </c>
      <c r="S166" s="224">
        <v>0.01</v>
      </c>
      <c r="T166" s="224">
        <v>0.01</v>
      </c>
      <c r="U166" s="231">
        <v>0</v>
      </c>
      <c r="V166" s="232">
        <v>0</v>
      </c>
      <c r="W166" s="223"/>
      <c r="X166" s="231">
        <v>4579.5361599999997</v>
      </c>
      <c r="Y166" s="222">
        <v>553.71070547342504</v>
      </c>
      <c r="Z166" s="233">
        <v>573</v>
      </c>
      <c r="AA166" s="238">
        <v>0.966336309726746</v>
      </c>
      <c r="AB166" s="239">
        <v>-595.52912150029499</v>
      </c>
      <c r="AC166" s="224">
        <v>6.0000000000000001E-3</v>
      </c>
      <c r="AD166" s="224"/>
      <c r="AE166" s="232">
        <v>160</v>
      </c>
      <c r="AF166" s="232">
        <v>1108</v>
      </c>
      <c r="AG166" s="223"/>
      <c r="AH166" s="236">
        <v>483.5</v>
      </c>
      <c r="AI166" s="222">
        <v>58.459878193515799</v>
      </c>
      <c r="AJ166" s="237" t="s">
        <v>54</v>
      </c>
      <c r="AK166" s="238">
        <v>0.92793457450025096</v>
      </c>
      <c r="AL166" s="239">
        <v>-85.486235138775996</v>
      </c>
      <c r="AM166" s="224">
        <v>2E-3</v>
      </c>
      <c r="AN166" s="224"/>
      <c r="AO166" s="232">
        <v>38</v>
      </c>
      <c r="AP166" s="232">
        <v>142</v>
      </c>
      <c r="AQ166" s="223"/>
      <c r="AR166" s="236">
        <v>95.6</v>
      </c>
      <c r="AS166" s="222">
        <v>11.5589748816962</v>
      </c>
      <c r="AT166" s="237" t="s">
        <v>55</v>
      </c>
      <c r="AU166" s="229">
        <v>0.72243593010601204</v>
      </c>
      <c r="AV166" s="230">
        <v>-48.9044406701653</v>
      </c>
      <c r="AW166" s="224"/>
      <c r="AX166" s="224"/>
      <c r="AY166" s="232">
        <v>37</v>
      </c>
      <c r="AZ166" s="232">
        <v>64</v>
      </c>
      <c r="BA166" s="223"/>
      <c r="BB166" s="240">
        <v>353</v>
      </c>
      <c r="BC166" s="236">
        <v>42.6811520213259</v>
      </c>
      <c r="BD166" s="237" t="s">
        <v>56</v>
      </c>
      <c r="BE166" s="234">
        <v>1.3337860006664299</v>
      </c>
      <c r="BF166" s="235">
        <v>63.991118659669297</v>
      </c>
      <c r="BG166" s="224">
        <v>0.02</v>
      </c>
      <c r="BH166" s="224">
        <v>0.02</v>
      </c>
      <c r="BI166" s="232">
        <v>0</v>
      </c>
      <c r="BJ166" s="232">
        <v>0</v>
      </c>
      <c r="BK166" s="225"/>
      <c r="BL166" s="241">
        <v>0.8</v>
      </c>
      <c r="BM166" s="244">
        <v>0.74</v>
      </c>
      <c r="BN166" s="242"/>
      <c r="BO166" s="243">
        <v>0.95</v>
      </c>
      <c r="BP166" s="234">
        <v>1</v>
      </c>
      <c r="BQ166" s="242">
        <v>2.5000000000000001E-3</v>
      </c>
    </row>
    <row r="167" spans="1:69" s="211" customFormat="1" ht="22.35" customHeight="1" x14ac:dyDescent="0.2">
      <c r="A167" s="221" t="s">
        <v>221</v>
      </c>
      <c r="B167" s="221" t="s">
        <v>222</v>
      </c>
      <c r="C167" s="221" t="s">
        <v>231</v>
      </c>
      <c r="D167" s="222">
        <v>2.0619326908888902</v>
      </c>
      <c r="E167" s="223"/>
      <c r="F167" s="224">
        <v>3.5999999999999997E-2</v>
      </c>
      <c r="G167" s="224">
        <v>1.7999999999999999E-2</v>
      </c>
      <c r="H167" s="225"/>
      <c r="I167" s="226">
        <v>3</v>
      </c>
      <c r="J167" s="226">
        <v>3</v>
      </c>
      <c r="K167" s="223"/>
      <c r="L167" s="227">
        <v>-8166.7360500000004</v>
      </c>
      <c r="M167" s="227">
        <v>784.15520000000004</v>
      </c>
      <c r="N167" s="227">
        <v>-7382.5808500000003</v>
      </c>
      <c r="O167" s="222">
        <v>-3580.4179654464901</v>
      </c>
      <c r="P167" s="228">
        <v>225.90199999999999</v>
      </c>
      <c r="Q167" s="229">
        <v>-15.8494301309705</v>
      </c>
      <c r="R167" s="230">
        <v>-7891.2286828610004</v>
      </c>
      <c r="S167" s="224"/>
      <c r="T167" s="224"/>
      <c r="U167" s="231">
        <v>7849</v>
      </c>
      <c r="V167" s="232">
        <v>7942</v>
      </c>
      <c r="W167" s="223"/>
      <c r="X167" s="231">
        <v>883.646885</v>
      </c>
      <c r="Y167" s="222">
        <v>428.55273060298799</v>
      </c>
      <c r="Z167" s="233">
        <v>573</v>
      </c>
      <c r="AA167" s="244">
        <v>0.74791052461254404</v>
      </c>
      <c r="AB167" s="227">
        <v>-406.53739061223303</v>
      </c>
      <c r="AC167" s="224"/>
      <c r="AD167" s="224"/>
      <c r="AE167" s="232">
        <v>298</v>
      </c>
      <c r="AF167" s="232">
        <v>535</v>
      </c>
      <c r="AG167" s="223"/>
      <c r="AH167" s="236">
        <v>146.25</v>
      </c>
      <c r="AI167" s="222">
        <v>70.928600456376898</v>
      </c>
      <c r="AJ167" s="237" t="s">
        <v>54</v>
      </c>
      <c r="AK167" s="234">
        <v>1.12585080089487</v>
      </c>
      <c r="AL167" s="235">
        <v>4.3972785976079098</v>
      </c>
      <c r="AM167" s="224">
        <v>0.02</v>
      </c>
      <c r="AN167" s="224">
        <v>1.2999999999999999E-2</v>
      </c>
      <c r="AO167" s="232">
        <v>0</v>
      </c>
      <c r="AP167" s="232">
        <v>10</v>
      </c>
      <c r="AQ167" s="223"/>
      <c r="AR167" s="236">
        <v>23.1</v>
      </c>
      <c r="AS167" s="222">
        <v>11.203081507981601</v>
      </c>
      <c r="AT167" s="237" t="s">
        <v>55</v>
      </c>
      <c r="AU167" s="229">
        <v>0.70019259424884805</v>
      </c>
      <c r="AV167" s="230">
        <v>-12.926087975210701</v>
      </c>
      <c r="AW167" s="224"/>
      <c r="AX167" s="224"/>
      <c r="AY167" s="232">
        <v>10</v>
      </c>
      <c r="AZ167" s="232">
        <v>17</v>
      </c>
      <c r="BA167" s="223"/>
      <c r="BB167" s="240">
        <v>69.400000000000006</v>
      </c>
      <c r="BC167" s="236">
        <v>33.657742712290997</v>
      </c>
      <c r="BD167" s="237" t="s">
        <v>56</v>
      </c>
      <c r="BE167" s="238">
        <v>1.0518044597590901</v>
      </c>
      <c r="BF167" s="239">
        <v>-2.65217595042138</v>
      </c>
      <c r="BG167" s="224">
        <v>1.6E-2</v>
      </c>
      <c r="BH167" s="224">
        <v>5.0000000000000001E-3</v>
      </c>
      <c r="BI167" s="232">
        <v>0</v>
      </c>
      <c r="BJ167" s="232">
        <v>10</v>
      </c>
      <c r="BK167" s="225"/>
      <c r="BL167" s="241">
        <v>0.8</v>
      </c>
      <c r="BM167" s="229"/>
      <c r="BN167" s="242"/>
      <c r="BO167" s="243">
        <v>0.95</v>
      </c>
      <c r="BP167" s="234">
        <v>1</v>
      </c>
      <c r="BQ167" s="242">
        <v>2.5000000000000001E-3</v>
      </c>
    </row>
    <row r="168" spans="1:69" s="211" customFormat="1" ht="22.35" customHeight="1" x14ac:dyDescent="0.2">
      <c r="A168" s="221" t="s">
        <v>221</v>
      </c>
      <c r="B168" s="221" t="s">
        <v>222</v>
      </c>
      <c r="C168" s="221" t="s">
        <v>232</v>
      </c>
      <c r="D168" s="222">
        <v>2.0199468106666698</v>
      </c>
      <c r="E168" s="223"/>
      <c r="F168" s="224">
        <v>0.05</v>
      </c>
      <c r="G168" s="224">
        <v>0.05</v>
      </c>
      <c r="H168" s="225"/>
      <c r="I168" s="226">
        <v>4</v>
      </c>
      <c r="J168" s="226">
        <v>4</v>
      </c>
      <c r="K168" s="223"/>
      <c r="L168" s="227">
        <v>2445.0452399999999</v>
      </c>
      <c r="M168" s="227">
        <v>422.76490999999999</v>
      </c>
      <c r="N168" s="227">
        <v>2867.8101499999998</v>
      </c>
      <c r="O168" s="222">
        <v>1419.74537886644</v>
      </c>
      <c r="P168" s="228">
        <v>258.548</v>
      </c>
      <c r="Q168" s="234">
        <v>5.4912255320731198</v>
      </c>
      <c r="R168" s="235">
        <v>2297.5096468593601</v>
      </c>
      <c r="S168" s="224">
        <v>0.01</v>
      </c>
      <c r="T168" s="224">
        <v>0.01</v>
      </c>
      <c r="U168" s="231">
        <v>0</v>
      </c>
      <c r="V168" s="232">
        <v>0</v>
      </c>
      <c r="W168" s="223"/>
      <c r="X168" s="231">
        <v>1772.097025</v>
      </c>
      <c r="Y168" s="222">
        <v>877.29885541646195</v>
      </c>
      <c r="Z168" s="233">
        <v>573</v>
      </c>
      <c r="AA168" s="234">
        <v>1.5310625748978399</v>
      </c>
      <c r="AB168" s="235">
        <v>508.18398641689299</v>
      </c>
      <c r="AC168" s="224">
        <v>0.02</v>
      </c>
      <c r="AD168" s="224">
        <v>0.02</v>
      </c>
      <c r="AE168" s="232">
        <v>0</v>
      </c>
      <c r="AF168" s="232">
        <v>0</v>
      </c>
      <c r="AG168" s="223"/>
      <c r="AH168" s="236">
        <v>110.35</v>
      </c>
      <c r="AI168" s="222">
        <v>54.630151357094299</v>
      </c>
      <c r="AJ168" s="237" t="s">
        <v>54</v>
      </c>
      <c r="AK168" s="244">
        <v>0.86714525963641798</v>
      </c>
      <c r="AL168" s="227">
        <v>-28.6142607866243</v>
      </c>
      <c r="AM168" s="224"/>
      <c r="AN168" s="224"/>
      <c r="AO168" s="232">
        <v>17</v>
      </c>
      <c r="AP168" s="232">
        <v>43</v>
      </c>
      <c r="AQ168" s="223"/>
      <c r="AR168" s="236">
        <v>23.8</v>
      </c>
      <c r="AS168" s="222">
        <v>11.7824884666864</v>
      </c>
      <c r="AT168" s="237" t="s">
        <v>55</v>
      </c>
      <c r="AU168" s="244">
        <v>0.73640552916790103</v>
      </c>
      <c r="AV168" s="227">
        <v>-11.4925106759681</v>
      </c>
      <c r="AW168" s="224"/>
      <c r="AX168" s="224"/>
      <c r="AY168" s="232">
        <v>9</v>
      </c>
      <c r="AZ168" s="232">
        <v>15</v>
      </c>
      <c r="BA168" s="223"/>
      <c r="BB168" s="240">
        <v>94</v>
      </c>
      <c r="BC168" s="236">
        <v>46.535878818005102</v>
      </c>
      <c r="BD168" s="237" t="s">
        <v>56</v>
      </c>
      <c r="BE168" s="234">
        <v>1.4542462130626601</v>
      </c>
      <c r="BF168" s="235">
        <v>23.414978648063901</v>
      </c>
      <c r="BG168" s="224">
        <v>0.02</v>
      </c>
      <c r="BH168" s="224">
        <v>0.02</v>
      </c>
      <c r="BI168" s="232">
        <v>0</v>
      </c>
      <c r="BJ168" s="232">
        <v>0</v>
      </c>
      <c r="BK168" s="225"/>
      <c r="BL168" s="241">
        <v>0.8</v>
      </c>
      <c r="BM168" s="244">
        <v>0.76</v>
      </c>
      <c r="BN168" s="242"/>
      <c r="BO168" s="243">
        <v>0.95</v>
      </c>
      <c r="BP168" s="234">
        <v>1</v>
      </c>
      <c r="BQ168" s="242">
        <v>2.5000000000000001E-3</v>
      </c>
    </row>
    <row r="169" spans="1:69" s="211" customFormat="1" ht="22.35" customHeight="1" x14ac:dyDescent="0.2">
      <c r="A169" s="221" t="s">
        <v>221</v>
      </c>
      <c r="B169" s="221" t="s">
        <v>222</v>
      </c>
      <c r="C169" s="221" t="s">
        <v>233</v>
      </c>
      <c r="D169" s="222">
        <v>1.8614832398888901</v>
      </c>
      <c r="E169" s="223"/>
      <c r="F169" s="224">
        <v>4.4999999999999998E-2</v>
      </c>
      <c r="G169" s="224">
        <v>0.04</v>
      </c>
      <c r="H169" s="225"/>
      <c r="I169" s="226">
        <v>5</v>
      </c>
      <c r="J169" s="226">
        <v>4</v>
      </c>
      <c r="K169" s="223"/>
      <c r="L169" s="227">
        <v>1295.2726700000001</v>
      </c>
      <c r="M169" s="227">
        <v>709.15342999999996</v>
      </c>
      <c r="N169" s="227">
        <v>2004.4260999999999</v>
      </c>
      <c r="O169" s="222">
        <v>1076.7897647682501</v>
      </c>
      <c r="P169" s="228">
        <v>266.29899999999998</v>
      </c>
      <c r="Q169" s="234">
        <v>4.0435366440288902</v>
      </c>
      <c r="R169" s="235">
        <v>1463.1095511732999</v>
      </c>
      <c r="S169" s="224">
        <v>0.01</v>
      </c>
      <c r="T169" s="224">
        <v>0.01</v>
      </c>
      <c r="U169" s="231">
        <v>0</v>
      </c>
      <c r="V169" s="232">
        <v>0</v>
      </c>
      <c r="W169" s="223"/>
      <c r="X169" s="231">
        <v>1020.810205</v>
      </c>
      <c r="Y169" s="222">
        <v>548.38538597904903</v>
      </c>
      <c r="Z169" s="233">
        <v>573</v>
      </c>
      <c r="AA169" s="238">
        <v>0.95704255842766095</v>
      </c>
      <c r="AB169" s="239">
        <v>-143.949641930317</v>
      </c>
      <c r="AC169" s="224">
        <v>5.0000000000000001E-3</v>
      </c>
      <c r="AD169" s="224"/>
      <c r="AE169" s="232">
        <v>46</v>
      </c>
      <c r="AF169" s="232">
        <v>260</v>
      </c>
      <c r="AG169" s="223"/>
      <c r="AH169" s="236">
        <v>105.1</v>
      </c>
      <c r="AI169" s="222">
        <v>56.460352555348997</v>
      </c>
      <c r="AJ169" s="237" t="s">
        <v>54</v>
      </c>
      <c r="AK169" s="244">
        <v>0.89619607230712695</v>
      </c>
      <c r="AL169" s="227">
        <v>-22.9626009713961</v>
      </c>
      <c r="AM169" s="224"/>
      <c r="AN169" s="224"/>
      <c r="AO169" s="232">
        <v>13</v>
      </c>
      <c r="AP169" s="232">
        <v>36</v>
      </c>
      <c r="AQ169" s="223"/>
      <c r="AR169" s="236">
        <v>47.6</v>
      </c>
      <c r="AS169" s="222">
        <v>25.571006485581499</v>
      </c>
      <c r="AT169" s="237" t="s">
        <v>55</v>
      </c>
      <c r="AU169" s="234">
        <v>1.5981879053488399</v>
      </c>
      <c r="AV169" s="235">
        <v>15.0761648326613</v>
      </c>
      <c r="AW169" s="224">
        <v>0.01</v>
      </c>
      <c r="AX169" s="224">
        <v>0.01</v>
      </c>
      <c r="AY169" s="232">
        <v>0</v>
      </c>
      <c r="AZ169" s="232">
        <v>0</v>
      </c>
      <c r="BA169" s="223"/>
      <c r="BB169" s="240">
        <v>90</v>
      </c>
      <c r="BC169" s="236">
        <v>48.348541674418797</v>
      </c>
      <c r="BD169" s="237" t="s">
        <v>56</v>
      </c>
      <c r="BE169" s="234">
        <v>1.5108919273255901</v>
      </c>
      <c r="BF169" s="235">
        <v>24.952329665322601</v>
      </c>
      <c r="BG169" s="224">
        <v>0.02</v>
      </c>
      <c r="BH169" s="224">
        <v>0.02</v>
      </c>
      <c r="BI169" s="232">
        <v>0</v>
      </c>
      <c r="BJ169" s="232">
        <v>0</v>
      </c>
      <c r="BK169" s="225"/>
      <c r="BL169" s="241">
        <v>0.8</v>
      </c>
      <c r="BM169" s="244">
        <v>0.76</v>
      </c>
      <c r="BN169" s="242"/>
      <c r="BO169" s="243">
        <v>0.95</v>
      </c>
      <c r="BP169" s="234">
        <v>1</v>
      </c>
      <c r="BQ169" s="242">
        <v>2.5000000000000001E-3</v>
      </c>
    </row>
    <row r="170" spans="1:69" s="211" customFormat="1" ht="22.35" customHeight="1" x14ac:dyDescent="0.2">
      <c r="A170" s="221" t="s">
        <v>221</v>
      </c>
      <c r="B170" s="221" t="s">
        <v>222</v>
      </c>
      <c r="C170" s="221" t="s">
        <v>234</v>
      </c>
      <c r="D170" s="222">
        <v>10.3992394423333</v>
      </c>
      <c r="E170" s="223"/>
      <c r="F170" s="224">
        <v>0.06</v>
      </c>
      <c r="G170" s="224">
        <v>0.06</v>
      </c>
      <c r="H170" s="225"/>
      <c r="I170" s="226">
        <v>5</v>
      </c>
      <c r="J170" s="226">
        <v>5</v>
      </c>
      <c r="K170" s="223"/>
      <c r="L170" s="227">
        <v>9145.5505599999997</v>
      </c>
      <c r="M170" s="227">
        <v>5418.46245</v>
      </c>
      <c r="N170" s="227">
        <v>14564.013010000001</v>
      </c>
      <c r="O170" s="222">
        <v>1400.48828481751</v>
      </c>
      <c r="P170" s="228">
        <v>287.5</v>
      </c>
      <c r="Q170" s="234">
        <v>4.8712635993652498</v>
      </c>
      <c r="R170" s="235">
        <v>11299.1717870795</v>
      </c>
      <c r="S170" s="224">
        <v>0.01</v>
      </c>
      <c r="T170" s="224">
        <v>0.01</v>
      </c>
      <c r="U170" s="231">
        <v>0</v>
      </c>
      <c r="V170" s="232">
        <v>0</v>
      </c>
      <c r="W170" s="223"/>
      <c r="X170" s="231">
        <v>4108.4750800000002</v>
      </c>
      <c r="Y170" s="222">
        <v>395.07457278800399</v>
      </c>
      <c r="Z170" s="233">
        <v>573</v>
      </c>
      <c r="AA170" s="229">
        <v>0.68948442022339196</v>
      </c>
      <c r="AB170" s="230">
        <v>-2398.49542689904</v>
      </c>
      <c r="AC170" s="224"/>
      <c r="AD170" s="224"/>
      <c r="AE170" s="232">
        <v>1851</v>
      </c>
      <c r="AF170" s="232">
        <v>3043</v>
      </c>
      <c r="AG170" s="223"/>
      <c r="AH170" s="236">
        <v>834.8</v>
      </c>
      <c r="AI170" s="222">
        <v>80.275101331130699</v>
      </c>
      <c r="AJ170" s="237" t="s">
        <v>54</v>
      </c>
      <c r="AK170" s="234">
        <v>1.274207957637</v>
      </c>
      <c r="AL170" s="235">
        <v>119.37392332523601</v>
      </c>
      <c r="AM170" s="224">
        <v>0.02</v>
      </c>
      <c r="AN170" s="224">
        <v>0.02</v>
      </c>
      <c r="AO170" s="232">
        <v>0</v>
      </c>
      <c r="AP170" s="232">
        <v>0</v>
      </c>
      <c r="AQ170" s="223"/>
      <c r="AR170" s="236">
        <v>408.2</v>
      </c>
      <c r="AS170" s="222">
        <v>39.252870583813603</v>
      </c>
      <c r="AT170" s="237" t="s">
        <v>55</v>
      </c>
      <c r="AU170" s="234">
        <v>2.4533044114883502</v>
      </c>
      <c r="AV170" s="235">
        <v>226.50448846355201</v>
      </c>
      <c r="AW170" s="224">
        <v>0.01</v>
      </c>
      <c r="AX170" s="224">
        <v>0.01</v>
      </c>
      <c r="AY170" s="232">
        <v>0</v>
      </c>
      <c r="AZ170" s="232">
        <v>0</v>
      </c>
      <c r="BA170" s="223"/>
      <c r="BB170" s="240">
        <v>762</v>
      </c>
      <c r="BC170" s="236">
        <v>73.274589379877398</v>
      </c>
      <c r="BD170" s="237" t="s">
        <v>56</v>
      </c>
      <c r="BE170" s="234">
        <v>2.28983091812117</v>
      </c>
      <c r="BF170" s="235">
        <v>398.60897692710398</v>
      </c>
      <c r="BG170" s="224">
        <v>0.02</v>
      </c>
      <c r="BH170" s="224">
        <v>0.02</v>
      </c>
      <c r="BI170" s="232">
        <v>0</v>
      </c>
      <c r="BJ170" s="232">
        <v>0</v>
      </c>
      <c r="BK170" s="225"/>
      <c r="BL170" s="241">
        <v>0.8</v>
      </c>
      <c r="BM170" s="244">
        <v>0.75</v>
      </c>
      <c r="BN170" s="242"/>
      <c r="BO170" s="243">
        <v>0.95</v>
      </c>
      <c r="BP170" s="234">
        <v>1</v>
      </c>
      <c r="BQ170" s="242">
        <v>2.5000000000000001E-3</v>
      </c>
    </row>
    <row r="171" spans="1:69" s="211" customFormat="1" ht="22.35" customHeight="1" x14ac:dyDescent="0.2">
      <c r="A171" s="221" t="s">
        <v>221</v>
      </c>
      <c r="B171" s="221" t="s">
        <v>222</v>
      </c>
      <c r="C171" s="221" t="s">
        <v>235</v>
      </c>
      <c r="D171" s="222">
        <v>4.7502856914444402</v>
      </c>
      <c r="E171" s="223"/>
      <c r="F171" s="224">
        <v>1.6E-2</v>
      </c>
      <c r="G171" s="224">
        <v>0.01</v>
      </c>
      <c r="H171" s="225"/>
      <c r="I171" s="226">
        <v>3</v>
      </c>
      <c r="J171" s="226">
        <v>2</v>
      </c>
      <c r="K171" s="223"/>
      <c r="L171" s="227">
        <v>1660.1143099999999</v>
      </c>
      <c r="M171" s="227">
        <v>1160.42138</v>
      </c>
      <c r="N171" s="227">
        <v>2820.5356900000002</v>
      </c>
      <c r="O171" s="222">
        <v>593.76127525970901</v>
      </c>
      <c r="P171" s="228">
        <v>266.29899999999998</v>
      </c>
      <c r="Q171" s="234">
        <v>2.2296789520790901</v>
      </c>
      <c r="R171" s="235">
        <v>1439.1596983542099</v>
      </c>
      <c r="S171" s="224">
        <v>0.01</v>
      </c>
      <c r="T171" s="224">
        <v>0.01</v>
      </c>
      <c r="U171" s="231">
        <v>0</v>
      </c>
      <c r="V171" s="232">
        <v>0</v>
      </c>
      <c r="W171" s="223"/>
      <c r="X171" s="231">
        <v>2073.7232749999998</v>
      </c>
      <c r="Y171" s="222">
        <v>436.54706468179398</v>
      </c>
      <c r="Z171" s="233">
        <v>573</v>
      </c>
      <c r="AA171" s="244">
        <v>0.76186224202756403</v>
      </c>
      <c r="AB171" s="227">
        <v>-898.60648670784894</v>
      </c>
      <c r="AC171" s="224"/>
      <c r="AD171" s="224"/>
      <c r="AE171" s="232">
        <v>649</v>
      </c>
      <c r="AF171" s="232">
        <v>1193</v>
      </c>
      <c r="AG171" s="223"/>
      <c r="AH171" s="236">
        <v>211.5</v>
      </c>
      <c r="AI171" s="222">
        <v>44.523637890016701</v>
      </c>
      <c r="AJ171" s="237" t="s">
        <v>54</v>
      </c>
      <c r="AK171" s="229">
        <v>0.70672441095264604</v>
      </c>
      <c r="AL171" s="230">
        <v>-115.30065442861201</v>
      </c>
      <c r="AM171" s="224"/>
      <c r="AN171" s="224"/>
      <c r="AO171" s="232">
        <v>88</v>
      </c>
      <c r="AP171" s="232">
        <v>148</v>
      </c>
      <c r="AQ171" s="223"/>
      <c r="AR171" s="236">
        <v>46.3</v>
      </c>
      <c r="AS171" s="222">
        <v>9.7467821953086204</v>
      </c>
      <c r="AT171" s="237" t="s">
        <v>55</v>
      </c>
      <c r="AU171" s="229">
        <v>0.609173887206789</v>
      </c>
      <c r="AV171" s="230">
        <v>-36.696991600917301</v>
      </c>
      <c r="AW171" s="224"/>
      <c r="AX171" s="224"/>
      <c r="AY171" s="232">
        <v>30</v>
      </c>
      <c r="AZ171" s="232">
        <v>45</v>
      </c>
      <c r="BA171" s="223"/>
      <c r="BB171" s="240">
        <v>147.19999999999999</v>
      </c>
      <c r="BC171" s="236">
        <v>30.987609916834302</v>
      </c>
      <c r="BD171" s="237" t="s">
        <v>56</v>
      </c>
      <c r="BE171" s="238">
        <v>0.96836280990107204</v>
      </c>
      <c r="BF171" s="239">
        <v>-18.7939832018345</v>
      </c>
      <c r="BG171" s="224">
        <v>6.0000000000000001E-3</v>
      </c>
      <c r="BH171" s="224"/>
      <c r="BI171" s="232">
        <v>5</v>
      </c>
      <c r="BJ171" s="232">
        <v>36</v>
      </c>
      <c r="BK171" s="225"/>
      <c r="BL171" s="241">
        <v>0.8</v>
      </c>
      <c r="BM171" s="244">
        <v>0.74</v>
      </c>
      <c r="BN171" s="242"/>
      <c r="BO171" s="243">
        <v>0.95</v>
      </c>
      <c r="BP171" s="234">
        <v>1</v>
      </c>
      <c r="BQ171" s="242">
        <v>2.5000000000000001E-3</v>
      </c>
    </row>
    <row r="172" spans="1:69" s="211" customFormat="1" ht="22.35" customHeight="1" x14ac:dyDescent="0.2">
      <c r="A172" s="221" t="s">
        <v>221</v>
      </c>
      <c r="B172" s="221" t="s">
        <v>222</v>
      </c>
      <c r="C172" s="221" t="s">
        <v>236</v>
      </c>
      <c r="D172" s="222">
        <v>3.3012442740000001</v>
      </c>
      <c r="E172" s="223"/>
      <c r="F172" s="224">
        <v>0.04</v>
      </c>
      <c r="G172" s="224">
        <v>3.2000000000000001E-2</v>
      </c>
      <c r="H172" s="225"/>
      <c r="I172" s="226">
        <v>4</v>
      </c>
      <c r="J172" s="226">
        <v>4</v>
      </c>
      <c r="K172" s="223"/>
      <c r="L172" s="227">
        <v>-160.31943000000001</v>
      </c>
      <c r="M172" s="227">
        <v>3115.4236999999998</v>
      </c>
      <c r="N172" s="227">
        <v>2955.1042699999998</v>
      </c>
      <c r="O172" s="222">
        <v>895.148624194175</v>
      </c>
      <c r="P172" s="228">
        <v>263.185</v>
      </c>
      <c r="Q172" s="234">
        <v>3.4012144468498402</v>
      </c>
      <c r="R172" s="235">
        <v>2006.33320211606</v>
      </c>
      <c r="S172" s="224">
        <v>0.01</v>
      </c>
      <c r="T172" s="224">
        <v>0.01</v>
      </c>
      <c r="U172" s="231">
        <v>0</v>
      </c>
      <c r="V172" s="232">
        <v>0</v>
      </c>
      <c r="W172" s="223"/>
      <c r="X172" s="231">
        <v>1558.964815</v>
      </c>
      <c r="Y172" s="222">
        <v>472.23552261131499</v>
      </c>
      <c r="Z172" s="233">
        <v>573</v>
      </c>
      <c r="AA172" s="244">
        <v>0.82414576371957204</v>
      </c>
      <c r="AB172" s="227">
        <v>-506.67654715018398</v>
      </c>
      <c r="AC172" s="224"/>
      <c r="AD172" s="224"/>
      <c r="AE172" s="232">
        <v>333</v>
      </c>
      <c r="AF172" s="232">
        <v>711</v>
      </c>
      <c r="AG172" s="223"/>
      <c r="AH172" s="236">
        <v>160.80000000000001</v>
      </c>
      <c r="AI172" s="222">
        <v>48.708906901083203</v>
      </c>
      <c r="AJ172" s="237" t="s">
        <v>54</v>
      </c>
      <c r="AK172" s="244">
        <v>0.77315725239814603</v>
      </c>
      <c r="AL172" s="227">
        <v>-66.312401074104002</v>
      </c>
      <c r="AM172" s="224"/>
      <c r="AN172" s="224"/>
      <c r="AO172" s="232">
        <v>48</v>
      </c>
      <c r="AP172" s="232">
        <v>89</v>
      </c>
      <c r="AQ172" s="223"/>
      <c r="AR172" s="236">
        <v>66.8</v>
      </c>
      <c r="AS172" s="222">
        <v>20.234794657912701</v>
      </c>
      <c r="AT172" s="237" t="s">
        <v>55</v>
      </c>
      <c r="AU172" s="234">
        <v>1.26467466611954</v>
      </c>
      <c r="AV172" s="235">
        <v>9.1206600446719897</v>
      </c>
      <c r="AW172" s="224">
        <v>0.01</v>
      </c>
      <c r="AX172" s="224">
        <v>0.01</v>
      </c>
      <c r="AY172" s="232">
        <v>0</v>
      </c>
      <c r="AZ172" s="232">
        <v>0</v>
      </c>
      <c r="BA172" s="223"/>
      <c r="BB172" s="240">
        <v>117.8</v>
      </c>
      <c r="BC172" s="236">
        <v>35.683515130271097</v>
      </c>
      <c r="BD172" s="237" t="s">
        <v>56</v>
      </c>
      <c r="BE172" s="234">
        <v>1.11510984782097</v>
      </c>
      <c r="BF172" s="235">
        <v>2.4413200893439901</v>
      </c>
      <c r="BG172" s="224">
        <v>0.02</v>
      </c>
      <c r="BH172" s="224">
        <v>1.2E-2</v>
      </c>
      <c r="BI172" s="232">
        <v>0</v>
      </c>
      <c r="BJ172" s="232">
        <v>9</v>
      </c>
      <c r="BK172" s="225"/>
      <c r="BL172" s="241">
        <v>0.8</v>
      </c>
      <c r="BM172" s="244">
        <v>0.75</v>
      </c>
      <c r="BN172" s="242"/>
      <c r="BO172" s="243">
        <v>0.95</v>
      </c>
      <c r="BP172" s="234">
        <v>1</v>
      </c>
      <c r="BQ172" s="242">
        <v>2.5000000000000001E-3</v>
      </c>
    </row>
    <row r="173" spans="1:69" s="211" customFormat="1" ht="22.35" customHeight="1" x14ac:dyDescent="0.2">
      <c r="A173" s="221" t="s">
        <v>221</v>
      </c>
      <c r="B173" s="221" t="s">
        <v>222</v>
      </c>
      <c r="C173" s="221" t="s">
        <v>237</v>
      </c>
      <c r="D173" s="222">
        <v>3.9852030364444402</v>
      </c>
      <c r="E173" s="223"/>
      <c r="F173" s="224">
        <v>0.01</v>
      </c>
      <c r="G173" s="224">
        <v>0.01</v>
      </c>
      <c r="H173" s="225"/>
      <c r="I173" s="226">
        <v>2</v>
      </c>
      <c r="J173" s="226">
        <v>2</v>
      </c>
      <c r="K173" s="223"/>
      <c r="L173" s="227">
        <v>1912.05888</v>
      </c>
      <c r="M173" s="227">
        <v>-504.26772</v>
      </c>
      <c r="N173" s="227">
        <v>1407.79116</v>
      </c>
      <c r="O173" s="222">
        <v>353.254563726323</v>
      </c>
      <c r="P173" s="228">
        <v>254.727</v>
      </c>
      <c r="Q173" s="234">
        <v>1.3867967028478401</v>
      </c>
      <c r="R173" s="235">
        <v>299.25957526009398</v>
      </c>
      <c r="S173" s="224">
        <v>0.01</v>
      </c>
      <c r="T173" s="224">
        <v>0.01</v>
      </c>
      <c r="U173" s="231">
        <v>0</v>
      </c>
      <c r="V173" s="232">
        <v>0</v>
      </c>
      <c r="W173" s="223"/>
      <c r="X173" s="231">
        <v>1267.7716700000001</v>
      </c>
      <c r="Y173" s="222">
        <v>318.11971897198299</v>
      </c>
      <c r="Z173" s="233">
        <v>573</v>
      </c>
      <c r="AA173" s="229">
        <v>0.55518275562300701</v>
      </c>
      <c r="AB173" s="230">
        <v>-1225.8336331518699</v>
      </c>
      <c r="AC173" s="224"/>
      <c r="AD173" s="224"/>
      <c r="AE173" s="232">
        <v>1016</v>
      </c>
      <c r="AF173" s="232">
        <v>1473</v>
      </c>
      <c r="AG173" s="223"/>
      <c r="AH173" s="236">
        <v>135</v>
      </c>
      <c r="AI173" s="222">
        <v>33.875312942761802</v>
      </c>
      <c r="AJ173" s="237" t="s">
        <v>54</v>
      </c>
      <c r="AK173" s="229">
        <v>0.537703380043838</v>
      </c>
      <c r="AL173" s="230">
        <v>-139.16602809523201</v>
      </c>
      <c r="AM173" s="224"/>
      <c r="AN173" s="224"/>
      <c r="AO173" s="232">
        <v>117</v>
      </c>
      <c r="AP173" s="232">
        <v>167</v>
      </c>
      <c r="AQ173" s="223"/>
      <c r="AR173" s="236">
        <v>46.5</v>
      </c>
      <c r="AS173" s="222">
        <v>11.6681633469513</v>
      </c>
      <c r="AT173" s="237" t="s">
        <v>55</v>
      </c>
      <c r="AU173" s="244">
        <v>0.729260209184454</v>
      </c>
      <c r="AV173" s="227">
        <v>-23.1294674527573</v>
      </c>
      <c r="AW173" s="224"/>
      <c r="AX173" s="224"/>
      <c r="AY173" s="232">
        <v>18</v>
      </c>
      <c r="AZ173" s="232">
        <v>31</v>
      </c>
      <c r="BA173" s="223"/>
      <c r="BB173" s="240">
        <v>113.4</v>
      </c>
      <c r="BC173" s="236">
        <v>28.455262871919899</v>
      </c>
      <c r="BD173" s="237" t="s">
        <v>56</v>
      </c>
      <c r="BE173" s="244">
        <v>0.88922696474749596</v>
      </c>
      <c r="BF173" s="227">
        <v>-25.858934905514499</v>
      </c>
      <c r="BG173" s="224"/>
      <c r="BH173" s="224"/>
      <c r="BI173" s="232">
        <v>15</v>
      </c>
      <c r="BJ173" s="232">
        <v>40</v>
      </c>
      <c r="BK173" s="225"/>
      <c r="BL173" s="241">
        <v>0.8</v>
      </c>
      <c r="BM173" s="244">
        <v>0.73</v>
      </c>
      <c r="BN173" s="242"/>
      <c r="BO173" s="243">
        <v>0.95</v>
      </c>
      <c r="BP173" s="234">
        <v>1</v>
      </c>
      <c r="BQ173" s="242">
        <v>2.5000000000000001E-3</v>
      </c>
    </row>
    <row r="174" spans="1:69" s="211" customFormat="1" ht="22.35" customHeight="1" x14ac:dyDescent="0.2">
      <c r="A174" s="221" t="s">
        <v>221</v>
      </c>
      <c r="B174" s="221" t="s">
        <v>222</v>
      </c>
      <c r="C174" s="221" t="s">
        <v>238</v>
      </c>
      <c r="D174" s="222">
        <v>3.0016649496666701</v>
      </c>
      <c r="E174" s="223"/>
      <c r="F174" s="224">
        <v>0.03</v>
      </c>
      <c r="G174" s="224">
        <v>0.03</v>
      </c>
      <c r="H174" s="225"/>
      <c r="I174" s="226">
        <v>3</v>
      </c>
      <c r="J174" s="226">
        <v>3</v>
      </c>
      <c r="K174" s="223"/>
      <c r="L174" s="227">
        <v>1080.3042600000001</v>
      </c>
      <c r="M174" s="227">
        <v>1506.02027</v>
      </c>
      <c r="N174" s="227">
        <v>2586.3245299999999</v>
      </c>
      <c r="O174" s="222">
        <v>861.62998648040605</v>
      </c>
      <c r="P174" s="228">
        <v>242.02199999999999</v>
      </c>
      <c r="Q174" s="234">
        <v>3.56013084133015</v>
      </c>
      <c r="R174" s="235">
        <v>1793.02043174254</v>
      </c>
      <c r="S174" s="224">
        <v>0.01</v>
      </c>
      <c r="T174" s="224">
        <v>0.01</v>
      </c>
      <c r="U174" s="231">
        <v>0</v>
      </c>
      <c r="V174" s="232">
        <v>0</v>
      </c>
      <c r="W174" s="223"/>
      <c r="X174" s="231">
        <v>1193.2739300000001</v>
      </c>
      <c r="Y174" s="222">
        <v>397.53735010715098</v>
      </c>
      <c r="Z174" s="233">
        <v>573</v>
      </c>
      <c r="AA174" s="229">
        <v>0.69378246091998397</v>
      </c>
      <c r="AB174" s="230">
        <v>-684.91585564563002</v>
      </c>
      <c r="AC174" s="224"/>
      <c r="AD174" s="224"/>
      <c r="AE174" s="232">
        <v>527</v>
      </c>
      <c r="AF174" s="232">
        <v>871</v>
      </c>
      <c r="AG174" s="223"/>
      <c r="AH174" s="236">
        <v>124.4</v>
      </c>
      <c r="AI174" s="222">
        <v>41.443666127298599</v>
      </c>
      <c r="AJ174" s="237" t="s">
        <v>54</v>
      </c>
      <c r="AK174" s="229">
        <v>0.65783597027458096</v>
      </c>
      <c r="AL174" s="230">
        <v>-82.102541877268195</v>
      </c>
      <c r="AM174" s="224"/>
      <c r="AN174" s="224"/>
      <c r="AO174" s="232">
        <v>65</v>
      </c>
      <c r="AP174" s="232">
        <v>103</v>
      </c>
      <c r="AQ174" s="223"/>
      <c r="AR174" s="236">
        <v>24.4</v>
      </c>
      <c r="AS174" s="222">
        <v>8.1288219735215996</v>
      </c>
      <c r="AT174" s="237" t="s">
        <v>55</v>
      </c>
      <c r="AU174" s="229">
        <v>0.50805137334509998</v>
      </c>
      <c r="AV174" s="230">
        <v>-28.045090000576099</v>
      </c>
      <c r="AW174" s="224"/>
      <c r="AX174" s="224"/>
      <c r="AY174" s="232">
        <v>24</v>
      </c>
      <c r="AZ174" s="232">
        <v>34</v>
      </c>
      <c r="BA174" s="223"/>
      <c r="BB174" s="240">
        <v>121.2</v>
      </c>
      <c r="BC174" s="236">
        <v>40.3775911143778</v>
      </c>
      <c r="BD174" s="237" t="s">
        <v>56</v>
      </c>
      <c r="BE174" s="234">
        <v>1.26179972232431</v>
      </c>
      <c r="BF174" s="235">
        <v>16.3098199988479</v>
      </c>
      <c r="BG174" s="224">
        <v>0.02</v>
      </c>
      <c r="BH174" s="224">
        <v>0.02</v>
      </c>
      <c r="BI174" s="232">
        <v>0</v>
      </c>
      <c r="BJ174" s="232">
        <v>0</v>
      </c>
      <c r="BK174" s="225"/>
      <c r="BL174" s="241">
        <v>0.8</v>
      </c>
      <c r="BM174" s="244">
        <v>0.78</v>
      </c>
      <c r="BN174" s="242"/>
      <c r="BO174" s="243">
        <v>0.95</v>
      </c>
      <c r="BP174" s="234">
        <v>1</v>
      </c>
      <c r="BQ174" s="242">
        <v>2.5000000000000001E-3</v>
      </c>
    </row>
    <row r="175" spans="1:69" s="211" customFormat="1" ht="22.35" customHeight="1" x14ac:dyDescent="0.2">
      <c r="A175" s="221" t="s">
        <v>221</v>
      </c>
      <c r="B175" s="221" t="s">
        <v>222</v>
      </c>
      <c r="C175" s="221" t="s">
        <v>239</v>
      </c>
      <c r="D175" s="222">
        <v>2.70658970644444</v>
      </c>
      <c r="E175" s="223"/>
      <c r="F175" s="224">
        <v>6.4000000000000001E-2</v>
      </c>
      <c r="G175" s="224">
        <v>4.5999999999999999E-2</v>
      </c>
      <c r="H175" s="225"/>
      <c r="I175" s="226">
        <v>6</v>
      </c>
      <c r="J175" s="226">
        <v>5</v>
      </c>
      <c r="K175" s="223"/>
      <c r="L175" s="227">
        <v>1337.0304599999999</v>
      </c>
      <c r="M175" s="227">
        <v>759.35004000000004</v>
      </c>
      <c r="N175" s="227">
        <v>2096.3805000000002</v>
      </c>
      <c r="O175" s="222">
        <v>774.54683841015003</v>
      </c>
      <c r="P175" s="228">
        <v>222.28899999999999</v>
      </c>
      <c r="Q175" s="234">
        <v>3.4844137065268601</v>
      </c>
      <c r="R175" s="235">
        <v>1439.3840297726399</v>
      </c>
      <c r="S175" s="224">
        <v>0.01</v>
      </c>
      <c r="T175" s="224">
        <v>0.01</v>
      </c>
      <c r="U175" s="231">
        <v>0</v>
      </c>
      <c r="V175" s="232">
        <v>0</v>
      </c>
      <c r="W175" s="223"/>
      <c r="X175" s="231">
        <v>1766.8145050000001</v>
      </c>
      <c r="Y175" s="222">
        <v>652.78254062415897</v>
      </c>
      <c r="Z175" s="233">
        <v>573</v>
      </c>
      <c r="AA175" s="234">
        <v>1.1392365455919</v>
      </c>
      <c r="AB175" s="235">
        <v>73.258020242410794</v>
      </c>
      <c r="AC175" s="224">
        <v>0.02</v>
      </c>
      <c r="AD175" s="224">
        <v>1.4E-2</v>
      </c>
      <c r="AE175" s="232">
        <v>0</v>
      </c>
      <c r="AF175" s="232">
        <v>95</v>
      </c>
      <c r="AG175" s="223"/>
      <c r="AH175" s="236">
        <v>174.35</v>
      </c>
      <c r="AI175" s="222">
        <v>64.416856232353595</v>
      </c>
      <c r="AJ175" s="237" t="s">
        <v>54</v>
      </c>
      <c r="AK175" s="238">
        <v>1.0224897814659299</v>
      </c>
      <c r="AL175" s="239">
        <v>-11.8525454445517</v>
      </c>
      <c r="AM175" s="224">
        <v>1.2E-2</v>
      </c>
      <c r="AN175" s="224">
        <v>2E-3</v>
      </c>
      <c r="AO175" s="232">
        <v>0</v>
      </c>
      <c r="AP175" s="232">
        <v>31</v>
      </c>
      <c r="AQ175" s="223"/>
      <c r="AR175" s="236">
        <v>41.1</v>
      </c>
      <c r="AS175" s="222">
        <v>15.185160832519299</v>
      </c>
      <c r="AT175" s="237" t="s">
        <v>55</v>
      </c>
      <c r="AU175" s="238">
        <v>0.949072552032454</v>
      </c>
      <c r="AV175" s="239">
        <v>-6.1895353509972502</v>
      </c>
      <c r="AW175" s="224">
        <v>2E-3</v>
      </c>
      <c r="AX175" s="224"/>
      <c r="AY175" s="232">
        <v>3</v>
      </c>
      <c r="AZ175" s="232">
        <v>11</v>
      </c>
      <c r="BA175" s="223"/>
      <c r="BB175" s="240">
        <v>110.8</v>
      </c>
      <c r="BC175" s="236">
        <v>40.937124580124902</v>
      </c>
      <c r="BD175" s="237" t="s">
        <v>56</v>
      </c>
      <c r="BE175" s="234">
        <v>1.2792851431289001</v>
      </c>
      <c r="BF175" s="235">
        <v>16.220929298005501</v>
      </c>
      <c r="BG175" s="224">
        <v>0.02</v>
      </c>
      <c r="BH175" s="224">
        <v>0.02</v>
      </c>
      <c r="BI175" s="232">
        <v>0</v>
      </c>
      <c r="BJ175" s="232">
        <v>0</v>
      </c>
      <c r="BK175" s="225"/>
      <c r="BL175" s="241">
        <v>0.8</v>
      </c>
      <c r="BM175" s="244">
        <v>0.76</v>
      </c>
      <c r="BN175" s="242"/>
      <c r="BO175" s="243">
        <v>0.95</v>
      </c>
      <c r="BP175" s="234">
        <v>1</v>
      </c>
      <c r="BQ175" s="242">
        <v>2.5000000000000001E-3</v>
      </c>
    </row>
    <row r="176" spans="1:69" s="211" customFormat="1" ht="22.35" customHeight="1" x14ac:dyDescent="0.2">
      <c r="A176" s="221" t="s">
        <v>221</v>
      </c>
      <c r="B176" s="221" t="s">
        <v>222</v>
      </c>
      <c r="C176" s="221" t="s">
        <v>240</v>
      </c>
      <c r="D176" s="222">
        <v>4.3740007442222204</v>
      </c>
      <c r="E176" s="223"/>
      <c r="F176" s="224">
        <v>3.5000000000000003E-2</v>
      </c>
      <c r="G176" s="224">
        <v>3.0499999999999999E-2</v>
      </c>
      <c r="H176" s="225"/>
      <c r="I176" s="226">
        <v>4</v>
      </c>
      <c r="J176" s="226">
        <v>4</v>
      </c>
      <c r="K176" s="223"/>
      <c r="L176" s="227">
        <v>2529.1537899999998</v>
      </c>
      <c r="M176" s="227">
        <v>2419.4075899999998</v>
      </c>
      <c r="N176" s="227">
        <v>4948.5613800000001</v>
      </c>
      <c r="O176" s="222">
        <v>1131.3581476950401</v>
      </c>
      <c r="P176" s="228">
        <v>258.548</v>
      </c>
      <c r="Q176" s="234">
        <v>4.37581473341523</v>
      </c>
      <c r="R176" s="235">
        <v>3713.6304342964499</v>
      </c>
      <c r="S176" s="224">
        <v>0.01</v>
      </c>
      <c r="T176" s="224">
        <v>0.01</v>
      </c>
      <c r="U176" s="231">
        <v>0</v>
      </c>
      <c r="V176" s="232">
        <v>0</v>
      </c>
      <c r="W176" s="223"/>
      <c r="X176" s="231">
        <v>2051.826575</v>
      </c>
      <c r="Y176" s="222">
        <v>469.09607359128398</v>
      </c>
      <c r="Z176" s="233">
        <v>573</v>
      </c>
      <c r="AA176" s="244">
        <v>0.81866679509822704</v>
      </c>
      <c r="AB176" s="227">
        <v>-685.05567467175001</v>
      </c>
      <c r="AC176" s="224"/>
      <c r="AD176" s="224"/>
      <c r="AE176" s="232">
        <v>455</v>
      </c>
      <c r="AF176" s="232">
        <v>956</v>
      </c>
      <c r="AG176" s="223"/>
      <c r="AH176" s="236">
        <v>207.6</v>
      </c>
      <c r="AI176" s="222">
        <v>47.462269016352202</v>
      </c>
      <c r="AJ176" s="237" t="s">
        <v>54</v>
      </c>
      <c r="AK176" s="244">
        <v>0.75336934946590794</v>
      </c>
      <c r="AL176" s="227">
        <v>-93.313755199511903</v>
      </c>
      <c r="AM176" s="224"/>
      <c r="AN176" s="224"/>
      <c r="AO176" s="232">
        <v>68</v>
      </c>
      <c r="AP176" s="232">
        <v>124</v>
      </c>
      <c r="AQ176" s="223"/>
      <c r="AR176" s="236">
        <v>70.3</v>
      </c>
      <c r="AS176" s="222">
        <v>16.0722423499497</v>
      </c>
      <c r="AT176" s="237" t="s">
        <v>55</v>
      </c>
      <c r="AU176" s="238">
        <v>1.0045151468718601</v>
      </c>
      <c r="AV176" s="239">
        <v>-6.12254100305063</v>
      </c>
      <c r="AW176" s="224">
        <v>5.0000000000000001E-3</v>
      </c>
      <c r="AX176" s="224">
        <v>5.0000000000000001E-4</v>
      </c>
      <c r="AY176" s="232">
        <v>0</v>
      </c>
      <c r="AZ176" s="232">
        <v>14</v>
      </c>
      <c r="BA176" s="223"/>
      <c r="BB176" s="240">
        <v>186.8</v>
      </c>
      <c r="BC176" s="236">
        <v>42.706897168856401</v>
      </c>
      <c r="BD176" s="237" t="s">
        <v>56</v>
      </c>
      <c r="BE176" s="234">
        <v>1.3345905365267601</v>
      </c>
      <c r="BF176" s="235">
        <v>33.954917993898803</v>
      </c>
      <c r="BG176" s="224">
        <v>0.02</v>
      </c>
      <c r="BH176" s="224">
        <v>0.02</v>
      </c>
      <c r="BI176" s="232">
        <v>0</v>
      </c>
      <c r="BJ176" s="232">
        <v>0</v>
      </c>
      <c r="BK176" s="225"/>
      <c r="BL176" s="241">
        <v>0.8</v>
      </c>
      <c r="BM176" s="244">
        <v>0.71</v>
      </c>
      <c r="BN176" s="242"/>
      <c r="BO176" s="243">
        <v>0.95</v>
      </c>
      <c r="BP176" s="234">
        <v>1</v>
      </c>
      <c r="BQ176" s="242">
        <v>2.5000000000000001E-3</v>
      </c>
    </row>
    <row r="177" spans="1:69" s="211" customFormat="1" ht="22.35" customHeight="1" x14ac:dyDescent="0.2">
      <c r="A177" s="221" t="s">
        <v>221</v>
      </c>
      <c r="B177" s="221" t="s">
        <v>241</v>
      </c>
      <c r="C177" s="221" t="s">
        <v>242</v>
      </c>
      <c r="D177" s="222">
        <v>3.97523895733333</v>
      </c>
      <c r="E177" s="223"/>
      <c r="F177" s="224">
        <v>1.2E-2</v>
      </c>
      <c r="G177" s="224">
        <v>0.01</v>
      </c>
      <c r="H177" s="225"/>
      <c r="I177" s="226">
        <v>3</v>
      </c>
      <c r="J177" s="226">
        <v>2</v>
      </c>
      <c r="K177" s="223"/>
      <c r="L177" s="227">
        <v>3060.0559499999999</v>
      </c>
      <c r="M177" s="227">
        <v>-426.45751000000001</v>
      </c>
      <c r="N177" s="227">
        <v>2633.5984400000002</v>
      </c>
      <c r="O177" s="222">
        <v>662.500661788309</v>
      </c>
      <c r="P177" s="228">
        <v>241.762</v>
      </c>
      <c r="Q177" s="234">
        <v>2.7403010472626299</v>
      </c>
      <c r="R177" s="235">
        <v>1584.1190408833199</v>
      </c>
      <c r="S177" s="224">
        <v>0.01</v>
      </c>
      <c r="T177" s="224">
        <v>0.01</v>
      </c>
      <c r="U177" s="231">
        <v>0</v>
      </c>
      <c r="V177" s="232">
        <v>0</v>
      </c>
      <c r="W177" s="223"/>
      <c r="X177" s="231">
        <v>2117.2891500000001</v>
      </c>
      <c r="Y177" s="222">
        <v>532.61934005102398</v>
      </c>
      <c r="Z177" s="233">
        <v>573</v>
      </c>
      <c r="AA177" s="238">
        <v>0.92952764406810395</v>
      </c>
      <c r="AB177" s="239">
        <v>-370.08146942678098</v>
      </c>
      <c r="AC177" s="224">
        <v>2E-3</v>
      </c>
      <c r="AD177" s="224"/>
      <c r="AE177" s="232">
        <v>161</v>
      </c>
      <c r="AF177" s="232">
        <v>617</v>
      </c>
      <c r="AG177" s="223"/>
      <c r="AH177" s="236">
        <v>179</v>
      </c>
      <c r="AI177" s="222">
        <v>45.028739635837297</v>
      </c>
      <c r="AJ177" s="237" t="s">
        <v>54</v>
      </c>
      <c r="AK177" s="229">
        <v>0.71474189898154405</v>
      </c>
      <c r="AL177" s="230">
        <v>-94.480539308703797</v>
      </c>
      <c r="AM177" s="224"/>
      <c r="AN177" s="224"/>
      <c r="AO177" s="232">
        <v>72</v>
      </c>
      <c r="AP177" s="232">
        <v>122</v>
      </c>
      <c r="AQ177" s="223"/>
      <c r="AR177" s="236">
        <v>28.8</v>
      </c>
      <c r="AS177" s="222">
        <v>7.2448474944810801</v>
      </c>
      <c r="AT177" s="237" t="s">
        <v>55</v>
      </c>
      <c r="AU177" s="229">
        <v>0.45280296840506701</v>
      </c>
      <c r="AV177" s="230">
        <v>-40.655375062527902</v>
      </c>
      <c r="AW177" s="224"/>
      <c r="AX177" s="224"/>
      <c r="AY177" s="232">
        <v>35</v>
      </c>
      <c r="AZ177" s="232">
        <v>48</v>
      </c>
      <c r="BA177" s="223"/>
      <c r="BB177" s="240">
        <v>93.2</v>
      </c>
      <c r="BC177" s="236">
        <v>23.445131475195701</v>
      </c>
      <c r="BD177" s="237" t="s">
        <v>56</v>
      </c>
      <c r="BE177" s="244">
        <v>0.732660358599867</v>
      </c>
      <c r="BF177" s="227">
        <v>-45.710750125055903</v>
      </c>
      <c r="BG177" s="224"/>
      <c r="BH177" s="224"/>
      <c r="BI177" s="232">
        <v>35</v>
      </c>
      <c r="BJ177" s="232">
        <v>60</v>
      </c>
      <c r="BK177" s="225"/>
      <c r="BL177" s="241">
        <v>0.8</v>
      </c>
      <c r="BM177" s="244">
        <v>0.77</v>
      </c>
      <c r="BN177" s="242"/>
      <c r="BO177" s="243">
        <v>0.95</v>
      </c>
      <c r="BP177" s="234">
        <v>1</v>
      </c>
      <c r="BQ177" s="242">
        <v>2.5000000000000001E-3</v>
      </c>
    </row>
    <row r="178" spans="1:69" s="211" customFormat="1" ht="22.35" customHeight="1" x14ac:dyDescent="0.2">
      <c r="A178" s="221" t="s">
        <v>221</v>
      </c>
      <c r="B178" s="221" t="s">
        <v>241</v>
      </c>
      <c r="C178" s="221" t="s">
        <v>243</v>
      </c>
      <c r="D178" s="222">
        <v>2.6208074601111102</v>
      </c>
      <c r="E178" s="223"/>
      <c r="F178" s="224">
        <v>5.5500000000000001E-2</v>
      </c>
      <c r="G178" s="224">
        <v>5.0500000000000003E-2</v>
      </c>
      <c r="H178" s="225"/>
      <c r="I178" s="226">
        <v>5</v>
      </c>
      <c r="J178" s="226">
        <v>5</v>
      </c>
      <c r="K178" s="223"/>
      <c r="L178" s="227">
        <v>999.25806</v>
      </c>
      <c r="M178" s="227">
        <v>1281.88355</v>
      </c>
      <c r="N178" s="227">
        <v>2281.1416100000001</v>
      </c>
      <c r="O178" s="222">
        <v>870.39648837968798</v>
      </c>
      <c r="P178" s="228">
        <v>238.04499999999999</v>
      </c>
      <c r="Q178" s="234">
        <v>3.6564367593509099</v>
      </c>
      <c r="R178" s="235">
        <v>1599.87544786837</v>
      </c>
      <c r="S178" s="224">
        <v>0.01</v>
      </c>
      <c r="T178" s="224">
        <v>0.01</v>
      </c>
      <c r="U178" s="231">
        <v>0</v>
      </c>
      <c r="V178" s="232">
        <v>0</v>
      </c>
      <c r="W178" s="223"/>
      <c r="X178" s="231">
        <v>1195.2391700000001</v>
      </c>
      <c r="Y178" s="222">
        <v>456.05760369337702</v>
      </c>
      <c r="Z178" s="233">
        <v>573</v>
      </c>
      <c r="AA178" s="244">
        <v>0.795912048330501</v>
      </c>
      <c r="AB178" s="227">
        <v>-444.64199071088302</v>
      </c>
      <c r="AC178" s="224"/>
      <c r="AD178" s="224"/>
      <c r="AE178" s="232">
        <v>307</v>
      </c>
      <c r="AF178" s="232">
        <v>607</v>
      </c>
      <c r="AG178" s="223"/>
      <c r="AH178" s="236">
        <v>204.8</v>
      </c>
      <c r="AI178" s="222">
        <v>78.143855707476206</v>
      </c>
      <c r="AJ178" s="237" t="s">
        <v>54</v>
      </c>
      <c r="AK178" s="234">
        <v>1.2403786620234301</v>
      </c>
      <c r="AL178" s="235">
        <v>24.498929974196098</v>
      </c>
      <c r="AM178" s="224">
        <v>0.02</v>
      </c>
      <c r="AN178" s="224">
        <v>0.02</v>
      </c>
      <c r="AO178" s="232">
        <v>0</v>
      </c>
      <c r="AP178" s="232">
        <v>0</v>
      </c>
      <c r="AQ178" s="223"/>
      <c r="AR178" s="236">
        <v>42.5</v>
      </c>
      <c r="AS178" s="222">
        <v>16.216376306483099</v>
      </c>
      <c r="AT178" s="237" t="s">
        <v>55</v>
      </c>
      <c r="AU178" s="238">
        <v>1.0135235191551899</v>
      </c>
      <c r="AV178" s="239">
        <v>-3.29074794306131</v>
      </c>
      <c r="AW178" s="224">
        <v>5.4999999999999997E-3</v>
      </c>
      <c r="AX178" s="224">
        <v>5.0000000000000001E-4</v>
      </c>
      <c r="AY178" s="232">
        <v>0</v>
      </c>
      <c r="AZ178" s="232">
        <v>8</v>
      </c>
      <c r="BA178" s="223"/>
      <c r="BB178" s="240">
        <v>136.19999999999999</v>
      </c>
      <c r="BC178" s="236">
        <v>51.968716539835299</v>
      </c>
      <c r="BD178" s="237" t="s">
        <v>56</v>
      </c>
      <c r="BE178" s="234">
        <v>1.62402239186985</v>
      </c>
      <c r="BF178" s="235">
        <v>44.6185041138774</v>
      </c>
      <c r="BG178" s="224">
        <v>0.02</v>
      </c>
      <c r="BH178" s="224">
        <v>0.02</v>
      </c>
      <c r="BI178" s="232">
        <v>0</v>
      </c>
      <c r="BJ178" s="232">
        <v>0</v>
      </c>
      <c r="BK178" s="225"/>
      <c r="BL178" s="241">
        <v>0.8</v>
      </c>
      <c r="BM178" s="244">
        <v>0.71</v>
      </c>
      <c r="BN178" s="242"/>
      <c r="BO178" s="243">
        <v>0.95</v>
      </c>
      <c r="BP178" s="234">
        <v>1</v>
      </c>
      <c r="BQ178" s="242">
        <v>2.5000000000000001E-3</v>
      </c>
    </row>
    <row r="179" spans="1:69" s="211" customFormat="1" ht="22.35" customHeight="1" x14ac:dyDescent="0.2">
      <c r="A179" s="221" t="s">
        <v>221</v>
      </c>
      <c r="B179" s="221" t="s">
        <v>241</v>
      </c>
      <c r="C179" s="221" t="s">
        <v>244</v>
      </c>
      <c r="D179" s="222">
        <v>3.17144203944444</v>
      </c>
      <c r="E179" s="223"/>
      <c r="F179" s="224">
        <v>2.5999999999999999E-2</v>
      </c>
      <c r="G179" s="224">
        <v>1.4999999999999999E-2</v>
      </c>
      <c r="H179" s="225"/>
      <c r="I179" s="226">
        <v>3</v>
      </c>
      <c r="J179" s="226">
        <v>3</v>
      </c>
      <c r="K179" s="223"/>
      <c r="L179" s="227">
        <v>2236.6645600000002</v>
      </c>
      <c r="M179" s="227">
        <v>2196.9716800000001</v>
      </c>
      <c r="N179" s="227">
        <v>4433.6362399999998</v>
      </c>
      <c r="O179" s="222">
        <v>1397.9874722152099</v>
      </c>
      <c r="P179" s="228">
        <v>247.75800000000001</v>
      </c>
      <c r="Q179" s="234">
        <v>5.6425522978681197</v>
      </c>
      <c r="R179" s="235">
        <v>3575.5970906049301</v>
      </c>
      <c r="S179" s="224">
        <v>0.01</v>
      </c>
      <c r="T179" s="224">
        <v>0.01</v>
      </c>
      <c r="U179" s="231">
        <v>0</v>
      </c>
      <c r="V179" s="232">
        <v>0</v>
      </c>
      <c r="W179" s="223"/>
      <c r="X179" s="231">
        <v>1914.11592</v>
      </c>
      <c r="Y179" s="222">
        <v>603.54750179678604</v>
      </c>
      <c r="Z179" s="233">
        <v>573</v>
      </c>
      <c r="AA179" s="238">
        <v>1.0533115214603599</v>
      </c>
      <c r="AB179" s="239">
        <v>-70.306107153017393</v>
      </c>
      <c r="AC179" s="224">
        <v>1.6E-2</v>
      </c>
      <c r="AD179" s="224">
        <v>5.0000000000000001E-3</v>
      </c>
      <c r="AE179" s="232">
        <v>0</v>
      </c>
      <c r="AF179" s="232">
        <v>267</v>
      </c>
      <c r="AG179" s="223"/>
      <c r="AH179" s="236">
        <v>164.8</v>
      </c>
      <c r="AI179" s="222">
        <v>51.963743291007397</v>
      </c>
      <c r="AJ179" s="237" t="s">
        <v>54</v>
      </c>
      <c r="AK179" s="244">
        <v>0.824821322079482</v>
      </c>
      <c r="AL179" s="227">
        <v>-53.382526545619697</v>
      </c>
      <c r="AM179" s="224"/>
      <c r="AN179" s="224"/>
      <c r="AO179" s="232">
        <v>36</v>
      </c>
      <c r="AP179" s="232">
        <v>75</v>
      </c>
      <c r="AQ179" s="223"/>
      <c r="AR179" s="236">
        <v>28</v>
      </c>
      <c r="AS179" s="222">
        <v>8.8287913358507701</v>
      </c>
      <c r="AT179" s="237" t="s">
        <v>55</v>
      </c>
      <c r="AU179" s="229">
        <v>0.55179945849067302</v>
      </c>
      <c r="AV179" s="230">
        <v>-27.4114353131733</v>
      </c>
      <c r="AW179" s="224"/>
      <c r="AX179" s="224"/>
      <c r="AY179" s="232">
        <v>23</v>
      </c>
      <c r="AZ179" s="232">
        <v>33</v>
      </c>
      <c r="BA179" s="223"/>
      <c r="BB179" s="240">
        <v>92</v>
      </c>
      <c r="BC179" s="236">
        <v>29.008885817795399</v>
      </c>
      <c r="BD179" s="237" t="s">
        <v>56</v>
      </c>
      <c r="BE179" s="244">
        <v>0.90652768180610499</v>
      </c>
      <c r="BF179" s="227">
        <v>-18.8228706263465</v>
      </c>
      <c r="BG179" s="224">
        <v>0</v>
      </c>
      <c r="BH179" s="224"/>
      <c r="BI179" s="232">
        <v>10</v>
      </c>
      <c r="BJ179" s="232">
        <v>30</v>
      </c>
      <c r="BK179" s="225"/>
      <c r="BL179" s="241">
        <v>0.8</v>
      </c>
      <c r="BM179" s="229">
        <v>0.69</v>
      </c>
      <c r="BN179" s="242"/>
      <c r="BO179" s="243">
        <v>0.95</v>
      </c>
      <c r="BP179" s="234">
        <v>1</v>
      </c>
      <c r="BQ179" s="242">
        <v>2.5000000000000001E-3</v>
      </c>
    </row>
    <row r="180" spans="1:69" s="211" customFormat="1" ht="22.35" customHeight="1" x14ac:dyDescent="0.2">
      <c r="A180" s="221" t="s">
        <v>221</v>
      </c>
      <c r="B180" s="221" t="s">
        <v>241</v>
      </c>
      <c r="C180" s="221" t="s">
        <v>245</v>
      </c>
      <c r="D180" s="222">
        <v>3.4906875204444399</v>
      </c>
      <c r="E180" s="223"/>
      <c r="F180" s="224">
        <v>0.01</v>
      </c>
      <c r="G180" s="224">
        <v>0.01</v>
      </c>
      <c r="H180" s="225"/>
      <c r="I180" s="226">
        <v>3</v>
      </c>
      <c r="J180" s="226">
        <v>3</v>
      </c>
      <c r="K180" s="223"/>
      <c r="L180" s="227">
        <v>955.09996999999998</v>
      </c>
      <c r="M180" s="227">
        <v>436.53230000000002</v>
      </c>
      <c r="N180" s="227">
        <v>1391.6322700000001</v>
      </c>
      <c r="O180" s="222">
        <v>398.66996454120101</v>
      </c>
      <c r="P180" s="228">
        <v>247.167</v>
      </c>
      <c r="Q180" s="234">
        <v>1.61295789705422</v>
      </c>
      <c r="R180" s="235">
        <v>449.47349349666598</v>
      </c>
      <c r="S180" s="224">
        <v>0.01</v>
      </c>
      <c r="T180" s="224">
        <v>0.01</v>
      </c>
      <c r="U180" s="231">
        <v>0</v>
      </c>
      <c r="V180" s="232">
        <v>0</v>
      </c>
      <c r="W180" s="223"/>
      <c r="X180" s="231">
        <v>1321.291725</v>
      </c>
      <c r="Y180" s="222">
        <v>378.51905026198602</v>
      </c>
      <c r="Z180" s="233">
        <v>573</v>
      </c>
      <c r="AA180" s="229">
        <v>0.66059171075390299</v>
      </c>
      <c r="AB180" s="230">
        <v>-862.88730754241305</v>
      </c>
      <c r="AC180" s="224"/>
      <c r="AD180" s="224"/>
      <c r="AE180" s="232">
        <v>679</v>
      </c>
      <c r="AF180" s="232">
        <v>1079</v>
      </c>
      <c r="AG180" s="223"/>
      <c r="AH180" s="236">
        <v>180.2</v>
      </c>
      <c r="AI180" s="222">
        <v>51.623068219253398</v>
      </c>
      <c r="AJ180" s="237" t="s">
        <v>54</v>
      </c>
      <c r="AK180" s="244">
        <v>0.81941378125799003</v>
      </c>
      <c r="AL180" s="227">
        <v>-59.9453386564957</v>
      </c>
      <c r="AM180" s="224"/>
      <c r="AN180" s="224"/>
      <c r="AO180" s="232">
        <v>40</v>
      </c>
      <c r="AP180" s="232">
        <v>84</v>
      </c>
      <c r="AQ180" s="223"/>
      <c r="AR180" s="236">
        <v>24.8</v>
      </c>
      <c r="AS180" s="222">
        <v>7.1046176017618397</v>
      </c>
      <c r="AT180" s="237" t="s">
        <v>55</v>
      </c>
      <c r="AU180" s="229">
        <v>0.44403860011011498</v>
      </c>
      <c r="AV180" s="230">
        <v>-36.189292357205296</v>
      </c>
      <c r="AW180" s="224"/>
      <c r="AX180" s="224"/>
      <c r="AY180" s="232">
        <v>32</v>
      </c>
      <c r="AZ180" s="232">
        <v>43</v>
      </c>
      <c r="BA180" s="223"/>
      <c r="BB180" s="240">
        <v>78.2</v>
      </c>
      <c r="BC180" s="236">
        <v>22.4024635668458</v>
      </c>
      <c r="BD180" s="237" t="s">
        <v>56</v>
      </c>
      <c r="BE180" s="229">
        <v>0.70007698646393102</v>
      </c>
      <c r="BF180" s="230">
        <v>-43.778584714410499</v>
      </c>
      <c r="BG180" s="224"/>
      <c r="BH180" s="224"/>
      <c r="BI180" s="232">
        <v>34</v>
      </c>
      <c r="BJ180" s="232">
        <v>56</v>
      </c>
      <c r="BK180" s="225"/>
      <c r="BL180" s="241">
        <v>0.8</v>
      </c>
      <c r="BM180" s="238">
        <v>0.86</v>
      </c>
      <c r="BN180" s="242">
        <v>2.2499999999999998E-3</v>
      </c>
      <c r="BO180" s="243">
        <v>0.95</v>
      </c>
      <c r="BP180" s="234">
        <v>1</v>
      </c>
      <c r="BQ180" s="242">
        <v>2.5000000000000001E-3</v>
      </c>
    </row>
    <row r="181" spans="1:69" s="211" customFormat="1" ht="22.35" customHeight="1" x14ac:dyDescent="0.2">
      <c r="A181" s="221" t="s">
        <v>221</v>
      </c>
      <c r="B181" s="221" t="s">
        <v>241</v>
      </c>
      <c r="C181" s="221" t="s">
        <v>246</v>
      </c>
      <c r="D181" s="222">
        <v>2.5343313424444398</v>
      </c>
      <c r="E181" s="223"/>
      <c r="F181" s="224">
        <v>7.0000000000000007E-2</v>
      </c>
      <c r="G181" s="224">
        <v>0.05</v>
      </c>
      <c r="H181" s="225"/>
      <c r="I181" s="226">
        <v>5</v>
      </c>
      <c r="J181" s="226">
        <v>5</v>
      </c>
      <c r="K181" s="223"/>
      <c r="L181" s="227">
        <v>1950.9815100000001</v>
      </c>
      <c r="M181" s="227">
        <v>448.76191</v>
      </c>
      <c r="N181" s="227">
        <v>2399.7434199999998</v>
      </c>
      <c r="O181" s="222">
        <v>946.89410962552699</v>
      </c>
      <c r="P181" s="228">
        <v>233.029</v>
      </c>
      <c r="Q181" s="234">
        <v>4.0634174700381802</v>
      </c>
      <c r="R181" s="235">
        <v>1754.8380333488501</v>
      </c>
      <c r="S181" s="224">
        <v>0.01</v>
      </c>
      <c r="T181" s="224">
        <v>0.01</v>
      </c>
      <c r="U181" s="231">
        <v>0</v>
      </c>
      <c r="V181" s="232">
        <v>0</v>
      </c>
      <c r="W181" s="223"/>
      <c r="X181" s="231">
        <v>1590.63528</v>
      </c>
      <c r="Y181" s="222">
        <v>627.635089919135</v>
      </c>
      <c r="Z181" s="233">
        <v>573</v>
      </c>
      <c r="AA181" s="234">
        <v>1.0953491970665501</v>
      </c>
      <c r="AB181" s="235">
        <v>4.8636097310347797</v>
      </c>
      <c r="AC181" s="224">
        <v>0.02</v>
      </c>
      <c r="AD181" s="224">
        <v>0.01</v>
      </c>
      <c r="AE181" s="232">
        <v>0</v>
      </c>
      <c r="AF181" s="232">
        <v>152</v>
      </c>
      <c r="AG181" s="223"/>
      <c r="AH181" s="236">
        <v>174.9</v>
      </c>
      <c r="AI181" s="222">
        <v>69.012286227460393</v>
      </c>
      <c r="AJ181" s="237" t="s">
        <v>54</v>
      </c>
      <c r="AK181" s="234">
        <v>1.0954331147215901</v>
      </c>
      <c r="AL181" s="235">
        <v>0.54814096519231703</v>
      </c>
      <c r="AM181" s="224">
        <v>0.02</v>
      </c>
      <c r="AN181" s="224">
        <v>0.01</v>
      </c>
      <c r="AO181" s="232">
        <v>0</v>
      </c>
      <c r="AP181" s="232">
        <v>17</v>
      </c>
      <c r="AQ181" s="223"/>
      <c r="AR181" s="236">
        <v>24.7</v>
      </c>
      <c r="AS181" s="222">
        <v>9.7461604906705102</v>
      </c>
      <c r="AT181" s="237" t="s">
        <v>55</v>
      </c>
      <c r="AU181" s="229">
        <v>0.609135030666907</v>
      </c>
      <c r="AV181" s="230">
        <v>-19.579837215189301</v>
      </c>
      <c r="AW181" s="224"/>
      <c r="AX181" s="224"/>
      <c r="AY181" s="232">
        <v>16</v>
      </c>
      <c r="AZ181" s="232">
        <v>24</v>
      </c>
      <c r="BA181" s="223"/>
      <c r="BB181" s="240">
        <v>113.6</v>
      </c>
      <c r="BC181" s="236">
        <v>44.824446629156697</v>
      </c>
      <c r="BD181" s="237" t="s">
        <v>56</v>
      </c>
      <c r="BE181" s="234">
        <v>1.4007639571611501</v>
      </c>
      <c r="BF181" s="235">
        <v>25.040325569621501</v>
      </c>
      <c r="BG181" s="224">
        <v>0.02</v>
      </c>
      <c r="BH181" s="224">
        <v>0.02</v>
      </c>
      <c r="BI181" s="232">
        <v>0</v>
      </c>
      <c r="BJ181" s="232">
        <v>0</v>
      </c>
      <c r="BK181" s="225"/>
      <c r="BL181" s="241">
        <v>0.8</v>
      </c>
      <c r="BM181" s="244">
        <v>0.73</v>
      </c>
      <c r="BN181" s="242"/>
      <c r="BO181" s="243">
        <v>0.95</v>
      </c>
      <c r="BP181" s="234">
        <v>1</v>
      </c>
      <c r="BQ181" s="242">
        <v>2.5000000000000001E-3</v>
      </c>
    </row>
    <row r="182" spans="1:69" s="211" customFormat="1" ht="22.35" customHeight="1" x14ac:dyDescent="0.2">
      <c r="A182" s="221" t="s">
        <v>221</v>
      </c>
      <c r="B182" s="221" t="s">
        <v>241</v>
      </c>
      <c r="C182" s="221" t="s">
        <v>247</v>
      </c>
      <c r="D182" s="222">
        <v>3.7290475793333302</v>
      </c>
      <c r="E182" s="223"/>
      <c r="F182" s="224">
        <v>1.6E-2</v>
      </c>
      <c r="G182" s="224">
        <v>0.01</v>
      </c>
      <c r="H182" s="225"/>
      <c r="I182" s="226">
        <v>3</v>
      </c>
      <c r="J182" s="226">
        <v>2</v>
      </c>
      <c r="K182" s="223"/>
      <c r="L182" s="227">
        <v>1657.7635299999999</v>
      </c>
      <c r="M182" s="227">
        <v>2269.7545700000001</v>
      </c>
      <c r="N182" s="227">
        <v>3927.5180999999998</v>
      </c>
      <c r="O182" s="222">
        <v>1053.2228448268099</v>
      </c>
      <c r="P182" s="228">
        <v>254.047</v>
      </c>
      <c r="Q182" s="234">
        <v>4.1457795007491098</v>
      </c>
      <c r="R182" s="235">
        <v>2893.0082413775099</v>
      </c>
      <c r="S182" s="224">
        <v>0.01</v>
      </c>
      <c r="T182" s="224">
        <v>0.01</v>
      </c>
      <c r="U182" s="231">
        <v>0</v>
      </c>
      <c r="V182" s="232">
        <v>0</v>
      </c>
      <c r="W182" s="223"/>
      <c r="X182" s="231">
        <v>1803.1387099999999</v>
      </c>
      <c r="Y182" s="222">
        <v>483.53867083732899</v>
      </c>
      <c r="Z182" s="233">
        <v>573</v>
      </c>
      <c r="AA182" s="244">
        <v>0.84387202589411703</v>
      </c>
      <c r="AB182" s="227">
        <v>-530.18602515013401</v>
      </c>
      <c r="AC182" s="224"/>
      <c r="AD182" s="224"/>
      <c r="AE182" s="232">
        <v>334</v>
      </c>
      <c r="AF182" s="232">
        <v>761</v>
      </c>
      <c r="AG182" s="223"/>
      <c r="AH182" s="236">
        <v>201.3</v>
      </c>
      <c r="AI182" s="222">
        <v>53.981612118767302</v>
      </c>
      <c r="AJ182" s="237" t="s">
        <v>54</v>
      </c>
      <c r="AK182" s="244">
        <v>0.85685098601217902</v>
      </c>
      <c r="AL182" s="227">
        <v>-55.243557267815802</v>
      </c>
      <c r="AM182" s="224"/>
      <c r="AN182" s="224"/>
      <c r="AO182" s="232">
        <v>34</v>
      </c>
      <c r="AP182" s="232">
        <v>81</v>
      </c>
      <c r="AQ182" s="223"/>
      <c r="AR182" s="236">
        <v>25.8</v>
      </c>
      <c r="AS182" s="222">
        <v>6.9186566948047501</v>
      </c>
      <c r="AT182" s="237" t="s">
        <v>55</v>
      </c>
      <c r="AU182" s="229">
        <v>0.43241604342529699</v>
      </c>
      <c r="AV182" s="230">
        <v>-39.353919306111997</v>
      </c>
      <c r="AW182" s="224"/>
      <c r="AX182" s="224"/>
      <c r="AY182" s="232">
        <v>34</v>
      </c>
      <c r="AZ182" s="232">
        <v>46</v>
      </c>
      <c r="BA182" s="223"/>
      <c r="BB182" s="240">
        <v>115</v>
      </c>
      <c r="BC182" s="236">
        <v>30.838973639633501</v>
      </c>
      <c r="BD182" s="237" t="s">
        <v>56</v>
      </c>
      <c r="BE182" s="238">
        <v>0.96371792623854802</v>
      </c>
      <c r="BF182" s="239">
        <v>-15.3078386122239</v>
      </c>
      <c r="BG182" s="224">
        <v>6.0000000000000001E-3</v>
      </c>
      <c r="BH182" s="224"/>
      <c r="BI182" s="232">
        <v>5</v>
      </c>
      <c r="BJ182" s="232">
        <v>29</v>
      </c>
      <c r="BK182" s="225"/>
      <c r="BL182" s="241">
        <v>0.8</v>
      </c>
      <c r="BM182" s="244">
        <v>0.79</v>
      </c>
      <c r="BN182" s="242"/>
      <c r="BO182" s="243">
        <v>0.95</v>
      </c>
      <c r="BP182" s="234">
        <v>1</v>
      </c>
      <c r="BQ182" s="242">
        <v>2.5000000000000001E-3</v>
      </c>
    </row>
    <row r="183" spans="1:69" s="211" customFormat="1" ht="22.35" customHeight="1" x14ac:dyDescent="0.2">
      <c r="A183" s="221" t="s">
        <v>221</v>
      </c>
      <c r="B183" s="221" t="s">
        <v>241</v>
      </c>
      <c r="C183" s="221" t="s">
        <v>248</v>
      </c>
      <c r="D183" s="222">
        <v>4.4497067784444404</v>
      </c>
      <c r="E183" s="223"/>
      <c r="F183" s="224">
        <v>0.01</v>
      </c>
      <c r="G183" s="224">
        <v>0.01</v>
      </c>
      <c r="H183" s="225"/>
      <c r="I183" s="226">
        <v>2</v>
      </c>
      <c r="J183" s="226">
        <v>2</v>
      </c>
      <c r="K183" s="223"/>
      <c r="L183" s="227">
        <v>1618.9907000000001</v>
      </c>
      <c r="M183" s="227">
        <v>-446.04707000000002</v>
      </c>
      <c r="N183" s="227">
        <v>1172.94363</v>
      </c>
      <c r="O183" s="222">
        <v>263.60020747480502</v>
      </c>
      <c r="P183" s="228">
        <v>217.155</v>
      </c>
      <c r="Q183" s="234">
        <v>1.21388044242502</v>
      </c>
      <c r="R183" s="235">
        <v>117.770155583372</v>
      </c>
      <c r="S183" s="224">
        <v>0.01</v>
      </c>
      <c r="T183" s="224">
        <v>0.01</v>
      </c>
      <c r="U183" s="231">
        <v>0</v>
      </c>
      <c r="V183" s="232">
        <v>0</v>
      </c>
      <c r="W183" s="223"/>
      <c r="X183" s="231">
        <v>2215.5375650000001</v>
      </c>
      <c r="Y183" s="222">
        <v>497.90641840326401</v>
      </c>
      <c r="Z183" s="233">
        <v>573</v>
      </c>
      <c r="AA183" s="244">
        <v>0.86894662897602803</v>
      </c>
      <c r="AB183" s="227">
        <v>-568.71516158114105</v>
      </c>
      <c r="AC183" s="224"/>
      <c r="AD183" s="224"/>
      <c r="AE183" s="232">
        <v>335</v>
      </c>
      <c r="AF183" s="232">
        <v>845</v>
      </c>
      <c r="AG183" s="223"/>
      <c r="AH183" s="236">
        <v>186.25</v>
      </c>
      <c r="AI183" s="222">
        <v>41.856690625603498</v>
      </c>
      <c r="AJ183" s="237" t="s">
        <v>54</v>
      </c>
      <c r="AK183" s="229">
        <v>0.664391914692119</v>
      </c>
      <c r="AL183" s="230">
        <v>-119.872027529864</v>
      </c>
      <c r="AM183" s="224"/>
      <c r="AN183" s="224"/>
      <c r="AO183" s="232">
        <v>95</v>
      </c>
      <c r="AP183" s="232">
        <v>151</v>
      </c>
      <c r="AQ183" s="223"/>
      <c r="AR183" s="236">
        <v>28.4</v>
      </c>
      <c r="AS183" s="222">
        <v>6.3824430269376604</v>
      </c>
      <c r="AT183" s="237" t="s">
        <v>55</v>
      </c>
      <c r="AU183" s="229">
        <v>0.398902689183604</v>
      </c>
      <c r="AV183" s="230">
        <v>-49.345276832981199</v>
      </c>
      <c r="AW183" s="224"/>
      <c r="AX183" s="224"/>
      <c r="AY183" s="232">
        <v>43</v>
      </c>
      <c r="AZ183" s="232">
        <v>58</v>
      </c>
      <c r="BA183" s="223"/>
      <c r="BB183" s="240">
        <v>116.8</v>
      </c>
      <c r="BC183" s="236">
        <v>26.248920617828102</v>
      </c>
      <c r="BD183" s="237" t="s">
        <v>56</v>
      </c>
      <c r="BE183" s="244">
        <v>0.82027876930712895</v>
      </c>
      <c r="BF183" s="227">
        <v>-38.690553665962497</v>
      </c>
      <c r="BG183" s="224"/>
      <c r="BH183" s="224"/>
      <c r="BI183" s="232">
        <v>26</v>
      </c>
      <c r="BJ183" s="232">
        <v>55</v>
      </c>
      <c r="BK183" s="225"/>
      <c r="BL183" s="241">
        <v>0.8</v>
      </c>
      <c r="BM183" s="244">
        <v>0.75</v>
      </c>
      <c r="BN183" s="242"/>
      <c r="BO183" s="243">
        <v>0.95</v>
      </c>
      <c r="BP183" s="234">
        <v>1</v>
      </c>
      <c r="BQ183" s="242">
        <v>2.5000000000000001E-3</v>
      </c>
    </row>
    <row r="184" spans="1:69" s="211" customFormat="1" ht="22.35" customHeight="1" x14ac:dyDescent="0.2">
      <c r="A184" s="221" t="s">
        <v>221</v>
      </c>
      <c r="B184" s="221" t="s">
        <v>241</v>
      </c>
      <c r="C184" s="221" t="s">
        <v>249</v>
      </c>
      <c r="D184" s="222">
        <v>4.5199524895555596</v>
      </c>
      <c r="E184" s="223"/>
      <c r="F184" s="224">
        <v>1.4E-2</v>
      </c>
      <c r="G184" s="224">
        <v>0.01</v>
      </c>
      <c r="H184" s="225"/>
      <c r="I184" s="226">
        <v>3</v>
      </c>
      <c r="J184" s="226">
        <v>2</v>
      </c>
      <c r="K184" s="223"/>
      <c r="L184" s="227">
        <v>1371.45063</v>
      </c>
      <c r="M184" s="227">
        <v>1650.02881</v>
      </c>
      <c r="N184" s="227">
        <v>3021.4794400000001</v>
      </c>
      <c r="O184" s="222">
        <v>668.47592911249797</v>
      </c>
      <c r="P184" s="228">
        <v>287.5</v>
      </c>
      <c r="Q184" s="234">
        <v>2.32513366647825</v>
      </c>
      <c r="R184" s="235">
        <v>1602.44035590403</v>
      </c>
      <c r="S184" s="224">
        <v>0.01</v>
      </c>
      <c r="T184" s="224">
        <v>0.01</v>
      </c>
      <c r="U184" s="231">
        <v>0</v>
      </c>
      <c r="V184" s="232">
        <v>0</v>
      </c>
      <c r="W184" s="223"/>
      <c r="X184" s="231">
        <v>1734.065985</v>
      </c>
      <c r="Y184" s="222">
        <v>383.64694960997502</v>
      </c>
      <c r="Z184" s="233">
        <v>573</v>
      </c>
      <c r="AA184" s="229">
        <v>0.669540924275698</v>
      </c>
      <c r="AB184" s="230">
        <v>-1094.14060695475</v>
      </c>
      <c r="AC184" s="224"/>
      <c r="AD184" s="224"/>
      <c r="AE184" s="232">
        <v>856</v>
      </c>
      <c r="AF184" s="232">
        <v>1374</v>
      </c>
      <c r="AG184" s="223"/>
      <c r="AH184" s="236">
        <v>172.1</v>
      </c>
      <c r="AI184" s="222">
        <v>38.075621457897803</v>
      </c>
      <c r="AJ184" s="237" t="s">
        <v>54</v>
      </c>
      <c r="AK184" s="229">
        <v>0.60437494377615497</v>
      </c>
      <c r="AL184" s="230">
        <v>-138.854651471464</v>
      </c>
      <c r="AM184" s="224"/>
      <c r="AN184" s="224"/>
      <c r="AO184" s="232">
        <v>113</v>
      </c>
      <c r="AP184" s="232">
        <v>170</v>
      </c>
      <c r="AQ184" s="223"/>
      <c r="AR184" s="236">
        <v>42.4</v>
      </c>
      <c r="AS184" s="222">
        <v>9.3806295747522697</v>
      </c>
      <c r="AT184" s="237" t="s">
        <v>55</v>
      </c>
      <c r="AU184" s="229">
        <v>0.58628934842201696</v>
      </c>
      <c r="AV184" s="230">
        <v>-36.572609897514702</v>
      </c>
      <c r="AW184" s="224"/>
      <c r="AX184" s="224"/>
      <c r="AY184" s="232">
        <v>30</v>
      </c>
      <c r="AZ184" s="232">
        <v>45</v>
      </c>
      <c r="BA184" s="223"/>
      <c r="BB184" s="240">
        <v>137</v>
      </c>
      <c r="BC184" s="236">
        <v>30.310053107100501</v>
      </c>
      <c r="BD184" s="237" t="s">
        <v>56</v>
      </c>
      <c r="BE184" s="238">
        <v>0.94718915959688998</v>
      </c>
      <c r="BF184" s="239">
        <v>-20.945219795029502</v>
      </c>
      <c r="BG184" s="224">
        <v>4.0000000000000001E-3</v>
      </c>
      <c r="BH184" s="224"/>
      <c r="BI184" s="232">
        <v>8</v>
      </c>
      <c r="BJ184" s="232">
        <v>37</v>
      </c>
      <c r="BK184" s="225"/>
      <c r="BL184" s="241">
        <v>0.8</v>
      </c>
      <c r="BM184" s="229">
        <v>0.68</v>
      </c>
      <c r="BN184" s="242"/>
      <c r="BO184" s="243">
        <v>0.95</v>
      </c>
      <c r="BP184" s="234">
        <v>1</v>
      </c>
      <c r="BQ184" s="242">
        <v>2.5000000000000001E-3</v>
      </c>
    </row>
    <row r="185" spans="1:69" s="211" customFormat="1" ht="22.35" customHeight="1" x14ac:dyDescent="0.2">
      <c r="A185" s="221" t="s">
        <v>221</v>
      </c>
      <c r="B185" s="221" t="s">
        <v>241</v>
      </c>
      <c r="C185" s="221" t="s">
        <v>250</v>
      </c>
      <c r="D185" s="222">
        <v>3.0343497082222202</v>
      </c>
      <c r="E185" s="223"/>
      <c r="F185" s="224">
        <v>0.01</v>
      </c>
      <c r="G185" s="224">
        <v>0.01</v>
      </c>
      <c r="H185" s="225"/>
      <c r="I185" s="226">
        <v>2</v>
      </c>
      <c r="J185" s="226">
        <v>2</v>
      </c>
      <c r="K185" s="223"/>
      <c r="L185" s="227">
        <v>1776.29377</v>
      </c>
      <c r="M185" s="227">
        <v>1500.60151</v>
      </c>
      <c r="N185" s="227">
        <v>3276.8952800000002</v>
      </c>
      <c r="O185" s="222">
        <v>1079.9332954670799</v>
      </c>
      <c r="P185" s="228">
        <v>243.29900000000001</v>
      </c>
      <c r="Q185" s="234">
        <v>4.43870831966872</v>
      </c>
      <c r="R185" s="235">
        <v>2470.7216393704498</v>
      </c>
      <c r="S185" s="224">
        <v>0.01</v>
      </c>
      <c r="T185" s="224">
        <v>0.01</v>
      </c>
      <c r="U185" s="231">
        <v>0</v>
      </c>
      <c r="V185" s="232">
        <v>0</v>
      </c>
      <c r="W185" s="223"/>
      <c r="X185" s="231">
        <v>1067.1387050000001</v>
      </c>
      <c r="Y185" s="222">
        <v>351.68612968648898</v>
      </c>
      <c r="Z185" s="233">
        <v>573</v>
      </c>
      <c r="AA185" s="229">
        <v>0.61376287903401205</v>
      </c>
      <c r="AB185" s="230">
        <v>-831.50245702997404</v>
      </c>
      <c r="AC185" s="224"/>
      <c r="AD185" s="224"/>
      <c r="AE185" s="232">
        <v>672</v>
      </c>
      <c r="AF185" s="232">
        <v>1020</v>
      </c>
      <c r="AG185" s="223"/>
      <c r="AH185" s="236">
        <v>113.8</v>
      </c>
      <c r="AI185" s="222">
        <v>37.5039171298003</v>
      </c>
      <c r="AJ185" s="237" t="s">
        <v>54</v>
      </c>
      <c r="AK185" s="229">
        <v>0.59530027190159196</v>
      </c>
      <c r="AL185" s="230">
        <v>-94.951122526855897</v>
      </c>
      <c r="AM185" s="224"/>
      <c r="AN185" s="224"/>
      <c r="AO185" s="232">
        <v>78</v>
      </c>
      <c r="AP185" s="232">
        <v>116</v>
      </c>
      <c r="AQ185" s="223"/>
      <c r="AR185" s="236">
        <v>35.799999999999997</v>
      </c>
      <c r="AS185" s="222">
        <v>11.798244580376499</v>
      </c>
      <c r="AT185" s="237" t="s">
        <v>55</v>
      </c>
      <c r="AU185" s="244">
        <v>0.73739028627353398</v>
      </c>
      <c r="AV185" s="227">
        <v>-17.2161581020586</v>
      </c>
      <c r="AW185" s="224"/>
      <c r="AX185" s="224"/>
      <c r="AY185" s="232">
        <v>13</v>
      </c>
      <c r="AZ185" s="232">
        <v>23</v>
      </c>
      <c r="BA185" s="223"/>
      <c r="BB185" s="240">
        <v>75</v>
      </c>
      <c r="BC185" s="236">
        <v>24.716992835984399</v>
      </c>
      <c r="BD185" s="237" t="s">
        <v>56</v>
      </c>
      <c r="BE185" s="244">
        <v>0.77240602612451204</v>
      </c>
      <c r="BF185" s="227">
        <v>-31.032316204117301</v>
      </c>
      <c r="BG185" s="224"/>
      <c r="BH185" s="224"/>
      <c r="BI185" s="232">
        <v>23</v>
      </c>
      <c r="BJ185" s="232">
        <v>42</v>
      </c>
      <c r="BK185" s="225"/>
      <c r="BL185" s="241">
        <v>0.8</v>
      </c>
      <c r="BM185" s="244">
        <v>0.7</v>
      </c>
      <c r="BN185" s="242"/>
      <c r="BO185" s="243">
        <v>0.95</v>
      </c>
      <c r="BP185" s="234">
        <v>1</v>
      </c>
      <c r="BQ185" s="242">
        <v>2.5000000000000001E-3</v>
      </c>
    </row>
    <row r="186" spans="1:69" s="211" customFormat="1" ht="22.35" customHeight="1" x14ac:dyDescent="0.2">
      <c r="A186" s="221" t="s">
        <v>221</v>
      </c>
      <c r="B186" s="221" t="s">
        <v>241</v>
      </c>
      <c r="C186" s="221" t="s">
        <v>251</v>
      </c>
      <c r="D186" s="222">
        <v>3.9243355210000002</v>
      </c>
      <c r="E186" s="223"/>
      <c r="F186" s="224">
        <v>3.9E-2</v>
      </c>
      <c r="G186" s="224">
        <v>3.4000000000000002E-2</v>
      </c>
      <c r="H186" s="225"/>
      <c r="I186" s="226">
        <v>5</v>
      </c>
      <c r="J186" s="226">
        <v>5</v>
      </c>
      <c r="K186" s="223"/>
      <c r="L186" s="227">
        <v>3829.44112</v>
      </c>
      <c r="M186" s="227">
        <v>3027.5761200000002</v>
      </c>
      <c r="N186" s="227">
        <v>6857.0172400000001</v>
      </c>
      <c r="O186" s="222">
        <v>1747.30657032421</v>
      </c>
      <c r="P186" s="228">
        <v>285.27300000000002</v>
      </c>
      <c r="Q186" s="234">
        <v>6.1250331097727804</v>
      </c>
      <c r="R186" s="235">
        <v>5634.5156319462003</v>
      </c>
      <c r="S186" s="224">
        <v>0.01</v>
      </c>
      <c r="T186" s="224">
        <v>0.01</v>
      </c>
      <c r="U186" s="231">
        <v>0</v>
      </c>
      <c r="V186" s="232">
        <v>0</v>
      </c>
      <c r="W186" s="223"/>
      <c r="X186" s="231">
        <v>1855.43102</v>
      </c>
      <c r="Y186" s="222">
        <v>472.801321413822</v>
      </c>
      <c r="Z186" s="233">
        <v>573</v>
      </c>
      <c r="AA186" s="244">
        <v>0.82513319618468095</v>
      </c>
      <c r="AB186" s="227">
        <v>-600.088504858036</v>
      </c>
      <c r="AC186" s="224"/>
      <c r="AD186" s="224"/>
      <c r="AE186" s="232">
        <v>394</v>
      </c>
      <c r="AF186" s="232">
        <v>843</v>
      </c>
      <c r="AG186" s="223"/>
      <c r="AH186" s="236">
        <v>181.9</v>
      </c>
      <c r="AI186" s="222">
        <v>46.3517961261498</v>
      </c>
      <c r="AJ186" s="237" t="s">
        <v>54</v>
      </c>
      <c r="AK186" s="244">
        <v>0.73574279565317202</v>
      </c>
      <c r="AL186" s="227">
        <v>-88.078586502716007</v>
      </c>
      <c r="AM186" s="224"/>
      <c r="AN186" s="224"/>
      <c r="AO186" s="232">
        <v>66</v>
      </c>
      <c r="AP186" s="232">
        <v>115</v>
      </c>
      <c r="AQ186" s="223"/>
      <c r="AR186" s="236">
        <v>67.599999999999994</v>
      </c>
      <c r="AS186" s="222">
        <v>17.225846168926498</v>
      </c>
      <c r="AT186" s="237" t="s">
        <v>55</v>
      </c>
      <c r="AU186" s="238">
        <v>1.0766153855579099</v>
      </c>
      <c r="AV186" s="239">
        <v>-0.96599022291201198</v>
      </c>
      <c r="AW186" s="224">
        <v>8.9999999999999993E-3</v>
      </c>
      <c r="AX186" s="224">
        <v>4.0000000000000001E-3</v>
      </c>
      <c r="AY186" s="232">
        <v>0</v>
      </c>
      <c r="AZ186" s="232">
        <v>8</v>
      </c>
      <c r="BA186" s="223"/>
      <c r="BB186" s="240">
        <v>206.6</v>
      </c>
      <c r="BC186" s="236">
        <v>52.645855303257598</v>
      </c>
      <c r="BD186" s="237" t="s">
        <v>56</v>
      </c>
      <c r="BE186" s="234">
        <v>1.6451829782267999</v>
      </c>
      <c r="BF186" s="235">
        <v>69.468019554175996</v>
      </c>
      <c r="BG186" s="224">
        <v>0.02</v>
      </c>
      <c r="BH186" s="224">
        <v>0.02</v>
      </c>
      <c r="BI186" s="232">
        <v>0</v>
      </c>
      <c r="BJ186" s="232">
        <v>0</v>
      </c>
      <c r="BK186" s="225"/>
      <c r="BL186" s="241">
        <v>0.8</v>
      </c>
      <c r="BM186" s="238">
        <v>0.81</v>
      </c>
      <c r="BN186" s="242">
        <v>3.7500000000000001E-4</v>
      </c>
      <c r="BO186" s="243">
        <v>0.95</v>
      </c>
      <c r="BP186" s="234">
        <v>1</v>
      </c>
      <c r="BQ186" s="242">
        <v>2.5000000000000001E-3</v>
      </c>
    </row>
    <row r="187" spans="1:69" s="211" customFormat="1" ht="22.35" customHeight="1" x14ac:dyDescent="0.2">
      <c r="A187" s="221" t="s">
        <v>221</v>
      </c>
      <c r="B187" s="221" t="s">
        <v>241</v>
      </c>
      <c r="C187" s="221" t="s">
        <v>252</v>
      </c>
      <c r="D187" s="222">
        <v>1.82888188633333</v>
      </c>
      <c r="E187" s="223"/>
      <c r="F187" s="224">
        <v>7.0000000000000007E-2</v>
      </c>
      <c r="G187" s="224">
        <v>6.25E-2</v>
      </c>
      <c r="H187" s="225"/>
      <c r="I187" s="226">
        <v>5</v>
      </c>
      <c r="J187" s="226">
        <v>5</v>
      </c>
      <c r="K187" s="223"/>
      <c r="L187" s="227">
        <v>487.84399000000002</v>
      </c>
      <c r="M187" s="227">
        <v>5.9281899999999998</v>
      </c>
      <c r="N187" s="227">
        <v>493.77217999999999</v>
      </c>
      <c r="O187" s="222">
        <v>269.98582231570299</v>
      </c>
      <c r="P187" s="228">
        <v>243.29900000000001</v>
      </c>
      <c r="Q187" s="234">
        <v>1.1096873489644601</v>
      </c>
      <c r="R187" s="235">
        <v>7.87025360318989</v>
      </c>
      <c r="S187" s="224">
        <v>0.01</v>
      </c>
      <c r="T187" s="224">
        <v>5.4999999999999997E-3</v>
      </c>
      <c r="U187" s="231">
        <v>0</v>
      </c>
      <c r="V187" s="232">
        <v>41</v>
      </c>
      <c r="W187" s="223"/>
      <c r="X187" s="231">
        <v>1223.796405</v>
      </c>
      <c r="Y187" s="222">
        <v>669.15004962597698</v>
      </c>
      <c r="Z187" s="233">
        <v>573</v>
      </c>
      <c r="AA187" s="234">
        <v>1.1678011337277101</v>
      </c>
      <c r="AB187" s="235">
        <v>79.4357466110541</v>
      </c>
      <c r="AC187" s="224">
        <v>0.02</v>
      </c>
      <c r="AD187" s="224">
        <v>1.7000000000000001E-2</v>
      </c>
      <c r="AE187" s="232">
        <v>0</v>
      </c>
      <c r="AF187" s="232">
        <v>34</v>
      </c>
      <c r="AG187" s="223"/>
      <c r="AH187" s="236">
        <v>156.19999999999999</v>
      </c>
      <c r="AI187" s="222">
        <v>85.407374400301094</v>
      </c>
      <c r="AJ187" s="237" t="s">
        <v>54</v>
      </c>
      <c r="AK187" s="234">
        <v>1.35567260952859</v>
      </c>
      <c r="AL187" s="235">
        <v>30.3802417478122</v>
      </c>
      <c r="AM187" s="224">
        <v>0.02</v>
      </c>
      <c r="AN187" s="224">
        <v>0.02</v>
      </c>
      <c r="AO187" s="232">
        <v>0</v>
      </c>
      <c r="AP187" s="232">
        <v>0</v>
      </c>
      <c r="AQ187" s="223"/>
      <c r="AR187" s="236">
        <v>17.600000000000001</v>
      </c>
      <c r="AS187" s="222">
        <v>9.6233661296113997</v>
      </c>
      <c r="AT187" s="237" t="s">
        <v>55</v>
      </c>
      <c r="AU187" s="229">
        <v>0.60146038310071204</v>
      </c>
      <c r="AV187" s="230">
        <v>-14.3542243180159</v>
      </c>
      <c r="AW187" s="224"/>
      <c r="AX187" s="224"/>
      <c r="AY187" s="232">
        <v>12</v>
      </c>
      <c r="AZ187" s="232">
        <v>18</v>
      </c>
      <c r="BA187" s="223"/>
      <c r="BB187" s="240">
        <v>83</v>
      </c>
      <c r="BC187" s="236">
        <v>45.382919815781001</v>
      </c>
      <c r="BD187" s="237" t="s">
        <v>56</v>
      </c>
      <c r="BE187" s="234">
        <v>1.4182162442431601</v>
      </c>
      <c r="BF187" s="235">
        <v>19.091551363968101</v>
      </c>
      <c r="BG187" s="224">
        <v>0.02</v>
      </c>
      <c r="BH187" s="224">
        <v>0.02</v>
      </c>
      <c r="BI187" s="232">
        <v>0</v>
      </c>
      <c r="BJ187" s="232">
        <v>0</v>
      </c>
      <c r="BK187" s="225"/>
      <c r="BL187" s="241">
        <v>0.8</v>
      </c>
      <c r="BM187" s="244">
        <v>0.75</v>
      </c>
      <c r="BN187" s="242"/>
      <c r="BO187" s="243">
        <v>0.95</v>
      </c>
      <c r="BP187" s="234">
        <v>1</v>
      </c>
      <c r="BQ187" s="242">
        <v>2.5000000000000001E-3</v>
      </c>
    </row>
    <row r="188" spans="1:69" s="211" customFormat="1" ht="22.35" customHeight="1" x14ac:dyDescent="0.2">
      <c r="A188" s="221" t="s">
        <v>221</v>
      </c>
      <c r="B188" s="221" t="s">
        <v>241</v>
      </c>
      <c r="C188" s="221" t="s">
        <v>253</v>
      </c>
      <c r="D188" s="222">
        <v>3.0121534749999999</v>
      </c>
      <c r="E188" s="223"/>
      <c r="F188" s="224">
        <v>2.9000000000000001E-2</v>
      </c>
      <c r="G188" s="224">
        <v>1.4999999999999999E-2</v>
      </c>
      <c r="H188" s="225"/>
      <c r="I188" s="226">
        <v>4</v>
      </c>
      <c r="J188" s="226">
        <v>3</v>
      </c>
      <c r="K188" s="223"/>
      <c r="L188" s="227">
        <v>1238.89231</v>
      </c>
      <c r="M188" s="227">
        <v>402.93723999999997</v>
      </c>
      <c r="N188" s="227">
        <v>1641.8295499999999</v>
      </c>
      <c r="O188" s="222">
        <v>545.06835844411899</v>
      </c>
      <c r="P188" s="228">
        <v>262.53800000000001</v>
      </c>
      <c r="Q188" s="234">
        <v>2.0761503418328702</v>
      </c>
      <c r="R188" s="235">
        <v>778.27076407065101</v>
      </c>
      <c r="S188" s="224">
        <v>0.01</v>
      </c>
      <c r="T188" s="224">
        <v>0.01</v>
      </c>
      <c r="U188" s="231">
        <v>0</v>
      </c>
      <c r="V188" s="232">
        <v>0</v>
      </c>
      <c r="W188" s="223"/>
      <c r="X188" s="231">
        <v>1814.5659450000001</v>
      </c>
      <c r="Y188" s="222">
        <v>602.41483711250805</v>
      </c>
      <c r="Z188" s="233">
        <v>573</v>
      </c>
      <c r="AA188" s="238">
        <v>1.0513347942626701</v>
      </c>
      <c r="AB188" s="239">
        <v>-70.186678763100204</v>
      </c>
      <c r="AC188" s="224">
        <v>1.6E-2</v>
      </c>
      <c r="AD188" s="224">
        <v>5.0000000000000001E-3</v>
      </c>
      <c r="AE188" s="232">
        <v>0</v>
      </c>
      <c r="AF188" s="232">
        <v>257</v>
      </c>
      <c r="AG188" s="223"/>
      <c r="AH188" s="236">
        <v>157.19999999999999</v>
      </c>
      <c r="AI188" s="222">
        <v>52.188575816177497</v>
      </c>
      <c r="AJ188" s="237" t="s">
        <v>54</v>
      </c>
      <c r="AK188" s="244">
        <v>0.82839009232027805</v>
      </c>
      <c r="AL188" s="227">
        <v>-50.024110466099998</v>
      </c>
      <c r="AM188" s="224"/>
      <c r="AN188" s="224"/>
      <c r="AO188" s="232">
        <v>33</v>
      </c>
      <c r="AP188" s="232">
        <v>71</v>
      </c>
      <c r="AQ188" s="223"/>
      <c r="AR188" s="236">
        <v>16</v>
      </c>
      <c r="AS188" s="222">
        <v>5.3118143324353699</v>
      </c>
      <c r="AT188" s="237" t="s">
        <v>55</v>
      </c>
      <c r="AU188" s="229">
        <v>0.33198839577721101</v>
      </c>
      <c r="AV188" s="230">
        <v>-36.628345515200003</v>
      </c>
      <c r="AW188" s="224"/>
      <c r="AX188" s="224"/>
      <c r="AY188" s="232">
        <v>33</v>
      </c>
      <c r="AZ188" s="232">
        <v>42</v>
      </c>
      <c r="BA188" s="223"/>
      <c r="BB188" s="240">
        <v>90</v>
      </c>
      <c r="BC188" s="236">
        <v>29.878955619948901</v>
      </c>
      <c r="BD188" s="237" t="s">
        <v>56</v>
      </c>
      <c r="BE188" s="238">
        <v>0.93371736312340403</v>
      </c>
      <c r="BF188" s="239">
        <v>-15.256691030400001</v>
      </c>
      <c r="BG188" s="224">
        <v>3.0000000000000001E-3</v>
      </c>
      <c r="BH188" s="224"/>
      <c r="BI188" s="232">
        <v>7</v>
      </c>
      <c r="BJ188" s="232">
        <v>26</v>
      </c>
      <c r="BK188" s="225"/>
      <c r="BL188" s="241">
        <v>0.8</v>
      </c>
      <c r="BM188" s="244">
        <v>0.74</v>
      </c>
      <c r="BN188" s="242"/>
      <c r="BO188" s="243">
        <v>0.95</v>
      </c>
      <c r="BP188" s="234">
        <v>1</v>
      </c>
      <c r="BQ188" s="242">
        <v>2.5000000000000001E-3</v>
      </c>
    </row>
    <row r="189" spans="1:69" s="211" customFormat="1" ht="22.35" customHeight="1" x14ac:dyDescent="0.2">
      <c r="A189" s="221" t="s">
        <v>221</v>
      </c>
      <c r="B189" s="221" t="s">
        <v>241</v>
      </c>
      <c r="C189" s="221" t="s">
        <v>254</v>
      </c>
      <c r="D189" s="222">
        <v>2.69738168433333</v>
      </c>
      <c r="E189" s="223"/>
      <c r="F189" s="224">
        <v>3.7999999999999999E-2</v>
      </c>
      <c r="G189" s="224">
        <v>1.6E-2</v>
      </c>
      <c r="H189" s="225"/>
      <c r="I189" s="226">
        <v>6</v>
      </c>
      <c r="J189" s="226">
        <v>5</v>
      </c>
      <c r="K189" s="223"/>
      <c r="L189" s="227">
        <v>2734.70064</v>
      </c>
      <c r="M189" s="227">
        <v>1761.7967900000001</v>
      </c>
      <c r="N189" s="227">
        <v>4496.4974300000003</v>
      </c>
      <c r="O189" s="222">
        <v>1666.9859724028399</v>
      </c>
      <c r="P189" s="228">
        <v>243.27799999999999</v>
      </c>
      <c r="Q189" s="234">
        <v>6.85218545204597</v>
      </c>
      <c r="R189" s="235">
        <v>3779.9121554298399</v>
      </c>
      <c r="S189" s="224">
        <v>0.01</v>
      </c>
      <c r="T189" s="224">
        <v>0.01</v>
      </c>
      <c r="U189" s="231">
        <v>0</v>
      </c>
      <c r="V189" s="232">
        <v>0</v>
      </c>
      <c r="W189" s="223"/>
      <c r="X189" s="231">
        <v>1568.5617500000001</v>
      </c>
      <c r="Y189" s="222">
        <v>581.51271624270498</v>
      </c>
      <c r="Z189" s="233">
        <v>573</v>
      </c>
      <c r="AA189" s="238">
        <v>1.0148563983293299</v>
      </c>
      <c r="AB189" s="239">
        <v>-119.233127994314</v>
      </c>
      <c r="AC189" s="224">
        <v>1.2E-2</v>
      </c>
      <c r="AD189" s="224">
        <v>1E-3</v>
      </c>
      <c r="AE189" s="232">
        <v>0</v>
      </c>
      <c r="AF189" s="232">
        <v>287</v>
      </c>
      <c r="AG189" s="223"/>
      <c r="AH189" s="236">
        <v>156.85</v>
      </c>
      <c r="AI189" s="222">
        <v>58.148982367234403</v>
      </c>
      <c r="AJ189" s="237" t="s">
        <v>54</v>
      </c>
      <c r="AK189" s="238">
        <v>0.922999720114831</v>
      </c>
      <c r="AL189" s="239">
        <v>-28.7190703553958</v>
      </c>
      <c r="AM189" s="224">
        <v>1E-3</v>
      </c>
      <c r="AN189" s="224"/>
      <c r="AO189" s="232">
        <v>14</v>
      </c>
      <c r="AP189" s="232">
        <v>48</v>
      </c>
      <c r="AQ189" s="223"/>
      <c r="AR189" s="236">
        <v>24.5</v>
      </c>
      <c r="AS189" s="222">
        <v>9.0828821676585392</v>
      </c>
      <c r="AT189" s="237" t="s">
        <v>55</v>
      </c>
      <c r="AU189" s="229">
        <v>0.56768013547865903</v>
      </c>
      <c r="AV189" s="230">
        <v>-22.6286527886719</v>
      </c>
      <c r="AW189" s="224"/>
      <c r="AX189" s="224"/>
      <c r="AY189" s="232">
        <v>19</v>
      </c>
      <c r="AZ189" s="232">
        <v>28</v>
      </c>
      <c r="BA189" s="223"/>
      <c r="BB189" s="240">
        <v>90.4</v>
      </c>
      <c r="BC189" s="236">
        <v>33.513981549238103</v>
      </c>
      <c r="BD189" s="237" t="s">
        <v>56</v>
      </c>
      <c r="BE189" s="238">
        <v>1.0473119234136901</v>
      </c>
      <c r="BF189" s="239">
        <v>-3.85730557734388</v>
      </c>
      <c r="BG189" s="224">
        <v>1.4999999999999999E-2</v>
      </c>
      <c r="BH189" s="224">
        <v>5.0000000000000001E-3</v>
      </c>
      <c r="BI189" s="232">
        <v>0</v>
      </c>
      <c r="BJ189" s="232">
        <v>14</v>
      </c>
      <c r="BK189" s="225"/>
      <c r="BL189" s="241">
        <v>0.8</v>
      </c>
      <c r="BM189" s="238">
        <v>0.86</v>
      </c>
      <c r="BN189" s="242">
        <v>2.2499999999999998E-3</v>
      </c>
      <c r="BO189" s="243">
        <v>0.95</v>
      </c>
      <c r="BP189" s="234">
        <v>1</v>
      </c>
      <c r="BQ189" s="242">
        <v>2.5000000000000001E-3</v>
      </c>
    </row>
    <row r="190" spans="1:69" s="211" customFormat="1" ht="22.35" customHeight="1" x14ac:dyDescent="0.2">
      <c r="A190" s="221" t="s">
        <v>221</v>
      </c>
      <c r="B190" s="221" t="s">
        <v>241</v>
      </c>
      <c r="C190" s="221" t="s">
        <v>255</v>
      </c>
      <c r="D190" s="222">
        <v>2.5112282917777802</v>
      </c>
      <c r="E190" s="223"/>
      <c r="F190" s="224">
        <v>7.0000000000000007E-2</v>
      </c>
      <c r="G190" s="224">
        <v>7.0000000000000007E-2</v>
      </c>
      <c r="H190" s="225"/>
      <c r="I190" s="226">
        <v>5</v>
      </c>
      <c r="J190" s="226">
        <v>5</v>
      </c>
      <c r="K190" s="223"/>
      <c r="L190" s="227">
        <v>322.61516</v>
      </c>
      <c r="M190" s="227">
        <v>-119.23690999999999</v>
      </c>
      <c r="N190" s="227">
        <v>203.37825000000001</v>
      </c>
      <c r="O190" s="222">
        <v>80.987559221874704</v>
      </c>
      <c r="P190" s="228">
        <v>233.029</v>
      </c>
      <c r="Q190" s="229">
        <v>0.347542834676691</v>
      </c>
      <c r="R190" s="230">
        <v>-435.64815722431501</v>
      </c>
      <c r="S190" s="224"/>
      <c r="T190" s="224"/>
      <c r="U190" s="231">
        <v>382</v>
      </c>
      <c r="V190" s="232">
        <v>499</v>
      </c>
      <c r="W190" s="223"/>
      <c r="X190" s="231">
        <v>2033.4898499999999</v>
      </c>
      <c r="Y190" s="222">
        <v>809.75905562151399</v>
      </c>
      <c r="Z190" s="233">
        <v>573</v>
      </c>
      <c r="AA190" s="234">
        <v>1.41319206914749</v>
      </c>
      <c r="AB190" s="235">
        <v>462.17412818197499</v>
      </c>
      <c r="AC190" s="224">
        <v>0.02</v>
      </c>
      <c r="AD190" s="224">
        <v>0.02</v>
      </c>
      <c r="AE190" s="232">
        <v>0</v>
      </c>
      <c r="AF190" s="232">
        <v>0</v>
      </c>
      <c r="AG190" s="223"/>
      <c r="AH190" s="236">
        <v>197.8</v>
      </c>
      <c r="AI190" s="222">
        <v>78.766235888482697</v>
      </c>
      <c r="AJ190" s="237" t="s">
        <v>54</v>
      </c>
      <c r="AK190" s="234">
        <v>1.2502577125156</v>
      </c>
      <c r="AL190" s="235">
        <v>25.037538438855801</v>
      </c>
      <c r="AM190" s="224">
        <v>0.02</v>
      </c>
      <c r="AN190" s="224">
        <v>0.02</v>
      </c>
      <c r="AO190" s="232">
        <v>0</v>
      </c>
      <c r="AP190" s="232">
        <v>0</v>
      </c>
      <c r="AQ190" s="223"/>
      <c r="AR190" s="236">
        <v>48.4</v>
      </c>
      <c r="AS190" s="222">
        <v>19.273436890811801</v>
      </c>
      <c r="AT190" s="237" t="s">
        <v>55</v>
      </c>
      <c r="AU190" s="234">
        <v>1.20458980567573</v>
      </c>
      <c r="AV190" s="235">
        <v>4.5238192860586199</v>
      </c>
      <c r="AW190" s="224">
        <v>0.01</v>
      </c>
      <c r="AX190" s="224">
        <v>0.01</v>
      </c>
      <c r="AY190" s="232">
        <v>0</v>
      </c>
      <c r="AZ190" s="232">
        <v>0</v>
      </c>
      <c r="BA190" s="223"/>
      <c r="BB190" s="240">
        <v>136.19999999999999</v>
      </c>
      <c r="BC190" s="236">
        <v>54.236407118358699</v>
      </c>
      <c r="BD190" s="237" t="s">
        <v>56</v>
      </c>
      <c r="BE190" s="234">
        <v>1.69488772244871</v>
      </c>
      <c r="BF190" s="235">
        <v>48.447638572117199</v>
      </c>
      <c r="BG190" s="224">
        <v>0.02</v>
      </c>
      <c r="BH190" s="224">
        <v>0.02</v>
      </c>
      <c r="BI190" s="232">
        <v>0</v>
      </c>
      <c r="BJ190" s="232">
        <v>0</v>
      </c>
      <c r="BK190" s="225"/>
      <c r="BL190" s="241">
        <v>0.8</v>
      </c>
      <c r="BM190" s="244">
        <v>0.78</v>
      </c>
      <c r="BN190" s="242"/>
      <c r="BO190" s="243">
        <v>0.95</v>
      </c>
      <c r="BP190" s="234">
        <v>1</v>
      </c>
      <c r="BQ190" s="242">
        <v>2.5000000000000001E-3</v>
      </c>
    </row>
    <row r="191" spans="1:69" s="211" customFormat="1" ht="22.35" customHeight="1" x14ac:dyDescent="0.2">
      <c r="A191" s="221" t="s">
        <v>221</v>
      </c>
      <c r="B191" s="221" t="s">
        <v>241</v>
      </c>
      <c r="C191" s="221" t="s">
        <v>256</v>
      </c>
      <c r="D191" s="222">
        <v>3.5167137564444402</v>
      </c>
      <c r="E191" s="223"/>
      <c r="F191" s="224">
        <v>0.01</v>
      </c>
      <c r="G191" s="224">
        <v>0.01</v>
      </c>
      <c r="H191" s="225"/>
      <c r="I191" s="226">
        <v>3</v>
      </c>
      <c r="J191" s="226">
        <v>3</v>
      </c>
      <c r="K191" s="223"/>
      <c r="L191" s="227">
        <v>1691.1969899999999</v>
      </c>
      <c r="M191" s="227">
        <v>185.32139000000001</v>
      </c>
      <c r="N191" s="227">
        <v>1876.51838</v>
      </c>
      <c r="O191" s="222">
        <v>533.599977126726</v>
      </c>
      <c r="P191" s="228">
        <v>232.833</v>
      </c>
      <c r="Q191" s="234">
        <v>2.2917712571960398</v>
      </c>
      <c r="R191" s="235">
        <v>982.38112065278301</v>
      </c>
      <c r="S191" s="224">
        <v>0.01</v>
      </c>
      <c r="T191" s="224">
        <v>0.01</v>
      </c>
      <c r="U191" s="231">
        <v>0</v>
      </c>
      <c r="V191" s="232">
        <v>0</v>
      </c>
      <c r="W191" s="223"/>
      <c r="X191" s="231">
        <v>1459.57818</v>
      </c>
      <c r="Y191" s="222">
        <v>415.04037038138102</v>
      </c>
      <c r="Z191" s="233">
        <v>573</v>
      </c>
      <c r="AA191" s="244">
        <v>0.72432874412108395</v>
      </c>
      <c r="AB191" s="227">
        <v>-740.88588482738896</v>
      </c>
      <c r="AC191" s="224"/>
      <c r="AD191" s="224"/>
      <c r="AE191" s="232">
        <v>556</v>
      </c>
      <c r="AF191" s="232">
        <v>959</v>
      </c>
      <c r="AG191" s="223"/>
      <c r="AH191" s="236">
        <v>134.80000000000001</v>
      </c>
      <c r="AI191" s="222">
        <v>38.331240281634102</v>
      </c>
      <c r="AJ191" s="237" t="s">
        <v>54</v>
      </c>
      <c r="AK191" s="229">
        <v>0.60843238542276301</v>
      </c>
      <c r="AL191" s="230">
        <v>-107.135839588352</v>
      </c>
      <c r="AM191" s="224"/>
      <c r="AN191" s="224"/>
      <c r="AO191" s="232">
        <v>87</v>
      </c>
      <c r="AP191" s="232">
        <v>132</v>
      </c>
      <c r="AQ191" s="223"/>
      <c r="AR191" s="236">
        <v>31.4</v>
      </c>
      <c r="AS191" s="222">
        <v>8.9287903920126901</v>
      </c>
      <c r="AT191" s="237" t="s">
        <v>55</v>
      </c>
      <c r="AU191" s="229">
        <v>0.55804939950079302</v>
      </c>
      <c r="AV191" s="230">
        <v>-30.0440227525973</v>
      </c>
      <c r="AW191" s="224"/>
      <c r="AX191" s="224"/>
      <c r="AY191" s="232">
        <v>25</v>
      </c>
      <c r="AZ191" s="232">
        <v>37</v>
      </c>
      <c r="BA191" s="223"/>
      <c r="BB191" s="240">
        <v>101.4</v>
      </c>
      <c r="BC191" s="236">
        <v>28.833737125798901</v>
      </c>
      <c r="BD191" s="237" t="s">
        <v>56</v>
      </c>
      <c r="BE191" s="244">
        <v>0.901054285181217</v>
      </c>
      <c r="BF191" s="227">
        <v>-21.488045505194499</v>
      </c>
      <c r="BG191" s="224"/>
      <c r="BH191" s="224"/>
      <c r="BI191" s="232">
        <v>12</v>
      </c>
      <c r="BJ191" s="232">
        <v>34</v>
      </c>
      <c r="BK191" s="225"/>
      <c r="BL191" s="241">
        <v>0.8</v>
      </c>
      <c r="BM191" s="238">
        <v>0.86</v>
      </c>
      <c r="BN191" s="242">
        <v>2.2499999999999998E-3</v>
      </c>
      <c r="BO191" s="243">
        <v>0.95</v>
      </c>
      <c r="BP191" s="234">
        <v>1</v>
      </c>
      <c r="BQ191" s="242">
        <v>2.5000000000000001E-3</v>
      </c>
    </row>
    <row r="192" spans="1:69" s="211" customFormat="1" ht="22.35" customHeight="1" x14ac:dyDescent="0.2">
      <c r="A192" s="221" t="s">
        <v>221</v>
      </c>
      <c r="B192" s="221" t="s">
        <v>241</v>
      </c>
      <c r="C192" s="221" t="s">
        <v>257</v>
      </c>
      <c r="D192" s="222">
        <v>7.4460326411111097</v>
      </c>
      <c r="E192" s="223"/>
      <c r="F192" s="224">
        <v>0.03</v>
      </c>
      <c r="G192" s="224">
        <v>1.4999999999999999E-2</v>
      </c>
      <c r="H192" s="225"/>
      <c r="I192" s="226">
        <v>4</v>
      </c>
      <c r="J192" s="226">
        <v>3</v>
      </c>
      <c r="K192" s="223"/>
      <c r="L192" s="227">
        <v>5412.3044399999999</v>
      </c>
      <c r="M192" s="227">
        <v>4005.4218099999998</v>
      </c>
      <c r="N192" s="227">
        <v>9417.7262499999997</v>
      </c>
      <c r="O192" s="222">
        <v>1264.7978734343401</v>
      </c>
      <c r="P192" s="228">
        <v>247.167</v>
      </c>
      <c r="Q192" s="234">
        <v>5.1171793703623099</v>
      </c>
      <c r="R192" s="235">
        <v>7407.9946536123798</v>
      </c>
      <c r="S192" s="224">
        <v>0.01</v>
      </c>
      <c r="T192" s="224">
        <v>0.01</v>
      </c>
      <c r="U192" s="231">
        <v>0</v>
      </c>
      <c r="V192" s="232">
        <v>0</v>
      </c>
      <c r="W192" s="223"/>
      <c r="X192" s="231">
        <v>4067.36715</v>
      </c>
      <c r="Y192" s="222">
        <v>546.24621540647195</v>
      </c>
      <c r="Z192" s="233">
        <v>573</v>
      </c>
      <c r="AA192" s="238">
        <v>0.95330927645108499</v>
      </c>
      <c r="AB192" s="239">
        <v>-591.73461006547905</v>
      </c>
      <c r="AC192" s="224">
        <v>5.0000000000000001E-3</v>
      </c>
      <c r="AD192" s="224"/>
      <c r="AE192" s="232">
        <v>200</v>
      </c>
      <c r="AF192" s="232">
        <v>1053</v>
      </c>
      <c r="AG192" s="223"/>
      <c r="AH192" s="236">
        <v>414.5</v>
      </c>
      <c r="AI192" s="222">
        <v>55.6672284394052</v>
      </c>
      <c r="AJ192" s="237" t="s">
        <v>54</v>
      </c>
      <c r="AK192" s="244">
        <v>0.88360680062548003</v>
      </c>
      <c r="AL192" s="227">
        <v>-97.757261577879902</v>
      </c>
      <c r="AM192" s="224"/>
      <c r="AN192" s="224"/>
      <c r="AO192" s="232">
        <v>55</v>
      </c>
      <c r="AP192" s="232">
        <v>149</v>
      </c>
      <c r="AQ192" s="223"/>
      <c r="AR192" s="236">
        <v>106.8</v>
      </c>
      <c r="AS192" s="222">
        <v>14.3432086787177</v>
      </c>
      <c r="AT192" s="237" t="s">
        <v>55</v>
      </c>
      <c r="AU192" s="244">
        <v>0.896450542419854</v>
      </c>
      <c r="AV192" s="227">
        <v>-23.297082305493301</v>
      </c>
      <c r="AW192" s="224"/>
      <c r="AX192" s="224"/>
      <c r="AY192" s="232">
        <v>13</v>
      </c>
      <c r="AZ192" s="232">
        <v>37</v>
      </c>
      <c r="BA192" s="223"/>
      <c r="BB192" s="240">
        <v>249.4</v>
      </c>
      <c r="BC192" s="236">
        <v>33.494346858353801</v>
      </c>
      <c r="BD192" s="237" t="s">
        <v>56</v>
      </c>
      <c r="BE192" s="238">
        <v>1.04669833932356</v>
      </c>
      <c r="BF192" s="239">
        <v>-10.7941646109867</v>
      </c>
      <c r="BG192" s="224">
        <v>1.4999999999999999E-2</v>
      </c>
      <c r="BH192" s="224">
        <v>5.0000000000000001E-3</v>
      </c>
      <c r="BI192" s="232">
        <v>0</v>
      </c>
      <c r="BJ192" s="232">
        <v>37</v>
      </c>
      <c r="BK192" s="225"/>
      <c r="BL192" s="241">
        <v>0.8</v>
      </c>
      <c r="BM192" s="244">
        <v>0.79</v>
      </c>
      <c r="BN192" s="242"/>
      <c r="BO192" s="243">
        <v>0.95</v>
      </c>
      <c r="BP192" s="234">
        <v>1</v>
      </c>
      <c r="BQ192" s="242">
        <v>2.5000000000000001E-3</v>
      </c>
    </row>
    <row r="193" spans="1:69" s="211" customFormat="1" ht="22.35" customHeight="1" x14ac:dyDescent="0.2">
      <c r="A193" s="221" t="s">
        <v>221</v>
      </c>
      <c r="B193" s="221" t="s">
        <v>241</v>
      </c>
      <c r="C193" s="221" t="s">
        <v>258</v>
      </c>
      <c r="D193" s="222">
        <v>10.895669111222199</v>
      </c>
      <c r="E193" s="223"/>
      <c r="F193" s="224">
        <v>0.08</v>
      </c>
      <c r="G193" s="224">
        <v>0.08</v>
      </c>
      <c r="H193" s="225"/>
      <c r="I193" s="226">
        <v>6</v>
      </c>
      <c r="J193" s="226">
        <v>6</v>
      </c>
      <c r="K193" s="223"/>
      <c r="L193" s="227">
        <v>10301.43117</v>
      </c>
      <c r="M193" s="227">
        <v>8164.0315300000002</v>
      </c>
      <c r="N193" s="227">
        <v>18465.4627</v>
      </c>
      <c r="O193" s="222">
        <v>1694.7525215299599</v>
      </c>
      <c r="P193" s="228">
        <v>236.7</v>
      </c>
      <c r="Q193" s="234">
        <v>7.1599177081958603</v>
      </c>
      <c r="R193" s="235">
        <v>15649.189372540101</v>
      </c>
      <c r="S193" s="224">
        <v>0.01</v>
      </c>
      <c r="T193" s="224">
        <v>0.01</v>
      </c>
      <c r="U193" s="231">
        <v>0</v>
      </c>
      <c r="V193" s="232">
        <v>0</v>
      </c>
      <c r="W193" s="223"/>
      <c r="X193" s="231">
        <v>16609.936594999999</v>
      </c>
      <c r="Y193" s="222">
        <v>1524.4531038385001</v>
      </c>
      <c r="Z193" s="233">
        <v>573</v>
      </c>
      <c r="AA193" s="234">
        <v>2.6604766210095998</v>
      </c>
      <c r="AB193" s="235">
        <v>9792.3421014024698</v>
      </c>
      <c r="AC193" s="224">
        <v>0.02</v>
      </c>
      <c r="AD193" s="224">
        <v>0.02</v>
      </c>
      <c r="AE193" s="232">
        <v>0</v>
      </c>
      <c r="AF193" s="232">
        <v>0</v>
      </c>
      <c r="AG193" s="223"/>
      <c r="AH193" s="236">
        <v>2066.4</v>
      </c>
      <c r="AI193" s="222">
        <v>189.65333646849399</v>
      </c>
      <c r="AJ193" s="237" t="s">
        <v>54</v>
      </c>
      <c r="AK193" s="234">
        <v>3.01037042013483</v>
      </c>
      <c r="AL193" s="235">
        <v>1316.8215478243601</v>
      </c>
      <c r="AM193" s="224">
        <v>0.02</v>
      </c>
      <c r="AN193" s="224">
        <v>0.02</v>
      </c>
      <c r="AO193" s="232">
        <v>0</v>
      </c>
      <c r="AP193" s="232">
        <v>0</v>
      </c>
      <c r="AQ193" s="223"/>
      <c r="AR193" s="236">
        <v>698.7</v>
      </c>
      <c r="AS193" s="222">
        <v>64.1263967240304</v>
      </c>
      <c r="AT193" s="237" t="s">
        <v>55</v>
      </c>
      <c r="AU193" s="234">
        <v>4.0078997952519</v>
      </c>
      <c r="AV193" s="235">
        <v>508.33086928872501</v>
      </c>
      <c r="AW193" s="224">
        <v>0.01</v>
      </c>
      <c r="AX193" s="224">
        <v>0.01</v>
      </c>
      <c r="AY193" s="232">
        <v>0</v>
      </c>
      <c r="AZ193" s="232">
        <v>0</v>
      </c>
      <c r="BA193" s="223"/>
      <c r="BB193" s="240">
        <v>1248.4000000000001</v>
      </c>
      <c r="BC193" s="236">
        <v>114.57763513708301</v>
      </c>
      <c r="BD193" s="237" t="s">
        <v>56</v>
      </c>
      <c r="BE193" s="234">
        <v>3.58055109803384</v>
      </c>
      <c r="BF193" s="235">
        <v>867.66173857745105</v>
      </c>
      <c r="BG193" s="224">
        <v>0.02</v>
      </c>
      <c r="BH193" s="224">
        <v>0.02</v>
      </c>
      <c r="BI193" s="232">
        <v>0</v>
      </c>
      <c r="BJ193" s="232">
        <v>0</v>
      </c>
      <c r="BK193" s="225"/>
      <c r="BL193" s="241">
        <v>0.8</v>
      </c>
      <c r="BM193" s="244">
        <v>0.77</v>
      </c>
      <c r="BN193" s="242"/>
      <c r="BO193" s="243">
        <v>0.95</v>
      </c>
      <c r="BP193" s="234">
        <v>1</v>
      </c>
      <c r="BQ193" s="242">
        <v>2.5000000000000001E-3</v>
      </c>
    </row>
    <row r="194" spans="1:69" s="211" customFormat="1" ht="22.35" customHeight="1" x14ac:dyDescent="0.2">
      <c r="A194" s="221" t="s">
        <v>221</v>
      </c>
      <c r="B194" s="221" t="s">
        <v>241</v>
      </c>
      <c r="C194" s="221" t="s">
        <v>259</v>
      </c>
      <c r="D194" s="222">
        <v>1.7385762385555601</v>
      </c>
      <c r="E194" s="223"/>
      <c r="F194" s="224">
        <v>2.1000000000000001E-2</v>
      </c>
      <c r="G194" s="224">
        <v>6.0000000000000001E-3</v>
      </c>
      <c r="H194" s="225"/>
      <c r="I194" s="226">
        <v>3</v>
      </c>
      <c r="J194" s="226">
        <v>3</v>
      </c>
      <c r="K194" s="223"/>
      <c r="L194" s="227">
        <v>677.33524</v>
      </c>
      <c r="M194" s="227">
        <v>-259.03789</v>
      </c>
      <c r="N194" s="227">
        <v>418.29734999999999</v>
      </c>
      <c r="O194" s="222">
        <v>240.59764577682799</v>
      </c>
      <c r="P194" s="228">
        <v>236.7</v>
      </c>
      <c r="Q194" s="238">
        <v>1.0164666065772201</v>
      </c>
      <c r="R194" s="239">
        <v>-31.083577267382299</v>
      </c>
      <c r="S194" s="224">
        <v>6.0000000000000001E-3</v>
      </c>
      <c r="T194" s="224">
        <v>1E-3</v>
      </c>
      <c r="U194" s="231">
        <v>0</v>
      </c>
      <c r="V194" s="232">
        <v>76</v>
      </c>
      <c r="W194" s="223"/>
      <c r="X194" s="231">
        <v>1042.5763449999999</v>
      </c>
      <c r="Y194" s="222">
        <v>599.67249170861396</v>
      </c>
      <c r="Z194" s="233">
        <v>573</v>
      </c>
      <c r="AA194" s="238">
        <v>1.0465488511494101</v>
      </c>
      <c r="AB194" s="239">
        <v>-45.278624684030802</v>
      </c>
      <c r="AC194" s="224">
        <v>1.4999999999999999E-2</v>
      </c>
      <c r="AD194" s="224">
        <v>5.0000000000000001E-3</v>
      </c>
      <c r="AE194" s="232">
        <v>0</v>
      </c>
      <c r="AF194" s="232">
        <v>153</v>
      </c>
      <c r="AG194" s="223"/>
      <c r="AH194" s="236">
        <v>77.650000000000006</v>
      </c>
      <c r="AI194" s="222">
        <v>44.662982432402998</v>
      </c>
      <c r="AJ194" s="237" t="s">
        <v>54</v>
      </c>
      <c r="AK194" s="229">
        <v>0.70893622908576104</v>
      </c>
      <c r="AL194" s="230">
        <v>-41.957090907668302</v>
      </c>
      <c r="AM194" s="224"/>
      <c r="AN194" s="224"/>
      <c r="AO194" s="232">
        <v>32</v>
      </c>
      <c r="AP194" s="232">
        <v>54</v>
      </c>
      <c r="AQ194" s="223"/>
      <c r="AR194" s="236">
        <v>7</v>
      </c>
      <c r="AS194" s="222">
        <v>4.0262830267459204</v>
      </c>
      <c r="AT194" s="237" t="s">
        <v>55</v>
      </c>
      <c r="AU194" s="229">
        <v>0.25164268917162003</v>
      </c>
      <c r="AV194" s="230">
        <v>-23.376404040042701</v>
      </c>
      <c r="AW194" s="224"/>
      <c r="AX194" s="224"/>
      <c r="AY194" s="232">
        <v>21</v>
      </c>
      <c r="AZ194" s="232">
        <v>27</v>
      </c>
      <c r="BA194" s="223"/>
      <c r="BB194" s="240">
        <v>49.6</v>
      </c>
      <c r="BC194" s="236">
        <v>28.5290911609425</v>
      </c>
      <c r="BD194" s="237" t="s">
        <v>56</v>
      </c>
      <c r="BE194" s="244">
        <v>0.891534098779454</v>
      </c>
      <c r="BF194" s="227">
        <v>-11.152808080085499</v>
      </c>
      <c r="BG194" s="224"/>
      <c r="BH194" s="224"/>
      <c r="BI194" s="232">
        <v>7</v>
      </c>
      <c r="BJ194" s="232">
        <v>18</v>
      </c>
      <c r="BK194" s="225"/>
      <c r="BL194" s="241">
        <v>0.8</v>
      </c>
      <c r="BM194" s="244">
        <v>0.75</v>
      </c>
      <c r="BN194" s="242"/>
      <c r="BO194" s="243">
        <v>0.95</v>
      </c>
      <c r="BP194" s="234">
        <v>1</v>
      </c>
      <c r="BQ194" s="242">
        <v>2.5000000000000001E-3</v>
      </c>
    </row>
    <row r="195" spans="1:69" s="211" customFormat="1" ht="22.35" customHeight="1" x14ac:dyDescent="0.2">
      <c r="A195" s="221" t="s">
        <v>221</v>
      </c>
      <c r="B195" s="221" t="s">
        <v>241</v>
      </c>
      <c r="C195" s="221" t="s">
        <v>260</v>
      </c>
      <c r="D195" s="222">
        <v>4.5380946794444403</v>
      </c>
      <c r="E195" s="223"/>
      <c r="F195" s="224">
        <v>0.06</v>
      </c>
      <c r="G195" s="224">
        <v>0.04</v>
      </c>
      <c r="H195" s="225"/>
      <c r="I195" s="226">
        <v>5</v>
      </c>
      <c r="J195" s="226">
        <v>4</v>
      </c>
      <c r="K195" s="223"/>
      <c r="L195" s="227">
        <v>3767.9607900000001</v>
      </c>
      <c r="M195" s="227">
        <v>1546.5056199999999</v>
      </c>
      <c r="N195" s="227">
        <v>5314.46641</v>
      </c>
      <c r="O195" s="222">
        <v>1171.0787864502199</v>
      </c>
      <c r="P195" s="228">
        <v>287.5</v>
      </c>
      <c r="Q195" s="234">
        <v>4.0733175180877197</v>
      </c>
      <c r="R195" s="235">
        <v>3889.7315853884202</v>
      </c>
      <c r="S195" s="224">
        <v>0.01</v>
      </c>
      <c r="T195" s="224">
        <v>0.01</v>
      </c>
      <c r="U195" s="231">
        <v>0</v>
      </c>
      <c r="V195" s="232">
        <v>0</v>
      </c>
      <c r="W195" s="223"/>
      <c r="X195" s="231">
        <v>2596.271585</v>
      </c>
      <c r="Y195" s="222">
        <v>572.10608601005094</v>
      </c>
      <c r="Z195" s="233">
        <v>573</v>
      </c>
      <c r="AA195" s="238">
        <v>0.99843994068071795</v>
      </c>
      <c r="AB195" s="239">
        <v>-243.286865443257</v>
      </c>
      <c r="AC195" s="224">
        <v>0.01</v>
      </c>
      <c r="AD195" s="224">
        <v>0</v>
      </c>
      <c r="AE195" s="232">
        <v>5</v>
      </c>
      <c r="AF195" s="232">
        <v>525</v>
      </c>
      <c r="AG195" s="223"/>
      <c r="AH195" s="236">
        <v>314.05</v>
      </c>
      <c r="AI195" s="222">
        <v>69.203051541103207</v>
      </c>
      <c r="AJ195" s="237" t="s">
        <v>54</v>
      </c>
      <c r="AK195" s="234">
        <v>1.09846113557307</v>
      </c>
      <c r="AL195" s="235">
        <v>1.84723843294029</v>
      </c>
      <c r="AM195" s="224">
        <v>0.02</v>
      </c>
      <c r="AN195" s="224">
        <v>0.01</v>
      </c>
      <c r="AO195" s="232">
        <v>0</v>
      </c>
      <c r="AP195" s="232">
        <v>30</v>
      </c>
      <c r="AQ195" s="223"/>
      <c r="AR195" s="236">
        <v>55.4</v>
      </c>
      <c r="AS195" s="222">
        <v>12.2077664555871</v>
      </c>
      <c r="AT195" s="237" t="s">
        <v>55</v>
      </c>
      <c r="AU195" s="244">
        <v>0.76298540347419097</v>
      </c>
      <c r="AV195" s="227">
        <v>-23.889590239253302</v>
      </c>
      <c r="AW195" s="224"/>
      <c r="AX195" s="224"/>
      <c r="AY195" s="232">
        <v>18</v>
      </c>
      <c r="AZ195" s="232">
        <v>32</v>
      </c>
      <c r="BA195" s="223"/>
      <c r="BB195" s="240">
        <v>188.8</v>
      </c>
      <c r="BC195" s="236">
        <v>41.603362938895998</v>
      </c>
      <c r="BD195" s="237" t="s">
        <v>56</v>
      </c>
      <c r="BE195" s="234">
        <v>1.3001050918404999</v>
      </c>
      <c r="BF195" s="235">
        <v>30.2208195214935</v>
      </c>
      <c r="BG195" s="224">
        <v>0.02</v>
      </c>
      <c r="BH195" s="224">
        <v>0.02</v>
      </c>
      <c r="BI195" s="232">
        <v>0</v>
      </c>
      <c r="BJ195" s="232">
        <v>0</v>
      </c>
      <c r="BK195" s="225"/>
      <c r="BL195" s="241">
        <v>0.8</v>
      </c>
      <c r="BM195" s="244">
        <v>0.73</v>
      </c>
      <c r="BN195" s="242"/>
      <c r="BO195" s="243">
        <v>0.95</v>
      </c>
      <c r="BP195" s="234">
        <v>1</v>
      </c>
      <c r="BQ195" s="242">
        <v>2.5000000000000001E-3</v>
      </c>
    </row>
    <row r="196" spans="1:69" s="211" customFormat="1" ht="22.35" customHeight="1" x14ac:dyDescent="0.2">
      <c r="A196" s="221" t="s">
        <v>221</v>
      </c>
      <c r="B196" s="221" t="s">
        <v>261</v>
      </c>
      <c r="C196" s="221" t="s">
        <v>262</v>
      </c>
      <c r="D196" s="222">
        <v>9.6008684323333302</v>
      </c>
      <c r="E196" s="223"/>
      <c r="F196" s="224">
        <v>2.4E-2</v>
      </c>
      <c r="G196" s="224">
        <v>1.4E-2</v>
      </c>
      <c r="H196" s="225"/>
      <c r="I196" s="226">
        <v>3</v>
      </c>
      <c r="J196" s="226">
        <v>3</v>
      </c>
      <c r="K196" s="223"/>
      <c r="L196" s="227">
        <v>5148.34238</v>
      </c>
      <c r="M196" s="227">
        <v>1563.25494</v>
      </c>
      <c r="N196" s="227">
        <v>6711.5973199999999</v>
      </c>
      <c r="O196" s="222">
        <v>699.06148254224695</v>
      </c>
      <c r="P196" s="228">
        <v>270.3</v>
      </c>
      <c r="Q196" s="234">
        <v>2.5862429986764601</v>
      </c>
      <c r="R196" s="235">
        <v>3877.7320269124102</v>
      </c>
      <c r="S196" s="224">
        <v>0.01</v>
      </c>
      <c r="T196" s="224">
        <v>0.01</v>
      </c>
      <c r="U196" s="231">
        <v>0</v>
      </c>
      <c r="V196" s="232">
        <v>0</v>
      </c>
      <c r="W196" s="223"/>
      <c r="X196" s="231">
        <v>4920.4223650000004</v>
      </c>
      <c r="Y196" s="222">
        <v>512.49763494615195</v>
      </c>
      <c r="Z196" s="233">
        <v>573</v>
      </c>
      <c r="AA196" s="244">
        <v>0.89441123027251601</v>
      </c>
      <c r="AB196" s="227">
        <v>-1086.9946270058799</v>
      </c>
      <c r="AC196" s="224"/>
      <c r="AD196" s="224"/>
      <c r="AE196" s="232">
        <v>581</v>
      </c>
      <c r="AF196" s="232">
        <v>1682</v>
      </c>
      <c r="AG196" s="223"/>
      <c r="AH196" s="236">
        <v>466.6</v>
      </c>
      <c r="AI196" s="222">
        <v>48.599770248762901</v>
      </c>
      <c r="AJ196" s="237" t="s">
        <v>54</v>
      </c>
      <c r="AK196" s="244">
        <v>0.77142492458353695</v>
      </c>
      <c r="AL196" s="227">
        <v>-193.90134467080401</v>
      </c>
      <c r="AM196" s="224"/>
      <c r="AN196" s="224"/>
      <c r="AO196" s="232">
        <v>139</v>
      </c>
      <c r="AP196" s="232">
        <v>260</v>
      </c>
      <c r="AQ196" s="223"/>
      <c r="AR196" s="236">
        <v>84.8</v>
      </c>
      <c r="AS196" s="222">
        <v>8.8325343272505101</v>
      </c>
      <c r="AT196" s="237" t="s">
        <v>55</v>
      </c>
      <c r="AU196" s="229">
        <v>0.55203339545315699</v>
      </c>
      <c r="AV196" s="230">
        <v>-82.946373249727998</v>
      </c>
      <c r="AW196" s="224"/>
      <c r="AX196" s="224"/>
      <c r="AY196" s="232">
        <v>69</v>
      </c>
      <c r="AZ196" s="232">
        <v>100</v>
      </c>
      <c r="BA196" s="223"/>
      <c r="BB196" s="240">
        <v>318.60000000000002</v>
      </c>
      <c r="BC196" s="236">
        <v>33.184498073844502</v>
      </c>
      <c r="BD196" s="237" t="s">
        <v>56</v>
      </c>
      <c r="BE196" s="238">
        <v>1.03701556480764</v>
      </c>
      <c r="BF196" s="239">
        <v>-16.8927464994559</v>
      </c>
      <c r="BG196" s="224">
        <v>1.4E-2</v>
      </c>
      <c r="BH196" s="224">
        <v>4.0000000000000001E-3</v>
      </c>
      <c r="BI196" s="232">
        <v>0</v>
      </c>
      <c r="BJ196" s="232">
        <v>51</v>
      </c>
      <c r="BK196" s="225"/>
      <c r="BL196" s="241">
        <v>0.8</v>
      </c>
      <c r="BM196" s="244">
        <v>0.71</v>
      </c>
      <c r="BN196" s="242"/>
      <c r="BO196" s="243">
        <v>0.95</v>
      </c>
      <c r="BP196" s="234">
        <v>1</v>
      </c>
      <c r="BQ196" s="242">
        <v>2.5000000000000001E-3</v>
      </c>
    </row>
    <row r="197" spans="1:69" s="211" customFormat="1" ht="22.35" customHeight="1" x14ac:dyDescent="0.2">
      <c r="A197" s="221" t="s">
        <v>221</v>
      </c>
      <c r="B197" s="221" t="s">
        <v>261</v>
      </c>
      <c r="C197" s="221" t="s">
        <v>263</v>
      </c>
      <c r="D197" s="222">
        <v>4.5932318577777798</v>
      </c>
      <c r="E197" s="223"/>
      <c r="F197" s="224">
        <v>1.7000000000000001E-2</v>
      </c>
      <c r="G197" s="224">
        <v>0.01</v>
      </c>
      <c r="H197" s="225"/>
      <c r="I197" s="226">
        <v>5</v>
      </c>
      <c r="J197" s="226">
        <v>3</v>
      </c>
      <c r="K197" s="223"/>
      <c r="L197" s="227">
        <v>1825.9501299999999</v>
      </c>
      <c r="M197" s="227">
        <v>2423.0219299999999</v>
      </c>
      <c r="N197" s="227">
        <v>4248.9720600000001</v>
      </c>
      <c r="O197" s="222">
        <v>925.05063788695099</v>
      </c>
      <c r="P197" s="228">
        <v>214.857</v>
      </c>
      <c r="Q197" s="234">
        <v>4.30542471451687</v>
      </c>
      <c r="R197" s="235">
        <v>3171.2903451449201</v>
      </c>
      <c r="S197" s="224">
        <v>0.01</v>
      </c>
      <c r="T197" s="224">
        <v>0.01</v>
      </c>
      <c r="U197" s="231">
        <v>0</v>
      </c>
      <c r="V197" s="232">
        <v>0</v>
      </c>
      <c r="W197" s="223"/>
      <c r="X197" s="231">
        <v>2547.8084650000001</v>
      </c>
      <c r="Y197" s="222">
        <v>554.687536769075</v>
      </c>
      <c r="Z197" s="233">
        <v>573</v>
      </c>
      <c r="AA197" s="238">
        <v>0.96804107638582104</v>
      </c>
      <c r="AB197" s="239">
        <v>-326.25020012128101</v>
      </c>
      <c r="AC197" s="224">
        <v>6.0000000000000001E-3</v>
      </c>
      <c r="AD197" s="224"/>
      <c r="AE197" s="232">
        <v>85</v>
      </c>
      <c r="AF197" s="232">
        <v>611</v>
      </c>
      <c r="AG197" s="223"/>
      <c r="AH197" s="236">
        <v>224.15</v>
      </c>
      <c r="AI197" s="222">
        <v>48.8000621219336</v>
      </c>
      <c r="AJ197" s="237" t="s">
        <v>54</v>
      </c>
      <c r="AK197" s="244">
        <v>0.774604160665612</v>
      </c>
      <c r="AL197" s="227">
        <v>-91.845978887680104</v>
      </c>
      <c r="AM197" s="224"/>
      <c r="AN197" s="224"/>
      <c r="AO197" s="232">
        <v>66</v>
      </c>
      <c r="AP197" s="232">
        <v>124</v>
      </c>
      <c r="AQ197" s="223"/>
      <c r="AR197" s="236">
        <v>27.6</v>
      </c>
      <c r="AS197" s="222">
        <v>6.00884101969827</v>
      </c>
      <c r="AT197" s="237" t="s">
        <v>55</v>
      </c>
      <c r="AU197" s="229">
        <v>0.37555256373114199</v>
      </c>
      <c r="AV197" s="230">
        <v>-52.652947019093403</v>
      </c>
      <c r="AW197" s="224"/>
      <c r="AX197" s="224"/>
      <c r="AY197" s="232">
        <v>46</v>
      </c>
      <c r="AZ197" s="232">
        <v>61</v>
      </c>
      <c r="BA197" s="223"/>
      <c r="BB197" s="240">
        <v>134</v>
      </c>
      <c r="BC197" s="236">
        <v>29.173358573897399</v>
      </c>
      <c r="BD197" s="237" t="s">
        <v>56</v>
      </c>
      <c r="BE197" s="238">
        <v>0.91166745543429295</v>
      </c>
      <c r="BF197" s="239">
        <v>-26.5058940381867</v>
      </c>
      <c r="BG197" s="224">
        <v>1E-3</v>
      </c>
      <c r="BH197" s="224"/>
      <c r="BI197" s="232">
        <v>13</v>
      </c>
      <c r="BJ197" s="232">
        <v>43</v>
      </c>
      <c r="BK197" s="225"/>
      <c r="BL197" s="241">
        <v>0.8</v>
      </c>
      <c r="BM197" s="238">
        <v>0.81</v>
      </c>
      <c r="BN197" s="242">
        <v>3.7500000000000001E-4</v>
      </c>
      <c r="BO197" s="243">
        <v>0.95</v>
      </c>
      <c r="BP197" s="234">
        <v>1</v>
      </c>
      <c r="BQ197" s="242">
        <v>2.5000000000000001E-3</v>
      </c>
    </row>
    <row r="198" spans="1:69" s="211" customFormat="1" ht="22.35" customHeight="1" x14ac:dyDescent="0.2">
      <c r="A198" s="221" t="s">
        <v>221</v>
      </c>
      <c r="B198" s="221" t="s">
        <v>261</v>
      </c>
      <c r="C198" s="221" t="s">
        <v>264</v>
      </c>
      <c r="D198" s="222">
        <v>1.9563433723333301</v>
      </c>
      <c r="E198" s="223"/>
      <c r="F198" s="224">
        <v>4.2000000000000003E-2</v>
      </c>
      <c r="G198" s="224">
        <v>2.8000000000000001E-2</v>
      </c>
      <c r="H198" s="225"/>
      <c r="I198" s="226">
        <v>5</v>
      </c>
      <c r="J198" s="226">
        <v>5</v>
      </c>
      <c r="K198" s="223"/>
      <c r="L198" s="227">
        <v>303.43943999999999</v>
      </c>
      <c r="M198" s="227">
        <v>1727.5340900000001</v>
      </c>
      <c r="N198" s="227">
        <v>2030.97353</v>
      </c>
      <c r="O198" s="222">
        <v>1038.14778055943</v>
      </c>
      <c r="P198" s="228">
        <v>241.29400000000001</v>
      </c>
      <c r="Q198" s="234">
        <v>4.3024185456722099</v>
      </c>
      <c r="R198" s="235">
        <v>1515.4906518892899</v>
      </c>
      <c r="S198" s="224">
        <v>0.01</v>
      </c>
      <c r="T198" s="224">
        <v>0.01</v>
      </c>
      <c r="U198" s="231">
        <v>0</v>
      </c>
      <c r="V198" s="232">
        <v>0</v>
      </c>
      <c r="W198" s="223"/>
      <c r="X198" s="231">
        <v>1296.9192350000001</v>
      </c>
      <c r="Y198" s="222">
        <v>662.93026742701204</v>
      </c>
      <c r="Z198" s="233">
        <v>573</v>
      </c>
      <c r="AA198" s="234">
        <v>1.1569463654921699</v>
      </c>
      <c r="AB198" s="235">
        <v>72.803885437078193</v>
      </c>
      <c r="AC198" s="224">
        <v>0.02</v>
      </c>
      <c r="AD198" s="224">
        <v>1.6E-2</v>
      </c>
      <c r="AE198" s="232">
        <v>0</v>
      </c>
      <c r="AF198" s="232">
        <v>49</v>
      </c>
      <c r="AG198" s="223"/>
      <c r="AH198" s="236">
        <v>103.8</v>
      </c>
      <c r="AI198" s="222">
        <v>53.0581703948002</v>
      </c>
      <c r="AJ198" s="237" t="s">
        <v>54</v>
      </c>
      <c r="AK198" s="244">
        <v>0.84219318086984396</v>
      </c>
      <c r="AL198" s="227">
        <v>-30.788598643043802</v>
      </c>
      <c r="AM198" s="224"/>
      <c r="AN198" s="224"/>
      <c r="AO198" s="232">
        <v>20</v>
      </c>
      <c r="AP198" s="232">
        <v>45</v>
      </c>
      <c r="AQ198" s="223"/>
      <c r="AR198" s="236">
        <v>3.8</v>
      </c>
      <c r="AS198" s="222">
        <v>1.94239930154374</v>
      </c>
      <c r="AT198" s="237" t="s">
        <v>55</v>
      </c>
      <c r="AU198" s="229">
        <v>0.121399956346484</v>
      </c>
      <c r="AV198" s="230">
        <v>-30.381231401407899</v>
      </c>
      <c r="AW198" s="224"/>
      <c r="AX198" s="224"/>
      <c r="AY198" s="232">
        <v>28</v>
      </c>
      <c r="AZ198" s="232">
        <v>34</v>
      </c>
      <c r="BA198" s="223"/>
      <c r="BB198" s="240">
        <v>63.8</v>
      </c>
      <c r="BC198" s="236">
        <v>32.611861957497602</v>
      </c>
      <c r="BD198" s="237" t="s">
        <v>56</v>
      </c>
      <c r="BE198" s="238">
        <v>1.0191206861718001</v>
      </c>
      <c r="BF198" s="239">
        <v>-4.5624628028158796</v>
      </c>
      <c r="BG198" s="224">
        <v>1.2E-2</v>
      </c>
      <c r="BH198" s="224">
        <v>2E-3</v>
      </c>
      <c r="BI198" s="232">
        <v>0</v>
      </c>
      <c r="BJ198" s="232">
        <v>12</v>
      </c>
      <c r="BK198" s="225"/>
      <c r="BL198" s="241">
        <v>0.8</v>
      </c>
      <c r="BM198" s="238">
        <v>0.83</v>
      </c>
      <c r="BN198" s="242">
        <v>1.1249999999999999E-3</v>
      </c>
      <c r="BO198" s="243">
        <v>0.95</v>
      </c>
      <c r="BP198" s="234">
        <v>1</v>
      </c>
      <c r="BQ198" s="242">
        <v>2.5000000000000001E-3</v>
      </c>
    </row>
    <row r="199" spans="1:69" s="211" customFormat="1" ht="22.35" customHeight="1" x14ac:dyDescent="0.2">
      <c r="A199" s="221" t="s">
        <v>221</v>
      </c>
      <c r="B199" s="221" t="s">
        <v>261</v>
      </c>
      <c r="C199" s="221" t="s">
        <v>265</v>
      </c>
      <c r="D199" s="222">
        <v>2.6404956531111101</v>
      </c>
      <c r="E199" s="223"/>
      <c r="F199" s="224">
        <v>0.01</v>
      </c>
      <c r="G199" s="224">
        <v>0.01</v>
      </c>
      <c r="H199" s="225"/>
      <c r="I199" s="226">
        <v>2</v>
      </c>
      <c r="J199" s="226">
        <v>2</v>
      </c>
      <c r="K199" s="223"/>
      <c r="L199" s="227">
        <v>-450.04138999999998</v>
      </c>
      <c r="M199" s="227">
        <v>1647.8985600000001</v>
      </c>
      <c r="N199" s="227">
        <v>1197.85717</v>
      </c>
      <c r="O199" s="222">
        <v>453.64860517329299</v>
      </c>
      <c r="P199" s="228">
        <v>244.16499999999999</v>
      </c>
      <c r="Q199" s="234">
        <v>1.8579591881444699</v>
      </c>
      <c r="R199" s="235">
        <v>493.826619713073</v>
      </c>
      <c r="S199" s="224">
        <v>0.01</v>
      </c>
      <c r="T199" s="224">
        <v>0.01</v>
      </c>
      <c r="U199" s="231">
        <v>0</v>
      </c>
      <c r="V199" s="232">
        <v>0</v>
      </c>
      <c r="W199" s="223"/>
      <c r="X199" s="231">
        <v>1211.6740950000001</v>
      </c>
      <c r="Y199" s="222">
        <v>458.88130645940203</v>
      </c>
      <c r="Z199" s="233">
        <v>573</v>
      </c>
      <c r="AA199" s="244">
        <v>0.80083997636894</v>
      </c>
      <c r="AB199" s="227">
        <v>-440.52628308207102</v>
      </c>
      <c r="AC199" s="224"/>
      <c r="AD199" s="224"/>
      <c r="AE199" s="232">
        <v>302</v>
      </c>
      <c r="AF199" s="232">
        <v>604</v>
      </c>
      <c r="AG199" s="223"/>
      <c r="AH199" s="236">
        <v>103.7</v>
      </c>
      <c r="AI199" s="222">
        <v>39.2729296402429</v>
      </c>
      <c r="AJ199" s="237" t="s">
        <v>54</v>
      </c>
      <c r="AK199" s="229">
        <v>0.62337983555941201</v>
      </c>
      <c r="AL199" s="230">
        <v>-77.955538951431905</v>
      </c>
      <c r="AM199" s="224"/>
      <c r="AN199" s="224"/>
      <c r="AO199" s="232">
        <v>63</v>
      </c>
      <c r="AP199" s="232">
        <v>96</v>
      </c>
      <c r="AQ199" s="223"/>
      <c r="AR199" s="236">
        <v>11.8</v>
      </c>
      <c r="AS199" s="222">
        <v>4.4688579532774</v>
      </c>
      <c r="AT199" s="237" t="s">
        <v>55</v>
      </c>
      <c r="AU199" s="229">
        <v>0.279303622079837</v>
      </c>
      <c r="AV199" s="230">
        <v>-34.334740051157297</v>
      </c>
      <c r="AW199" s="224"/>
      <c r="AX199" s="224"/>
      <c r="AY199" s="232">
        <v>31</v>
      </c>
      <c r="AZ199" s="232">
        <v>39</v>
      </c>
      <c r="BA199" s="223"/>
      <c r="BB199" s="240">
        <v>75.2</v>
      </c>
      <c r="BC199" s="236">
        <v>28.479501532750898</v>
      </c>
      <c r="BD199" s="237" t="s">
        <v>56</v>
      </c>
      <c r="BE199" s="244">
        <v>0.88998442289846602</v>
      </c>
      <c r="BF199" s="227">
        <v>-17.0694801023146</v>
      </c>
      <c r="BG199" s="224"/>
      <c r="BH199" s="224"/>
      <c r="BI199" s="232">
        <v>10</v>
      </c>
      <c r="BJ199" s="232">
        <v>27</v>
      </c>
      <c r="BK199" s="225"/>
      <c r="BL199" s="241">
        <v>0.8</v>
      </c>
      <c r="BM199" s="244">
        <v>0.74</v>
      </c>
      <c r="BN199" s="242"/>
      <c r="BO199" s="243">
        <v>0.95</v>
      </c>
      <c r="BP199" s="234">
        <v>1</v>
      </c>
      <c r="BQ199" s="242">
        <v>2.5000000000000001E-3</v>
      </c>
    </row>
    <row r="200" spans="1:69" s="211" customFormat="1" ht="22.35" customHeight="1" x14ac:dyDescent="0.2">
      <c r="A200" s="221" t="s">
        <v>221</v>
      </c>
      <c r="B200" s="221" t="s">
        <v>261</v>
      </c>
      <c r="C200" s="221" t="s">
        <v>266</v>
      </c>
      <c r="D200" s="222">
        <v>2.692140728</v>
      </c>
      <c r="E200" s="223"/>
      <c r="F200" s="224">
        <v>4.9000000000000002E-2</v>
      </c>
      <c r="G200" s="224">
        <v>3.1E-2</v>
      </c>
      <c r="H200" s="225"/>
      <c r="I200" s="226">
        <v>6</v>
      </c>
      <c r="J200" s="226">
        <v>5</v>
      </c>
      <c r="K200" s="223"/>
      <c r="L200" s="227">
        <v>946.32518000000005</v>
      </c>
      <c r="M200" s="227">
        <v>245.24688</v>
      </c>
      <c r="N200" s="227">
        <v>1191.57206</v>
      </c>
      <c r="O200" s="222">
        <v>442.61135668239098</v>
      </c>
      <c r="P200" s="228">
        <v>217.55099999999999</v>
      </c>
      <c r="Q200" s="234">
        <v>2.0345176840482999</v>
      </c>
      <c r="R200" s="235">
        <v>552.01178499129605</v>
      </c>
      <c r="S200" s="224">
        <v>0.01</v>
      </c>
      <c r="T200" s="224">
        <v>0.01</v>
      </c>
      <c r="U200" s="231">
        <v>0</v>
      </c>
      <c r="V200" s="232">
        <v>0</v>
      </c>
      <c r="W200" s="223"/>
      <c r="X200" s="231">
        <v>1661.18706</v>
      </c>
      <c r="Y200" s="222">
        <v>617.05060315851404</v>
      </c>
      <c r="Z200" s="233">
        <v>573</v>
      </c>
      <c r="AA200" s="238">
        <v>1.0768771433830999</v>
      </c>
      <c r="AB200" s="239">
        <v>-23.328467761248</v>
      </c>
      <c r="AC200" s="224">
        <v>1.7999999999999999E-2</v>
      </c>
      <c r="AD200" s="224">
        <v>8.0000000000000002E-3</v>
      </c>
      <c r="AE200" s="232">
        <v>0</v>
      </c>
      <c r="AF200" s="232">
        <v>190</v>
      </c>
      <c r="AG200" s="223"/>
      <c r="AH200" s="236">
        <v>155.9</v>
      </c>
      <c r="AI200" s="222">
        <v>57.909305549498001</v>
      </c>
      <c r="AJ200" s="237" t="s">
        <v>54</v>
      </c>
      <c r="AK200" s="238">
        <v>0.91919532618250799</v>
      </c>
      <c r="AL200" s="239">
        <v>-29.308513523487999</v>
      </c>
      <c r="AM200" s="224">
        <v>1E-3</v>
      </c>
      <c r="AN200" s="224"/>
      <c r="AO200" s="232">
        <v>14</v>
      </c>
      <c r="AP200" s="232">
        <v>48</v>
      </c>
      <c r="AQ200" s="223"/>
      <c r="AR200" s="236">
        <v>21.8</v>
      </c>
      <c r="AS200" s="222">
        <v>8.0976450351446907</v>
      </c>
      <c r="AT200" s="237" t="s">
        <v>55</v>
      </c>
      <c r="AU200" s="229">
        <v>0.50610281469654295</v>
      </c>
      <c r="AV200" s="230">
        <v>-25.237082799616001</v>
      </c>
      <c r="AW200" s="224"/>
      <c r="AX200" s="224"/>
      <c r="AY200" s="232">
        <v>22</v>
      </c>
      <c r="AZ200" s="232">
        <v>30</v>
      </c>
      <c r="BA200" s="223"/>
      <c r="BB200" s="240">
        <v>97.4</v>
      </c>
      <c r="BC200" s="236">
        <v>36.179386533169399</v>
      </c>
      <c r="BD200" s="237" t="s">
        <v>56</v>
      </c>
      <c r="BE200" s="234">
        <v>1.13060582916154</v>
      </c>
      <c r="BF200" s="235">
        <v>3.3258344007680001</v>
      </c>
      <c r="BG200" s="224">
        <v>0.02</v>
      </c>
      <c r="BH200" s="224">
        <v>1.2999999999999999E-2</v>
      </c>
      <c r="BI200" s="232">
        <v>0</v>
      </c>
      <c r="BJ200" s="232">
        <v>6</v>
      </c>
      <c r="BK200" s="225"/>
      <c r="BL200" s="241">
        <v>0.8</v>
      </c>
      <c r="BM200" s="238">
        <v>0.81</v>
      </c>
      <c r="BN200" s="242">
        <v>3.7500000000000001E-4</v>
      </c>
      <c r="BO200" s="243">
        <v>0.95</v>
      </c>
      <c r="BP200" s="234">
        <v>1</v>
      </c>
      <c r="BQ200" s="242">
        <v>2.5000000000000001E-3</v>
      </c>
    </row>
    <row r="201" spans="1:69" s="211" customFormat="1" ht="22.35" customHeight="1" x14ac:dyDescent="0.2">
      <c r="A201" s="221" t="s">
        <v>221</v>
      </c>
      <c r="B201" s="221" t="s">
        <v>261</v>
      </c>
      <c r="C201" s="221" t="s">
        <v>267</v>
      </c>
      <c r="D201" s="222">
        <v>3.8745519713333301</v>
      </c>
      <c r="E201" s="223"/>
      <c r="F201" s="224">
        <v>0.03</v>
      </c>
      <c r="G201" s="224">
        <v>2.8000000000000001E-2</v>
      </c>
      <c r="H201" s="225"/>
      <c r="I201" s="226">
        <v>3</v>
      </c>
      <c r="J201" s="226">
        <v>3</v>
      </c>
      <c r="K201" s="223"/>
      <c r="L201" s="227">
        <v>2059.1996300000001</v>
      </c>
      <c r="M201" s="227">
        <v>2347.8413700000001</v>
      </c>
      <c r="N201" s="227">
        <v>4407.0410000000002</v>
      </c>
      <c r="O201" s="222">
        <v>1137.4324135039101</v>
      </c>
      <c r="P201" s="228">
        <v>234.35599999999999</v>
      </c>
      <c r="Q201" s="234">
        <v>4.8534384163576396</v>
      </c>
      <c r="R201" s="235">
        <v>3415.47824404118</v>
      </c>
      <c r="S201" s="224">
        <v>0.01</v>
      </c>
      <c r="T201" s="224">
        <v>0.01</v>
      </c>
      <c r="U201" s="231">
        <v>0</v>
      </c>
      <c r="V201" s="232">
        <v>0</v>
      </c>
      <c r="W201" s="223"/>
      <c r="X201" s="231">
        <v>2008.3856000000001</v>
      </c>
      <c r="Y201" s="222">
        <v>518.352990193305</v>
      </c>
      <c r="Z201" s="233">
        <v>573</v>
      </c>
      <c r="AA201" s="244">
        <v>0.90463000033735697</v>
      </c>
      <c r="AB201" s="227">
        <v>-415.98356129480601</v>
      </c>
      <c r="AC201" s="224"/>
      <c r="AD201" s="224"/>
      <c r="AE201" s="232">
        <v>212</v>
      </c>
      <c r="AF201" s="232">
        <v>656</v>
      </c>
      <c r="AG201" s="223"/>
      <c r="AH201" s="236">
        <v>221</v>
      </c>
      <c r="AI201" s="222">
        <v>57.038852913863003</v>
      </c>
      <c r="AJ201" s="237" t="s">
        <v>54</v>
      </c>
      <c r="AK201" s="244">
        <v>0.90537861768036498</v>
      </c>
      <c r="AL201" s="227">
        <v>-45.553677419847801</v>
      </c>
      <c r="AM201" s="224"/>
      <c r="AN201" s="224"/>
      <c r="AO201" s="232">
        <v>24</v>
      </c>
      <c r="AP201" s="232">
        <v>72</v>
      </c>
      <c r="AQ201" s="223"/>
      <c r="AR201" s="236">
        <v>30.6</v>
      </c>
      <c r="AS201" s="222">
        <v>7.8976873265348804</v>
      </c>
      <c r="AT201" s="237" t="s">
        <v>55</v>
      </c>
      <c r="AU201" s="229">
        <v>0.49360545790843002</v>
      </c>
      <c r="AV201" s="230">
        <v>-37.096172043135901</v>
      </c>
      <c r="AW201" s="224"/>
      <c r="AX201" s="224"/>
      <c r="AY201" s="232">
        <v>32</v>
      </c>
      <c r="AZ201" s="232">
        <v>44</v>
      </c>
      <c r="BA201" s="223"/>
      <c r="BB201" s="240">
        <v>146.19999999999999</v>
      </c>
      <c r="BC201" s="236">
        <v>37.733395004555497</v>
      </c>
      <c r="BD201" s="237" t="s">
        <v>56</v>
      </c>
      <c r="BE201" s="234">
        <v>1.17916859389236</v>
      </c>
      <c r="BF201" s="235">
        <v>10.8076559137281</v>
      </c>
      <c r="BG201" s="224">
        <v>0.02</v>
      </c>
      <c r="BH201" s="224">
        <v>1.7999999999999999E-2</v>
      </c>
      <c r="BI201" s="232">
        <v>0</v>
      </c>
      <c r="BJ201" s="232">
        <v>3</v>
      </c>
      <c r="BK201" s="225"/>
      <c r="BL201" s="241">
        <v>0.8</v>
      </c>
      <c r="BM201" s="244">
        <v>0.73</v>
      </c>
      <c r="BN201" s="242"/>
      <c r="BO201" s="243">
        <v>0.95</v>
      </c>
      <c r="BP201" s="234">
        <v>1</v>
      </c>
      <c r="BQ201" s="242">
        <v>2.5000000000000001E-3</v>
      </c>
    </row>
    <row r="202" spans="1:69" s="211" customFormat="1" ht="22.35" customHeight="1" x14ac:dyDescent="0.2">
      <c r="A202" s="221" t="s">
        <v>221</v>
      </c>
      <c r="B202" s="221" t="s">
        <v>261</v>
      </c>
      <c r="C202" s="221" t="s">
        <v>268</v>
      </c>
      <c r="D202" s="222">
        <v>3.2393056717777799</v>
      </c>
      <c r="E202" s="223"/>
      <c r="F202" s="224">
        <v>4.4999999999999998E-2</v>
      </c>
      <c r="G202" s="224">
        <v>2.8000000000000001E-2</v>
      </c>
      <c r="H202" s="225"/>
      <c r="I202" s="226">
        <v>5</v>
      </c>
      <c r="J202" s="226">
        <v>4</v>
      </c>
      <c r="K202" s="223"/>
      <c r="L202" s="227">
        <v>2424.6127799999999</v>
      </c>
      <c r="M202" s="227">
        <v>122.26648</v>
      </c>
      <c r="N202" s="227">
        <v>2546.8792600000002</v>
      </c>
      <c r="O202" s="222">
        <v>786.24233649498001</v>
      </c>
      <c r="P202" s="228">
        <v>251.035</v>
      </c>
      <c r="Q202" s="234">
        <v>3.1320028541636802</v>
      </c>
      <c r="R202" s="235">
        <v>1658.88768354831</v>
      </c>
      <c r="S202" s="224">
        <v>0.01</v>
      </c>
      <c r="T202" s="224">
        <v>0.01</v>
      </c>
      <c r="U202" s="231">
        <v>0</v>
      </c>
      <c r="V202" s="232">
        <v>0</v>
      </c>
      <c r="W202" s="223"/>
      <c r="X202" s="231">
        <v>1917.5867450000001</v>
      </c>
      <c r="Y202" s="222">
        <v>591.97462027336303</v>
      </c>
      <c r="Z202" s="233">
        <v>573</v>
      </c>
      <c r="AA202" s="238">
        <v>1.0331145205468799</v>
      </c>
      <c r="AB202" s="239">
        <v>-109.298642722105</v>
      </c>
      <c r="AC202" s="224">
        <v>1.4E-2</v>
      </c>
      <c r="AD202" s="224">
        <v>3.0000000000000001E-3</v>
      </c>
      <c r="AE202" s="232">
        <v>0</v>
      </c>
      <c r="AF202" s="232">
        <v>310</v>
      </c>
      <c r="AG202" s="223"/>
      <c r="AH202" s="236">
        <v>186.15</v>
      </c>
      <c r="AI202" s="222">
        <v>57.466018604486401</v>
      </c>
      <c r="AJ202" s="237" t="s">
        <v>54</v>
      </c>
      <c r="AK202" s="238">
        <v>0.91215902546803695</v>
      </c>
      <c r="AL202" s="239">
        <v>-36.701272995624201</v>
      </c>
      <c r="AM202" s="224">
        <v>1E-3</v>
      </c>
      <c r="AN202" s="224"/>
      <c r="AO202" s="232">
        <v>18</v>
      </c>
      <c r="AP202" s="232">
        <v>59</v>
      </c>
      <c r="AQ202" s="223"/>
      <c r="AR202" s="236">
        <v>33.1</v>
      </c>
      <c r="AS202" s="222">
        <v>10.2182391394494</v>
      </c>
      <c r="AT202" s="237" t="s">
        <v>55</v>
      </c>
      <c r="AU202" s="229">
        <v>0.63863994621558495</v>
      </c>
      <c r="AV202" s="230">
        <v>-23.497148697301402</v>
      </c>
      <c r="AW202" s="224"/>
      <c r="AX202" s="224"/>
      <c r="AY202" s="232">
        <v>19</v>
      </c>
      <c r="AZ202" s="232">
        <v>30</v>
      </c>
      <c r="BA202" s="223"/>
      <c r="BB202" s="240">
        <v>118.8</v>
      </c>
      <c r="BC202" s="236">
        <v>36.6745259748213</v>
      </c>
      <c r="BD202" s="237" t="s">
        <v>56</v>
      </c>
      <c r="BE202" s="234">
        <v>1.1460789367131601</v>
      </c>
      <c r="BF202" s="235">
        <v>5.6057026053972399</v>
      </c>
      <c r="BG202" s="224">
        <v>0.02</v>
      </c>
      <c r="BH202" s="224">
        <v>1.4999999999999999E-2</v>
      </c>
      <c r="BI202" s="232">
        <v>0</v>
      </c>
      <c r="BJ202" s="232">
        <v>6</v>
      </c>
      <c r="BK202" s="225"/>
      <c r="BL202" s="241">
        <v>0.8</v>
      </c>
      <c r="BM202" s="244">
        <v>0.74</v>
      </c>
      <c r="BN202" s="242"/>
      <c r="BO202" s="243">
        <v>0.95</v>
      </c>
      <c r="BP202" s="234">
        <v>1</v>
      </c>
      <c r="BQ202" s="242">
        <v>2.5000000000000001E-3</v>
      </c>
    </row>
    <row r="203" spans="1:69" s="211" customFormat="1" ht="22.35" customHeight="1" x14ac:dyDescent="0.2">
      <c r="A203" s="221" t="s">
        <v>221</v>
      </c>
      <c r="B203" s="221" t="s">
        <v>261</v>
      </c>
      <c r="C203" s="221" t="s">
        <v>269</v>
      </c>
      <c r="D203" s="222">
        <v>1.60228521777778</v>
      </c>
      <c r="E203" s="223"/>
      <c r="F203" s="224">
        <v>5.2999999999999999E-2</v>
      </c>
      <c r="G203" s="224">
        <v>0.05</v>
      </c>
      <c r="H203" s="225"/>
      <c r="I203" s="226">
        <v>5</v>
      </c>
      <c r="J203" s="226">
        <v>4</v>
      </c>
      <c r="K203" s="223"/>
      <c r="L203" s="227">
        <v>1407.8508899999999</v>
      </c>
      <c r="M203" s="227">
        <v>711.77932999999996</v>
      </c>
      <c r="N203" s="227">
        <v>2119.63022</v>
      </c>
      <c r="O203" s="222">
        <v>1322.87947019803</v>
      </c>
      <c r="P203" s="228">
        <v>221.102</v>
      </c>
      <c r="Q203" s="234">
        <v>5.9831185163319596</v>
      </c>
      <c r="R203" s="235">
        <v>1732.7690548865601</v>
      </c>
      <c r="S203" s="224">
        <v>0.01</v>
      </c>
      <c r="T203" s="224">
        <v>0.01</v>
      </c>
      <c r="U203" s="231">
        <v>0</v>
      </c>
      <c r="V203" s="232">
        <v>0</v>
      </c>
      <c r="W203" s="223"/>
      <c r="X203" s="231">
        <v>1481.09133</v>
      </c>
      <c r="Y203" s="222">
        <v>924.36185116538604</v>
      </c>
      <c r="Z203" s="233">
        <v>573</v>
      </c>
      <c r="AA203" s="234">
        <v>1.61319694793261</v>
      </c>
      <c r="AB203" s="235">
        <v>478.51583267295899</v>
      </c>
      <c r="AC203" s="224">
        <v>0.02</v>
      </c>
      <c r="AD203" s="224">
        <v>0.02</v>
      </c>
      <c r="AE203" s="232">
        <v>0</v>
      </c>
      <c r="AF203" s="232">
        <v>0</v>
      </c>
      <c r="AG203" s="223"/>
      <c r="AH203" s="236">
        <v>94.7</v>
      </c>
      <c r="AI203" s="222">
        <v>59.103085361631301</v>
      </c>
      <c r="AJ203" s="237" t="s">
        <v>54</v>
      </c>
      <c r="AK203" s="238">
        <v>0.93814421208938603</v>
      </c>
      <c r="AL203" s="239">
        <v>-15.5308138422402</v>
      </c>
      <c r="AM203" s="224">
        <v>3.0000000000000001E-3</v>
      </c>
      <c r="AN203" s="224"/>
      <c r="AO203" s="232">
        <v>7</v>
      </c>
      <c r="AP203" s="232">
        <v>27</v>
      </c>
      <c r="AQ203" s="223"/>
      <c r="AR203" s="236">
        <v>3</v>
      </c>
      <c r="AS203" s="222">
        <v>1.8723258298299299</v>
      </c>
      <c r="AT203" s="237" t="s">
        <v>55</v>
      </c>
      <c r="AU203" s="229">
        <v>0.11702036436437099</v>
      </c>
      <c r="AV203" s="230">
        <v>-24.995127325013399</v>
      </c>
      <c r="AW203" s="224"/>
      <c r="AX203" s="224"/>
      <c r="AY203" s="232">
        <v>23</v>
      </c>
      <c r="AZ203" s="232">
        <v>28</v>
      </c>
      <c r="BA203" s="223"/>
      <c r="BB203" s="240">
        <v>61.6</v>
      </c>
      <c r="BC203" s="236">
        <v>38.445090372507799</v>
      </c>
      <c r="BD203" s="237" t="s">
        <v>56</v>
      </c>
      <c r="BE203" s="234">
        <v>1.2014090741408701</v>
      </c>
      <c r="BF203" s="235">
        <v>5.6097453499732497</v>
      </c>
      <c r="BG203" s="224">
        <v>0.02</v>
      </c>
      <c r="BH203" s="224">
        <v>0.02</v>
      </c>
      <c r="BI203" s="232">
        <v>0</v>
      </c>
      <c r="BJ203" s="232">
        <v>0</v>
      </c>
      <c r="BK203" s="225"/>
      <c r="BL203" s="241">
        <v>0.8</v>
      </c>
      <c r="BM203" s="244">
        <v>0.79</v>
      </c>
      <c r="BN203" s="242"/>
      <c r="BO203" s="243">
        <v>0.95</v>
      </c>
      <c r="BP203" s="234">
        <v>1</v>
      </c>
      <c r="BQ203" s="242">
        <v>2.5000000000000001E-3</v>
      </c>
    </row>
    <row r="204" spans="1:69" s="211" customFormat="1" ht="22.35" customHeight="1" x14ac:dyDescent="0.2">
      <c r="A204" s="221" t="s">
        <v>221</v>
      </c>
      <c r="B204" s="221" t="s">
        <v>261</v>
      </c>
      <c r="C204" s="221" t="s">
        <v>270</v>
      </c>
      <c r="D204" s="222">
        <v>2.8902111342222199</v>
      </c>
      <c r="E204" s="223"/>
      <c r="F204" s="224">
        <v>0.03</v>
      </c>
      <c r="G204" s="224">
        <v>2.4E-2</v>
      </c>
      <c r="H204" s="225"/>
      <c r="I204" s="226">
        <v>4</v>
      </c>
      <c r="J204" s="226">
        <v>4</v>
      </c>
      <c r="K204" s="223"/>
      <c r="L204" s="227">
        <v>1599.75488</v>
      </c>
      <c r="M204" s="227">
        <v>978.95255999999995</v>
      </c>
      <c r="N204" s="227">
        <v>2578.7074400000001</v>
      </c>
      <c r="O204" s="222">
        <v>892.22112857645902</v>
      </c>
      <c r="P204" s="228">
        <v>220.88900000000001</v>
      </c>
      <c r="Q204" s="234">
        <v>4.0392284295572001</v>
      </c>
      <c r="R204" s="235">
        <v>1881.5573348278799</v>
      </c>
      <c r="S204" s="224">
        <v>0.01</v>
      </c>
      <c r="T204" s="224">
        <v>0.01</v>
      </c>
      <c r="U204" s="231">
        <v>0</v>
      </c>
      <c r="V204" s="232">
        <v>0</v>
      </c>
      <c r="W204" s="223"/>
      <c r="X204" s="231">
        <v>1885.0592349999999</v>
      </c>
      <c r="Y204" s="222">
        <v>652.22198222113104</v>
      </c>
      <c r="Z204" s="233">
        <v>573</v>
      </c>
      <c r="AA204" s="234">
        <v>1.13825825867562</v>
      </c>
      <c r="AB204" s="235">
        <v>76.607884939009594</v>
      </c>
      <c r="AC204" s="224">
        <v>0.02</v>
      </c>
      <c r="AD204" s="224">
        <v>1.4E-2</v>
      </c>
      <c r="AE204" s="232">
        <v>0</v>
      </c>
      <c r="AF204" s="232">
        <v>103</v>
      </c>
      <c r="AG204" s="223"/>
      <c r="AH204" s="236">
        <v>115.15</v>
      </c>
      <c r="AI204" s="222">
        <v>39.841379972742999</v>
      </c>
      <c r="AJ204" s="237" t="s">
        <v>54</v>
      </c>
      <c r="AK204" s="229">
        <v>0.63240285671020602</v>
      </c>
      <c r="AL204" s="230">
        <v>-83.684965189951797</v>
      </c>
      <c r="AM204" s="224"/>
      <c r="AN204" s="224"/>
      <c r="AO204" s="232">
        <v>67</v>
      </c>
      <c r="AP204" s="232">
        <v>104</v>
      </c>
      <c r="AQ204" s="223"/>
      <c r="AR204" s="236">
        <v>12.5</v>
      </c>
      <c r="AS204" s="222">
        <v>4.3249435489299799</v>
      </c>
      <c r="AT204" s="237" t="s">
        <v>55</v>
      </c>
      <c r="AU204" s="229">
        <v>0.27030897180812402</v>
      </c>
      <c r="AV204" s="230">
        <v>-37.997768937130601</v>
      </c>
      <c r="AW204" s="224"/>
      <c r="AX204" s="224"/>
      <c r="AY204" s="232">
        <v>34</v>
      </c>
      <c r="AZ204" s="232">
        <v>43</v>
      </c>
      <c r="BA204" s="223"/>
      <c r="BB204" s="240">
        <v>71.8</v>
      </c>
      <c r="BC204" s="236">
        <v>24.8424757450538</v>
      </c>
      <c r="BD204" s="237" t="s">
        <v>56</v>
      </c>
      <c r="BE204" s="244">
        <v>0.77632736703293104</v>
      </c>
      <c r="BF204" s="227">
        <v>-29.195537874261301</v>
      </c>
      <c r="BG204" s="224"/>
      <c r="BH204" s="224"/>
      <c r="BI204" s="232">
        <v>21</v>
      </c>
      <c r="BJ204" s="232">
        <v>40</v>
      </c>
      <c r="BK204" s="225"/>
      <c r="BL204" s="241">
        <v>0.8</v>
      </c>
      <c r="BM204" s="238">
        <v>0.82</v>
      </c>
      <c r="BN204" s="242">
        <v>7.5000000000000002E-4</v>
      </c>
      <c r="BO204" s="243">
        <v>0.95</v>
      </c>
      <c r="BP204" s="234">
        <v>1</v>
      </c>
      <c r="BQ204" s="242">
        <v>2.5000000000000001E-3</v>
      </c>
    </row>
    <row r="205" spans="1:69" s="211" customFormat="1" ht="22.35" customHeight="1" x14ac:dyDescent="0.2">
      <c r="A205" s="221" t="s">
        <v>221</v>
      </c>
      <c r="B205" s="221" t="s">
        <v>261</v>
      </c>
      <c r="C205" s="221" t="s">
        <v>271</v>
      </c>
      <c r="D205" s="222">
        <v>2.6579356497777802</v>
      </c>
      <c r="E205" s="223"/>
      <c r="F205" s="224">
        <v>5.6000000000000001E-2</v>
      </c>
      <c r="G205" s="224">
        <v>4.9000000000000002E-2</v>
      </c>
      <c r="H205" s="225"/>
      <c r="I205" s="226">
        <v>5</v>
      </c>
      <c r="J205" s="226">
        <v>4</v>
      </c>
      <c r="K205" s="223"/>
      <c r="L205" s="227">
        <v>788.83311000000003</v>
      </c>
      <c r="M205" s="227">
        <v>808.05768999999998</v>
      </c>
      <c r="N205" s="227">
        <v>1596.8907999999999</v>
      </c>
      <c r="O205" s="222">
        <v>600.80115187646095</v>
      </c>
      <c r="P205" s="228">
        <v>221.102</v>
      </c>
      <c r="Q205" s="234">
        <v>2.7173031084135899</v>
      </c>
      <c r="R205" s="235">
        <v>955.14982226341397</v>
      </c>
      <c r="S205" s="224">
        <v>0.01</v>
      </c>
      <c r="T205" s="224">
        <v>0.01</v>
      </c>
      <c r="U205" s="231">
        <v>0</v>
      </c>
      <c r="V205" s="232">
        <v>0</v>
      </c>
      <c r="W205" s="223"/>
      <c r="X205" s="231">
        <v>1805.5450249999999</v>
      </c>
      <c r="Y205" s="222">
        <v>679.30351329271502</v>
      </c>
      <c r="Z205" s="233">
        <v>573</v>
      </c>
      <c r="AA205" s="234">
        <v>1.18552096560683</v>
      </c>
      <c r="AB205" s="235">
        <v>142.43216196364699</v>
      </c>
      <c r="AC205" s="224">
        <v>0.02</v>
      </c>
      <c r="AD205" s="224">
        <v>1.9E-2</v>
      </c>
      <c r="AE205" s="232">
        <v>0</v>
      </c>
      <c r="AF205" s="232">
        <v>23</v>
      </c>
      <c r="AG205" s="223"/>
      <c r="AH205" s="236">
        <v>161.1</v>
      </c>
      <c r="AI205" s="222">
        <v>60.610948204659898</v>
      </c>
      <c r="AJ205" s="237" t="s">
        <v>54</v>
      </c>
      <c r="AK205" s="238">
        <v>0.96207854293110995</v>
      </c>
      <c r="AL205" s="239">
        <v>-21.7553409621122</v>
      </c>
      <c r="AM205" s="224">
        <v>6.0000000000000001E-3</v>
      </c>
      <c r="AN205" s="224"/>
      <c r="AO205" s="232">
        <v>7</v>
      </c>
      <c r="AP205" s="232">
        <v>40</v>
      </c>
      <c r="AQ205" s="223"/>
      <c r="AR205" s="236">
        <v>16</v>
      </c>
      <c r="AS205" s="222">
        <v>6.0197093188985598</v>
      </c>
      <c r="AT205" s="237" t="s">
        <v>55</v>
      </c>
      <c r="AU205" s="229">
        <v>0.37623183243115998</v>
      </c>
      <c r="AV205" s="230">
        <v>-30.4394516729174</v>
      </c>
      <c r="AW205" s="224"/>
      <c r="AX205" s="224"/>
      <c r="AY205" s="232">
        <v>27</v>
      </c>
      <c r="AZ205" s="232">
        <v>36</v>
      </c>
      <c r="BA205" s="223"/>
      <c r="BB205" s="240">
        <v>121.4</v>
      </c>
      <c r="BC205" s="236">
        <v>45.6745444571429</v>
      </c>
      <c r="BD205" s="237" t="s">
        <v>56</v>
      </c>
      <c r="BE205" s="234">
        <v>1.4273295142857101</v>
      </c>
      <c r="BF205" s="235">
        <v>28.521096654165301</v>
      </c>
      <c r="BG205" s="224">
        <v>0.02</v>
      </c>
      <c r="BH205" s="224">
        <v>0.02</v>
      </c>
      <c r="BI205" s="232">
        <v>0</v>
      </c>
      <c r="BJ205" s="232">
        <v>0</v>
      </c>
      <c r="BK205" s="225"/>
      <c r="BL205" s="241">
        <v>0.8</v>
      </c>
      <c r="BM205" s="244">
        <v>0.78</v>
      </c>
      <c r="BN205" s="242"/>
      <c r="BO205" s="243">
        <v>0.95</v>
      </c>
      <c r="BP205" s="234">
        <v>1</v>
      </c>
      <c r="BQ205" s="242">
        <v>2.5000000000000001E-3</v>
      </c>
    </row>
    <row r="206" spans="1:69" s="211" customFormat="1" ht="22.35" customHeight="1" x14ac:dyDescent="0.2">
      <c r="A206" s="221" t="s">
        <v>221</v>
      </c>
      <c r="B206" s="221" t="s">
        <v>261</v>
      </c>
      <c r="C206" s="221" t="s">
        <v>272</v>
      </c>
      <c r="D206" s="222">
        <v>1.9523576782222201</v>
      </c>
      <c r="E206" s="223"/>
      <c r="F206" s="224">
        <v>0.01</v>
      </c>
      <c r="G206" s="224">
        <v>0.01</v>
      </c>
      <c r="H206" s="225"/>
      <c r="I206" s="226">
        <v>3</v>
      </c>
      <c r="J206" s="226">
        <v>3</v>
      </c>
      <c r="K206" s="223"/>
      <c r="L206" s="227">
        <v>816.61617999999999</v>
      </c>
      <c r="M206" s="227">
        <v>856.74681999999996</v>
      </c>
      <c r="N206" s="227">
        <v>1673.3630000000001</v>
      </c>
      <c r="O206" s="222">
        <v>857.098583249218</v>
      </c>
      <c r="P206" s="228">
        <v>214.857</v>
      </c>
      <c r="Q206" s="234">
        <v>3.9891582924885798</v>
      </c>
      <c r="R206" s="235">
        <v>1215.2933366725899</v>
      </c>
      <c r="S206" s="224">
        <v>0.01</v>
      </c>
      <c r="T206" s="224">
        <v>0.01</v>
      </c>
      <c r="U206" s="231">
        <v>0</v>
      </c>
      <c r="V206" s="232">
        <v>0</v>
      </c>
      <c r="W206" s="223"/>
      <c r="X206" s="231">
        <v>578.83443499999998</v>
      </c>
      <c r="Y206" s="222">
        <v>296.47970833247899</v>
      </c>
      <c r="Z206" s="233">
        <v>573</v>
      </c>
      <c r="AA206" s="229">
        <v>0.51741659394848005</v>
      </c>
      <c r="AB206" s="230">
        <v>-642.78700198649403</v>
      </c>
      <c r="AC206" s="224"/>
      <c r="AD206" s="224"/>
      <c r="AE206" s="232">
        <v>540</v>
      </c>
      <c r="AF206" s="232">
        <v>764</v>
      </c>
      <c r="AG206" s="223"/>
      <c r="AH206" s="236">
        <v>56</v>
      </c>
      <c r="AI206" s="222">
        <v>28.68326875995</v>
      </c>
      <c r="AJ206" s="237" t="s">
        <v>54</v>
      </c>
      <c r="AK206" s="229">
        <v>0.45528998031666701</v>
      </c>
      <c r="AL206" s="230">
        <v>-78.314398830975804</v>
      </c>
      <c r="AM206" s="224"/>
      <c r="AN206" s="224"/>
      <c r="AO206" s="232">
        <v>67</v>
      </c>
      <c r="AP206" s="232">
        <v>92</v>
      </c>
      <c r="AQ206" s="223"/>
      <c r="AR206" s="236">
        <v>8.6</v>
      </c>
      <c r="AS206" s="222">
        <v>4.4049305595637502</v>
      </c>
      <c r="AT206" s="237" t="s">
        <v>55</v>
      </c>
      <c r="AU206" s="229">
        <v>0.275308159972734</v>
      </c>
      <c r="AV206" s="230">
        <v>-25.511593353898601</v>
      </c>
      <c r="AW206" s="224"/>
      <c r="AX206" s="224"/>
      <c r="AY206" s="232">
        <v>23</v>
      </c>
      <c r="AZ206" s="232">
        <v>29</v>
      </c>
      <c r="BA206" s="223"/>
      <c r="BB206" s="240">
        <v>35.6</v>
      </c>
      <c r="BC206" s="236">
        <v>18.234363711682501</v>
      </c>
      <c r="BD206" s="237" t="s">
        <v>56</v>
      </c>
      <c r="BE206" s="229">
        <v>0.56982386599007795</v>
      </c>
      <c r="BF206" s="230">
        <v>-32.623186707797302</v>
      </c>
      <c r="BG206" s="224"/>
      <c r="BH206" s="224"/>
      <c r="BI206" s="232">
        <v>27</v>
      </c>
      <c r="BJ206" s="232">
        <v>40</v>
      </c>
      <c r="BK206" s="225"/>
      <c r="BL206" s="241">
        <v>0.8</v>
      </c>
      <c r="BM206" s="238">
        <v>0.83</v>
      </c>
      <c r="BN206" s="242">
        <v>1.1249999999999999E-3</v>
      </c>
      <c r="BO206" s="243">
        <v>0.95</v>
      </c>
      <c r="BP206" s="234">
        <v>1</v>
      </c>
      <c r="BQ206" s="242">
        <v>2.5000000000000001E-3</v>
      </c>
    </row>
    <row r="207" spans="1:69" s="211" customFormat="1" ht="22.35" customHeight="1" x14ac:dyDescent="0.2">
      <c r="A207" s="221" t="s">
        <v>221</v>
      </c>
      <c r="B207" s="221" t="s">
        <v>261</v>
      </c>
      <c r="C207" s="221" t="s">
        <v>273</v>
      </c>
      <c r="D207" s="222">
        <v>9.0627591208888898</v>
      </c>
      <c r="E207" s="223"/>
      <c r="F207" s="224">
        <v>5.3999999999999999E-2</v>
      </c>
      <c r="G207" s="224">
        <v>4.1000000000000002E-2</v>
      </c>
      <c r="H207" s="225"/>
      <c r="I207" s="226">
        <v>5</v>
      </c>
      <c r="J207" s="226">
        <v>4</v>
      </c>
      <c r="K207" s="223"/>
      <c r="L207" s="227">
        <v>4781.7114000000001</v>
      </c>
      <c r="M207" s="227">
        <v>2718.9924799999999</v>
      </c>
      <c r="N207" s="227">
        <v>7500.70388</v>
      </c>
      <c r="O207" s="222">
        <v>827.64021198704404</v>
      </c>
      <c r="P207" s="228">
        <v>241.29400000000001</v>
      </c>
      <c r="Q207" s="234">
        <v>3.4300074265710898</v>
      </c>
      <c r="R207" s="235">
        <v>5112.7298559471901</v>
      </c>
      <c r="S207" s="224">
        <v>0.01</v>
      </c>
      <c r="T207" s="224">
        <v>0.01</v>
      </c>
      <c r="U207" s="231">
        <v>0</v>
      </c>
      <c r="V207" s="232">
        <v>0</v>
      </c>
      <c r="W207" s="223"/>
      <c r="X207" s="231">
        <v>5755.2518449999998</v>
      </c>
      <c r="Y207" s="222">
        <v>635.04411495773195</v>
      </c>
      <c r="Z207" s="233">
        <v>573</v>
      </c>
      <c r="AA207" s="234">
        <v>1.1082794327360099</v>
      </c>
      <c r="AB207" s="235">
        <v>84.538458913887595</v>
      </c>
      <c r="AC207" s="224">
        <v>0.02</v>
      </c>
      <c r="AD207" s="224">
        <v>1.0999999999999999E-2</v>
      </c>
      <c r="AE207" s="232">
        <v>0</v>
      </c>
      <c r="AF207" s="232">
        <v>477</v>
      </c>
      <c r="AG207" s="223"/>
      <c r="AH207" s="236">
        <v>539.6</v>
      </c>
      <c r="AI207" s="222">
        <v>59.540366548667002</v>
      </c>
      <c r="AJ207" s="237" t="s">
        <v>54</v>
      </c>
      <c r="AK207" s="238">
        <v>0.94508518331217495</v>
      </c>
      <c r="AL207" s="239">
        <v>-83.881576480672194</v>
      </c>
      <c r="AM207" s="224">
        <v>4.0000000000000001E-3</v>
      </c>
      <c r="AN207" s="224"/>
      <c r="AO207" s="232">
        <v>32</v>
      </c>
      <c r="AP207" s="232">
        <v>146</v>
      </c>
      <c r="AQ207" s="223"/>
      <c r="AR207" s="236">
        <v>124.4</v>
      </c>
      <c r="AS207" s="222">
        <v>13.726504074599999</v>
      </c>
      <c r="AT207" s="237" t="s">
        <v>55</v>
      </c>
      <c r="AU207" s="244">
        <v>0.85790650466250196</v>
      </c>
      <c r="AV207" s="227">
        <v>-33.944527360170703</v>
      </c>
      <c r="AW207" s="224"/>
      <c r="AX207" s="224"/>
      <c r="AY207" s="232">
        <v>21</v>
      </c>
      <c r="AZ207" s="232">
        <v>50</v>
      </c>
      <c r="BA207" s="223"/>
      <c r="BB207" s="240">
        <v>376.8</v>
      </c>
      <c r="BC207" s="236">
        <v>41.576742245251602</v>
      </c>
      <c r="BD207" s="237" t="s">
        <v>56</v>
      </c>
      <c r="BE207" s="234">
        <v>1.2992731951641101</v>
      </c>
      <c r="BF207" s="235">
        <v>60.110945279658601</v>
      </c>
      <c r="BG207" s="224">
        <v>0.02</v>
      </c>
      <c r="BH207" s="224">
        <v>0.02</v>
      </c>
      <c r="BI207" s="232">
        <v>0</v>
      </c>
      <c r="BJ207" s="232">
        <v>0</v>
      </c>
      <c r="BK207" s="225"/>
      <c r="BL207" s="241">
        <v>0.8</v>
      </c>
      <c r="BM207" s="244">
        <v>0.77</v>
      </c>
      <c r="BN207" s="242"/>
      <c r="BO207" s="243">
        <v>0.95</v>
      </c>
      <c r="BP207" s="234">
        <v>1</v>
      </c>
      <c r="BQ207" s="242">
        <v>2.5000000000000001E-3</v>
      </c>
    </row>
    <row r="208" spans="1:69" s="211" customFormat="1" ht="22.35" customHeight="1" x14ac:dyDescent="0.2">
      <c r="A208" s="221" t="s">
        <v>221</v>
      </c>
      <c r="B208" s="221" t="s">
        <v>261</v>
      </c>
      <c r="C208" s="221" t="s">
        <v>274</v>
      </c>
      <c r="D208" s="222">
        <v>3.7574485252222201</v>
      </c>
      <c r="E208" s="223"/>
      <c r="F208" s="224">
        <v>4.4999999999999998E-2</v>
      </c>
      <c r="G208" s="224">
        <v>3.4000000000000002E-2</v>
      </c>
      <c r="H208" s="225"/>
      <c r="I208" s="226">
        <v>5</v>
      </c>
      <c r="J208" s="226">
        <v>5</v>
      </c>
      <c r="K208" s="223"/>
      <c r="L208" s="227">
        <v>1983.7904699999999</v>
      </c>
      <c r="M208" s="227">
        <v>1246.5414000000001</v>
      </c>
      <c r="N208" s="227">
        <v>3230.33187</v>
      </c>
      <c r="O208" s="222">
        <v>859.71420455026805</v>
      </c>
      <c r="P208" s="228">
        <v>224.04499999999999</v>
      </c>
      <c r="Q208" s="234">
        <v>3.8372389678424801</v>
      </c>
      <c r="R208" s="235">
        <v>2311.0452601219099</v>
      </c>
      <c r="S208" s="224">
        <v>0.01</v>
      </c>
      <c r="T208" s="224">
        <v>0.01</v>
      </c>
      <c r="U208" s="231">
        <v>0</v>
      </c>
      <c r="V208" s="232">
        <v>0</v>
      </c>
      <c r="W208" s="223"/>
      <c r="X208" s="231">
        <v>2880.3030549999999</v>
      </c>
      <c r="Y208" s="222">
        <v>766.55822046947503</v>
      </c>
      <c r="Z208" s="233">
        <v>573</v>
      </c>
      <c r="AA208" s="234">
        <v>1.3377979414825001</v>
      </c>
      <c r="AB208" s="235">
        <v>529.20739359205402</v>
      </c>
      <c r="AC208" s="224">
        <v>0.02</v>
      </c>
      <c r="AD208" s="224">
        <v>0.02</v>
      </c>
      <c r="AE208" s="232">
        <v>0</v>
      </c>
      <c r="AF208" s="232">
        <v>0</v>
      </c>
      <c r="AG208" s="223"/>
      <c r="AH208" s="236">
        <v>188.4</v>
      </c>
      <c r="AI208" s="222">
        <v>50.140407442802598</v>
      </c>
      <c r="AJ208" s="237" t="s">
        <v>54</v>
      </c>
      <c r="AK208" s="244">
        <v>0.79587948321908897</v>
      </c>
      <c r="AL208" s="227">
        <v>-70.097428741187798</v>
      </c>
      <c r="AM208" s="224"/>
      <c r="AN208" s="224"/>
      <c r="AO208" s="232">
        <v>49</v>
      </c>
      <c r="AP208" s="232">
        <v>96</v>
      </c>
      <c r="AQ208" s="223"/>
      <c r="AR208" s="236">
        <v>31.4</v>
      </c>
      <c r="AS208" s="222">
        <v>8.3567345738004306</v>
      </c>
      <c r="AT208" s="237" t="s">
        <v>55</v>
      </c>
      <c r="AU208" s="229">
        <v>0.52229591086252702</v>
      </c>
      <c r="AV208" s="230">
        <v>-34.250140632682601</v>
      </c>
      <c r="AW208" s="224"/>
      <c r="AX208" s="224"/>
      <c r="AY208" s="232">
        <v>29</v>
      </c>
      <c r="AZ208" s="232">
        <v>41</v>
      </c>
      <c r="BA208" s="223"/>
      <c r="BB208" s="240">
        <v>125.4</v>
      </c>
      <c r="BC208" s="236">
        <v>33.373710686451403</v>
      </c>
      <c r="BD208" s="237" t="s">
        <v>56</v>
      </c>
      <c r="BE208" s="238">
        <v>1.0429284589516099</v>
      </c>
      <c r="BF208" s="239">
        <v>-5.9002812653652397</v>
      </c>
      <c r="BG208" s="224">
        <v>1.4999999999999999E-2</v>
      </c>
      <c r="BH208" s="224">
        <v>4.0000000000000001E-3</v>
      </c>
      <c r="BI208" s="232">
        <v>0</v>
      </c>
      <c r="BJ208" s="232">
        <v>19</v>
      </c>
      <c r="BK208" s="225"/>
      <c r="BL208" s="241">
        <v>0.8</v>
      </c>
      <c r="BM208" s="238">
        <v>0.81</v>
      </c>
      <c r="BN208" s="242">
        <v>3.7500000000000001E-4</v>
      </c>
      <c r="BO208" s="243">
        <v>0.95</v>
      </c>
      <c r="BP208" s="234">
        <v>1</v>
      </c>
      <c r="BQ208" s="242">
        <v>2.5000000000000001E-3</v>
      </c>
    </row>
    <row r="209" spans="1:69" s="211" customFormat="1" ht="22.35" customHeight="1" x14ac:dyDescent="0.2">
      <c r="A209" s="221" t="s">
        <v>221</v>
      </c>
      <c r="B209" s="221" t="s">
        <v>261</v>
      </c>
      <c r="C209" s="221" t="s">
        <v>275</v>
      </c>
      <c r="D209" s="222">
        <v>2.624758167</v>
      </c>
      <c r="E209" s="223"/>
      <c r="F209" s="224">
        <v>5.0999999999999997E-2</v>
      </c>
      <c r="G209" s="224">
        <v>3.3000000000000002E-2</v>
      </c>
      <c r="H209" s="225"/>
      <c r="I209" s="226">
        <v>5</v>
      </c>
      <c r="J209" s="226">
        <v>4</v>
      </c>
      <c r="K209" s="223"/>
      <c r="L209" s="227">
        <v>1598.05528</v>
      </c>
      <c r="M209" s="227">
        <v>465.10442999999998</v>
      </c>
      <c r="N209" s="227">
        <v>2063.1597099999999</v>
      </c>
      <c r="O209" s="222">
        <v>786.03801902181101</v>
      </c>
      <c r="P209" s="228">
        <v>262.75900000000001</v>
      </c>
      <c r="Q209" s="234">
        <v>2.9914789560845101</v>
      </c>
      <c r="R209" s="235">
        <v>1310.03042632659</v>
      </c>
      <c r="S209" s="224">
        <v>0.01</v>
      </c>
      <c r="T209" s="224">
        <v>0.01</v>
      </c>
      <c r="U209" s="231">
        <v>0</v>
      </c>
      <c r="V209" s="232">
        <v>0</v>
      </c>
      <c r="W209" s="223"/>
      <c r="X209" s="231">
        <v>1476.2084600000001</v>
      </c>
      <c r="Y209" s="222">
        <v>562.41694132425596</v>
      </c>
      <c r="Z209" s="233">
        <v>573</v>
      </c>
      <c r="AA209" s="238">
        <v>0.98153043861126699</v>
      </c>
      <c r="AB209" s="239">
        <v>-166.144721222572</v>
      </c>
      <c r="AC209" s="224">
        <v>8.0000000000000002E-3</v>
      </c>
      <c r="AD209" s="224"/>
      <c r="AE209" s="232">
        <v>28</v>
      </c>
      <c r="AF209" s="232">
        <v>329</v>
      </c>
      <c r="AG209" s="223"/>
      <c r="AH209" s="236">
        <v>170.35</v>
      </c>
      <c r="AI209" s="222">
        <v>64.901217240407206</v>
      </c>
      <c r="AJ209" s="237" t="s">
        <v>54</v>
      </c>
      <c r="AK209" s="238">
        <v>1.0301780514350301</v>
      </c>
      <c r="AL209" s="239">
        <v>-10.222862856932</v>
      </c>
      <c r="AM209" s="224">
        <v>1.2999999999999999E-2</v>
      </c>
      <c r="AN209" s="224">
        <v>3.0000000000000001E-3</v>
      </c>
      <c r="AO209" s="232">
        <v>0</v>
      </c>
      <c r="AP209" s="232">
        <v>29</v>
      </c>
      <c r="AQ209" s="223"/>
      <c r="AR209" s="236">
        <v>6.6</v>
      </c>
      <c r="AS209" s="222">
        <v>2.5145173688681401</v>
      </c>
      <c r="AT209" s="237" t="s">
        <v>55</v>
      </c>
      <c r="AU209" s="229">
        <v>0.15715733555425901</v>
      </c>
      <c r="AV209" s="230">
        <v>-39.259774693823999</v>
      </c>
      <c r="AW209" s="224"/>
      <c r="AX209" s="224"/>
      <c r="AY209" s="232">
        <v>36</v>
      </c>
      <c r="AZ209" s="232">
        <v>44</v>
      </c>
      <c r="BA209" s="223"/>
      <c r="BB209" s="240">
        <v>106</v>
      </c>
      <c r="BC209" s="236">
        <v>40.384672893942799</v>
      </c>
      <c r="BD209" s="237" t="s">
        <v>56</v>
      </c>
      <c r="BE209" s="234">
        <v>1.26202102793571</v>
      </c>
      <c r="BF209" s="235">
        <v>14.280450612352</v>
      </c>
      <c r="BG209" s="224">
        <v>0.02</v>
      </c>
      <c r="BH209" s="224">
        <v>0.02</v>
      </c>
      <c r="BI209" s="232">
        <v>0</v>
      </c>
      <c r="BJ209" s="232">
        <v>0</v>
      </c>
      <c r="BK209" s="225"/>
      <c r="BL209" s="241">
        <v>0.8</v>
      </c>
      <c r="BM209" s="244">
        <v>0.75</v>
      </c>
      <c r="BN209" s="242"/>
      <c r="BO209" s="243">
        <v>0.95</v>
      </c>
      <c r="BP209" s="234">
        <v>1</v>
      </c>
      <c r="BQ209" s="242">
        <v>2.5000000000000001E-3</v>
      </c>
    </row>
    <row r="210" spans="1:69" s="211" customFormat="1" ht="22.35" customHeight="1" x14ac:dyDescent="0.2">
      <c r="A210" s="221" t="s">
        <v>276</v>
      </c>
      <c r="B210" s="221" t="s">
        <v>277</v>
      </c>
      <c r="C210" s="221" t="s">
        <v>278</v>
      </c>
      <c r="D210" s="222">
        <v>3.8480691394444402</v>
      </c>
      <c r="E210" s="223"/>
      <c r="F210" s="224">
        <v>5.3999999999999999E-2</v>
      </c>
      <c r="G210" s="224">
        <v>0.05</v>
      </c>
      <c r="H210" s="225"/>
      <c r="I210" s="226">
        <v>5</v>
      </c>
      <c r="J210" s="226">
        <v>4</v>
      </c>
      <c r="K210" s="223"/>
      <c r="L210" s="227">
        <v>4395.6217200000001</v>
      </c>
      <c r="M210" s="227">
        <v>627.09063000000003</v>
      </c>
      <c r="N210" s="227">
        <v>5022.7123499999998</v>
      </c>
      <c r="O210" s="222">
        <v>1305.2552248905599</v>
      </c>
      <c r="P210" s="228">
        <v>287.5</v>
      </c>
      <c r="Q210" s="234">
        <v>4.5400181735323804</v>
      </c>
      <c r="R210" s="235">
        <v>3814.6110436714198</v>
      </c>
      <c r="S210" s="224">
        <v>0.01</v>
      </c>
      <c r="T210" s="224">
        <v>0.01</v>
      </c>
      <c r="U210" s="231">
        <v>0</v>
      </c>
      <c r="V210" s="232">
        <v>0</v>
      </c>
      <c r="W210" s="223"/>
      <c r="X210" s="231">
        <v>3546.1872600000002</v>
      </c>
      <c r="Y210" s="222">
        <v>921.54977769239702</v>
      </c>
      <c r="Z210" s="233">
        <v>573</v>
      </c>
      <c r="AA210" s="234">
        <v>1.6082893153444999</v>
      </c>
      <c r="AB210" s="235">
        <v>1138.3888303433801</v>
      </c>
      <c r="AC210" s="224">
        <v>0.02</v>
      </c>
      <c r="AD210" s="224">
        <v>0.02</v>
      </c>
      <c r="AE210" s="232">
        <v>0</v>
      </c>
      <c r="AF210" s="232">
        <v>0</v>
      </c>
      <c r="AG210" s="223"/>
      <c r="AH210" s="236">
        <v>229.25</v>
      </c>
      <c r="AI210" s="222">
        <v>59.575332898799601</v>
      </c>
      <c r="AJ210" s="237" t="s">
        <v>54</v>
      </c>
      <c r="AK210" s="238">
        <v>0.94564020474285004</v>
      </c>
      <c r="AL210" s="239">
        <v>-35.481764517219702</v>
      </c>
      <c r="AM210" s="224">
        <v>4.0000000000000001E-3</v>
      </c>
      <c r="AN210" s="224"/>
      <c r="AO210" s="232">
        <v>14</v>
      </c>
      <c r="AP210" s="232">
        <v>62</v>
      </c>
      <c r="AQ210" s="223"/>
      <c r="AR210" s="236">
        <v>41.7</v>
      </c>
      <c r="AS210" s="222">
        <v>10.836603628701999</v>
      </c>
      <c r="AT210" s="237" t="s">
        <v>55</v>
      </c>
      <c r="AU210" s="229">
        <v>0.67728772679387705</v>
      </c>
      <c r="AV210" s="230">
        <v>-25.5334640043733</v>
      </c>
      <c r="AW210" s="224"/>
      <c r="AX210" s="224"/>
      <c r="AY210" s="232">
        <v>20</v>
      </c>
      <c r="AZ210" s="232">
        <v>33</v>
      </c>
      <c r="BA210" s="223"/>
      <c r="BB210" s="240">
        <v>184.6</v>
      </c>
      <c r="BC210" s="236">
        <v>47.972111027779299</v>
      </c>
      <c r="BD210" s="237" t="s">
        <v>56</v>
      </c>
      <c r="BE210" s="234">
        <v>1.4991284696181</v>
      </c>
      <c r="BF210" s="235">
        <v>50.133071991253502</v>
      </c>
      <c r="BG210" s="224">
        <v>0.02</v>
      </c>
      <c r="BH210" s="224">
        <v>0.02</v>
      </c>
      <c r="BI210" s="232">
        <v>0</v>
      </c>
      <c r="BJ210" s="232">
        <v>0</v>
      </c>
      <c r="BK210" s="225"/>
      <c r="BL210" s="241">
        <v>0.8</v>
      </c>
      <c r="BM210" s="244">
        <v>0.78</v>
      </c>
      <c r="BN210" s="242"/>
      <c r="BO210" s="243">
        <v>0.95</v>
      </c>
      <c r="BP210" s="234">
        <v>1</v>
      </c>
      <c r="BQ210" s="242">
        <v>2.5000000000000001E-3</v>
      </c>
    </row>
    <row r="211" spans="1:69" s="211" customFormat="1" ht="22.35" customHeight="1" x14ac:dyDescent="0.2">
      <c r="A211" s="221" t="s">
        <v>276</v>
      </c>
      <c r="B211" s="221" t="s">
        <v>277</v>
      </c>
      <c r="C211" s="221" t="s">
        <v>279</v>
      </c>
      <c r="D211" s="222">
        <v>2.98956710155556</v>
      </c>
      <c r="E211" s="223"/>
      <c r="F211" s="224">
        <v>0.02</v>
      </c>
      <c r="G211" s="224">
        <v>0.01</v>
      </c>
      <c r="H211" s="225"/>
      <c r="I211" s="226">
        <v>5</v>
      </c>
      <c r="J211" s="226">
        <v>3</v>
      </c>
      <c r="K211" s="223"/>
      <c r="L211" s="227">
        <v>1721.72011</v>
      </c>
      <c r="M211" s="227">
        <v>1170.0201300000001</v>
      </c>
      <c r="N211" s="227">
        <v>2891.7402400000001</v>
      </c>
      <c r="O211" s="222">
        <v>967.27724843350904</v>
      </c>
      <c r="P211" s="228">
        <v>222.37200000000001</v>
      </c>
      <c r="Q211" s="234">
        <v>4.34981584207324</v>
      </c>
      <c r="R211" s="235">
        <v>2165.7829910662299</v>
      </c>
      <c r="S211" s="224">
        <v>0.01</v>
      </c>
      <c r="T211" s="224">
        <v>0.01</v>
      </c>
      <c r="U211" s="231">
        <v>0</v>
      </c>
      <c r="V211" s="232">
        <v>0</v>
      </c>
      <c r="W211" s="223"/>
      <c r="X211" s="231">
        <v>1648.582445</v>
      </c>
      <c r="Y211" s="222">
        <v>551.44520560926605</v>
      </c>
      <c r="Z211" s="233">
        <v>573</v>
      </c>
      <c r="AA211" s="238">
        <v>0.96238255778231296</v>
      </c>
      <c r="AB211" s="239">
        <v>-222.03752351693899</v>
      </c>
      <c r="AC211" s="224">
        <v>6.0000000000000001E-3</v>
      </c>
      <c r="AD211" s="224"/>
      <c r="AE211" s="232">
        <v>65</v>
      </c>
      <c r="AF211" s="232">
        <v>408</v>
      </c>
      <c r="AG211" s="223"/>
      <c r="AH211" s="236">
        <v>126.05</v>
      </c>
      <c r="AI211" s="222">
        <v>42.163295125375399</v>
      </c>
      <c r="AJ211" s="237" t="s">
        <v>54</v>
      </c>
      <c r="AK211" s="229">
        <v>0.66925865278373597</v>
      </c>
      <c r="AL211" s="230">
        <v>-79.620258318616393</v>
      </c>
      <c r="AM211" s="224"/>
      <c r="AN211" s="224"/>
      <c r="AO211" s="232">
        <v>63</v>
      </c>
      <c r="AP211" s="232">
        <v>100</v>
      </c>
      <c r="AQ211" s="223"/>
      <c r="AR211" s="236">
        <v>5</v>
      </c>
      <c r="AS211" s="222">
        <v>1.6724829482497201</v>
      </c>
      <c r="AT211" s="237" t="s">
        <v>55</v>
      </c>
      <c r="AU211" s="229">
        <v>0.10453018426560801</v>
      </c>
      <c r="AV211" s="230">
        <v>-47.233716398378803</v>
      </c>
      <c r="AW211" s="224"/>
      <c r="AX211" s="224"/>
      <c r="AY211" s="232">
        <v>43</v>
      </c>
      <c r="AZ211" s="232">
        <v>53</v>
      </c>
      <c r="BA211" s="223"/>
      <c r="BB211" s="240">
        <v>90.8</v>
      </c>
      <c r="BC211" s="236">
        <v>30.372290340214899</v>
      </c>
      <c r="BD211" s="237" t="s">
        <v>56</v>
      </c>
      <c r="BE211" s="238">
        <v>0.94913407313171505</v>
      </c>
      <c r="BF211" s="239">
        <v>-13.667432796757501</v>
      </c>
      <c r="BG211" s="224">
        <v>4.0000000000000001E-3</v>
      </c>
      <c r="BH211" s="224"/>
      <c r="BI211" s="232">
        <v>5</v>
      </c>
      <c r="BJ211" s="232">
        <v>24</v>
      </c>
      <c r="BK211" s="225"/>
      <c r="BL211" s="241">
        <v>0.8</v>
      </c>
      <c r="BM211" s="238">
        <v>0.81</v>
      </c>
      <c r="BN211" s="242">
        <v>3.7500000000000001E-4</v>
      </c>
      <c r="BO211" s="243">
        <v>0.95</v>
      </c>
      <c r="BP211" s="234">
        <v>1</v>
      </c>
      <c r="BQ211" s="242">
        <v>2.5000000000000001E-3</v>
      </c>
    </row>
    <row r="212" spans="1:69" s="211" customFormat="1" ht="22.35" customHeight="1" x14ac:dyDescent="0.2">
      <c r="A212" s="221" t="s">
        <v>276</v>
      </c>
      <c r="B212" s="221" t="s">
        <v>277</v>
      </c>
      <c r="C212" s="221" t="s">
        <v>280</v>
      </c>
      <c r="D212" s="222">
        <v>3.33559711066667</v>
      </c>
      <c r="E212" s="223"/>
      <c r="F212" s="224">
        <v>0.03</v>
      </c>
      <c r="G212" s="224">
        <v>0.03</v>
      </c>
      <c r="H212" s="225"/>
      <c r="I212" s="226">
        <v>3</v>
      </c>
      <c r="J212" s="226">
        <v>3</v>
      </c>
      <c r="K212" s="223"/>
      <c r="L212" s="227">
        <v>1652.8897300000001</v>
      </c>
      <c r="M212" s="227">
        <v>-227.21252000000001</v>
      </c>
      <c r="N212" s="227">
        <v>1425.6772100000001</v>
      </c>
      <c r="O212" s="222">
        <v>427.41289271444901</v>
      </c>
      <c r="P212" s="228">
        <v>230.685</v>
      </c>
      <c r="Q212" s="234">
        <v>1.85279880666038</v>
      </c>
      <c r="R212" s="235">
        <v>585.41354633423805</v>
      </c>
      <c r="S212" s="224">
        <v>0.01</v>
      </c>
      <c r="T212" s="224">
        <v>0.01</v>
      </c>
      <c r="U212" s="231">
        <v>0</v>
      </c>
      <c r="V212" s="232">
        <v>0</v>
      </c>
      <c r="W212" s="223"/>
      <c r="X212" s="231">
        <v>2666.5910600000002</v>
      </c>
      <c r="Y212" s="222">
        <v>799.43439556075305</v>
      </c>
      <c r="Z212" s="233">
        <v>573</v>
      </c>
      <c r="AA212" s="234">
        <v>1.39517346520201</v>
      </c>
      <c r="AB212" s="235">
        <v>579.45457830209398</v>
      </c>
      <c r="AC212" s="224">
        <v>0.02</v>
      </c>
      <c r="AD212" s="224">
        <v>0.02</v>
      </c>
      <c r="AE212" s="232">
        <v>0</v>
      </c>
      <c r="AF212" s="232">
        <v>0</v>
      </c>
      <c r="AG212" s="223"/>
      <c r="AH212" s="236">
        <v>127.5</v>
      </c>
      <c r="AI212" s="222">
        <v>38.224040784864798</v>
      </c>
      <c r="AJ212" s="237" t="s">
        <v>54</v>
      </c>
      <c r="AK212" s="229">
        <v>0.60673080610896601</v>
      </c>
      <c r="AL212" s="230">
        <v>-101.975738825424</v>
      </c>
      <c r="AM212" s="224"/>
      <c r="AN212" s="224"/>
      <c r="AO212" s="232">
        <v>83</v>
      </c>
      <c r="AP212" s="232">
        <v>125</v>
      </c>
      <c r="AQ212" s="223"/>
      <c r="AR212" s="236">
        <v>11</v>
      </c>
      <c r="AS212" s="222">
        <v>3.2977603814393199</v>
      </c>
      <c r="AT212" s="237" t="s">
        <v>55</v>
      </c>
      <c r="AU212" s="229">
        <v>0.206110023839957</v>
      </c>
      <c r="AV212" s="230">
        <v>-47.279552717568102</v>
      </c>
      <c r="AW212" s="224"/>
      <c r="AX212" s="224"/>
      <c r="AY212" s="232">
        <v>43</v>
      </c>
      <c r="AZ212" s="232">
        <v>54</v>
      </c>
      <c r="BA212" s="223"/>
      <c r="BB212" s="240">
        <v>91.2</v>
      </c>
      <c r="BC212" s="236">
        <v>27.341431526115102</v>
      </c>
      <c r="BD212" s="237" t="s">
        <v>56</v>
      </c>
      <c r="BE212" s="244">
        <v>0.85441973519109604</v>
      </c>
      <c r="BF212" s="227">
        <v>-25.359105435136101</v>
      </c>
      <c r="BG212" s="224"/>
      <c r="BH212" s="224"/>
      <c r="BI212" s="232">
        <v>16</v>
      </c>
      <c r="BJ212" s="232">
        <v>37</v>
      </c>
      <c r="BK212" s="225"/>
      <c r="BL212" s="241">
        <v>0.8</v>
      </c>
      <c r="BM212" s="244">
        <v>0.75</v>
      </c>
      <c r="BN212" s="242"/>
      <c r="BO212" s="243">
        <v>0.95</v>
      </c>
      <c r="BP212" s="234">
        <v>1</v>
      </c>
      <c r="BQ212" s="242">
        <v>2.5000000000000001E-3</v>
      </c>
    </row>
    <row r="213" spans="1:69" s="211" customFormat="1" ht="22.35" customHeight="1" x14ac:dyDescent="0.2">
      <c r="A213" s="221" t="s">
        <v>276</v>
      </c>
      <c r="B213" s="221" t="s">
        <v>277</v>
      </c>
      <c r="C213" s="221" t="s">
        <v>281</v>
      </c>
      <c r="D213" s="222">
        <v>3.7485562538888901</v>
      </c>
      <c r="E213" s="223"/>
      <c r="F213" s="224">
        <v>3.5999999999999997E-2</v>
      </c>
      <c r="G213" s="224">
        <v>1.7999999999999999E-2</v>
      </c>
      <c r="H213" s="225"/>
      <c r="I213" s="226">
        <v>4</v>
      </c>
      <c r="J213" s="226">
        <v>3</v>
      </c>
      <c r="K213" s="223"/>
      <c r="L213" s="227">
        <v>1573.6742999999999</v>
      </c>
      <c r="M213" s="227">
        <v>1516.6746499999999</v>
      </c>
      <c r="N213" s="227">
        <v>3090.3489500000001</v>
      </c>
      <c r="O213" s="222">
        <v>824.410450501833</v>
      </c>
      <c r="P213" s="228">
        <v>260.827</v>
      </c>
      <c r="Q213" s="234">
        <v>3.1607557902434702</v>
      </c>
      <c r="R213" s="235">
        <v>2022.6735972198801</v>
      </c>
      <c r="S213" s="224">
        <v>0.01</v>
      </c>
      <c r="T213" s="224">
        <v>0.01</v>
      </c>
      <c r="U213" s="231">
        <v>0</v>
      </c>
      <c r="V213" s="232">
        <v>0</v>
      </c>
      <c r="W213" s="223"/>
      <c r="X213" s="231">
        <v>1895.234385</v>
      </c>
      <c r="Y213" s="222">
        <v>505.59048781349202</v>
      </c>
      <c r="Z213" s="233">
        <v>573</v>
      </c>
      <c r="AA213" s="244">
        <v>0.88235687227485504</v>
      </c>
      <c r="AB213" s="227">
        <v>-450.29723995834098</v>
      </c>
      <c r="AC213" s="224"/>
      <c r="AD213" s="224"/>
      <c r="AE213" s="232">
        <v>253</v>
      </c>
      <c r="AF213" s="232">
        <v>683</v>
      </c>
      <c r="AG213" s="223"/>
      <c r="AH213" s="236">
        <v>230.7</v>
      </c>
      <c r="AI213" s="222">
        <v>61.543694258466402</v>
      </c>
      <c r="AJ213" s="237" t="s">
        <v>54</v>
      </c>
      <c r="AK213" s="238">
        <v>0.976884035848673</v>
      </c>
      <c r="AL213" s="239">
        <v>-27.185676042540099</v>
      </c>
      <c r="AM213" s="224">
        <v>7.0000000000000001E-3</v>
      </c>
      <c r="AN213" s="224"/>
      <c r="AO213" s="232">
        <v>6</v>
      </c>
      <c r="AP213" s="232">
        <v>53</v>
      </c>
      <c r="AQ213" s="223"/>
      <c r="AR213" s="236">
        <v>26</v>
      </c>
      <c r="AS213" s="222">
        <v>6.9360036875601496</v>
      </c>
      <c r="AT213" s="237" t="s">
        <v>55</v>
      </c>
      <c r="AU213" s="229">
        <v>0.43350023047250902</v>
      </c>
      <c r="AV213" s="230">
        <v>-39.494774867946703</v>
      </c>
      <c r="AW213" s="224"/>
      <c r="AX213" s="224"/>
      <c r="AY213" s="232">
        <v>34</v>
      </c>
      <c r="AZ213" s="232">
        <v>46</v>
      </c>
      <c r="BA213" s="223"/>
      <c r="BB213" s="240">
        <v>130</v>
      </c>
      <c r="BC213" s="236">
        <v>34.680018437800697</v>
      </c>
      <c r="BD213" s="237" t="s">
        <v>56</v>
      </c>
      <c r="BE213" s="238">
        <v>1.08375057618127</v>
      </c>
      <c r="BF213" s="239">
        <v>-0.98954973589337702</v>
      </c>
      <c r="BG213" s="224">
        <v>1.9E-2</v>
      </c>
      <c r="BH213" s="224">
        <v>8.0000000000000002E-3</v>
      </c>
      <c r="BI213" s="232">
        <v>0</v>
      </c>
      <c r="BJ213" s="232">
        <v>14</v>
      </c>
      <c r="BK213" s="225"/>
      <c r="BL213" s="241">
        <v>0.8</v>
      </c>
      <c r="BM213" s="244">
        <v>0.79</v>
      </c>
      <c r="BN213" s="242"/>
      <c r="BO213" s="243">
        <v>0.95</v>
      </c>
      <c r="BP213" s="234">
        <v>1</v>
      </c>
      <c r="BQ213" s="242">
        <v>2.5000000000000001E-3</v>
      </c>
    </row>
    <row r="214" spans="1:69" s="211" customFormat="1" ht="22.35" customHeight="1" x14ac:dyDescent="0.2">
      <c r="A214" s="221" t="s">
        <v>276</v>
      </c>
      <c r="B214" s="221" t="s">
        <v>277</v>
      </c>
      <c r="C214" s="221" t="s">
        <v>282</v>
      </c>
      <c r="D214" s="222">
        <v>3.10896044855556</v>
      </c>
      <c r="E214" s="223"/>
      <c r="F214" s="224">
        <v>2.5000000000000001E-2</v>
      </c>
      <c r="G214" s="224">
        <v>1.4999999999999999E-2</v>
      </c>
      <c r="H214" s="225"/>
      <c r="I214" s="226">
        <v>4</v>
      </c>
      <c r="J214" s="226">
        <v>4</v>
      </c>
      <c r="K214" s="223"/>
      <c r="L214" s="227">
        <v>2186.4463599999999</v>
      </c>
      <c r="M214" s="227">
        <v>2292.45813</v>
      </c>
      <c r="N214" s="227">
        <v>4478.9044899999999</v>
      </c>
      <c r="O214" s="222">
        <v>1440.64376633705</v>
      </c>
      <c r="P214" s="228">
        <v>237.98699999999999</v>
      </c>
      <c r="Q214" s="234">
        <v>6.0534557195857301</v>
      </c>
      <c r="R214" s="235">
        <v>3670.94224006473</v>
      </c>
      <c r="S214" s="224">
        <v>0.01</v>
      </c>
      <c r="T214" s="224">
        <v>0.01</v>
      </c>
      <c r="U214" s="231">
        <v>0</v>
      </c>
      <c r="V214" s="232">
        <v>0</v>
      </c>
      <c r="W214" s="223"/>
      <c r="X214" s="231">
        <v>1863.8450849999999</v>
      </c>
      <c r="Y214" s="222">
        <v>599.507493209171</v>
      </c>
      <c r="Z214" s="233">
        <v>573</v>
      </c>
      <c r="AA214" s="238">
        <v>1.046260895653</v>
      </c>
      <c r="AB214" s="239">
        <v>-81.481211028390803</v>
      </c>
      <c r="AC214" s="224">
        <v>1.4999999999999999E-2</v>
      </c>
      <c r="AD214" s="224">
        <v>5.0000000000000001E-3</v>
      </c>
      <c r="AE214" s="232">
        <v>0</v>
      </c>
      <c r="AF214" s="232">
        <v>274</v>
      </c>
      <c r="AG214" s="223"/>
      <c r="AH214" s="236">
        <v>82.5</v>
      </c>
      <c r="AI214" s="222">
        <v>26.536201204595599</v>
      </c>
      <c r="AJ214" s="237" t="s">
        <v>54</v>
      </c>
      <c r="AK214" s="229">
        <v>0.421209542930089</v>
      </c>
      <c r="AL214" s="230">
        <v>-131.38404301882801</v>
      </c>
      <c r="AM214" s="224"/>
      <c r="AN214" s="224"/>
      <c r="AO214" s="232">
        <v>114</v>
      </c>
      <c r="AP214" s="232">
        <v>153</v>
      </c>
      <c r="AQ214" s="223"/>
      <c r="AR214" s="236">
        <v>5.8</v>
      </c>
      <c r="AS214" s="222">
        <v>1.8655753574139899</v>
      </c>
      <c r="AT214" s="237" t="s">
        <v>55</v>
      </c>
      <c r="AU214" s="229">
        <v>0.116598459838374</v>
      </c>
      <c r="AV214" s="230">
        <v>-48.519756957162798</v>
      </c>
      <c r="AW214" s="224"/>
      <c r="AX214" s="224"/>
      <c r="AY214" s="232">
        <v>44</v>
      </c>
      <c r="AZ214" s="232">
        <v>54</v>
      </c>
      <c r="BA214" s="223"/>
      <c r="BB214" s="240">
        <v>62.6</v>
      </c>
      <c r="BC214" s="236">
        <v>20.1353478231234</v>
      </c>
      <c r="BD214" s="237" t="s">
        <v>56</v>
      </c>
      <c r="BE214" s="229">
        <v>0.62922961947260803</v>
      </c>
      <c r="BF214" s="230">
        <v>-46.039513914325497</v>
      </c>
      <c r="BG214" s="224"/>
      <c r="BH214" s="224"/>
      <c r="BI214" s="232">
        <v>37</v>
      </c>
      <c r="BJ214" s="232">
        <v>57</v>
      </c>
      <c r="BK214" s="225"/>
      <c r="BL214" s="241">
        <v>0.8</v>
      </c>
      <c r="BM214" s="238">
        <v>0.88</v>
      </c>
      <c r="BN214" s="242">
        <v>3.0000000000000001E-3</v>
      </c>
      <c r="BO214" s="243">
        <v>0.95</v>
      </c>
      <c r="BP214" s="234">
        <v>1</v>
      </c>
      <c r="BQ214" s="242">
        <v>2.5000000000000001E-3</v>
      </c>
    </row>
    <row r="215" spans="1:69" s="211" customFormat="1" ht="22.35" customHeight="1" x14ac:dyDescent="0.2">
      <c r="A215" s="221" t="s">
        <v>276</v>
      </c>
      <c r="B215" s="221" t="s">
        <v>277</v>
      </c>
      <c r="C215" s="221" t="s">
        <v>283</v>
      </c>
      <c r="D215" s="222">
        <v>3.74723678633333</v>
      </c>
      <c r="E215" s="223"/>
      <c r="F215" s="224">
        <v>3.1E-2</v>
      </c>
      <c r="G215" s="224">
        <v>0.03</v>
      </c>
      <c r="H215" s="225"/>
      <c r="I215" s="226">
        <v>5</v>
      </c>
      <c r="J215" s="226">
        <v>4</v>
      </c>
      <c r="K215" s="223"/>
      <c r="L215" s="227">
        <v>1372.8374699999999</v>
      </c>
      <c r="M215" s="227">
        <v>4666.2677400000002</v>
      </c>
      <c r="N215" s="227">
        <v>6039.1052099999997</v>
      </c>
      <c r="O215" s="222">
        <v>1611.61558619018</v>
      </c>
      <c r="P215" s="228">
        <v>287.5</v>
      </c>
      <c r="Q215" s="234">
        <v>5.6056194302267102</v>
      </c>
      <c r="R215" s="235">
        <v>4862.6602209306502</v>
      </c>
      <c r="S215" s="224">
        <v>0.01</v>
      </c>
      <c r="T215" s="224">
        <v>0.01</v>
      </c>
      <c r="U215" s="231">
        <v>0</v>
      </c>
      <c r="V215" s="232">
        <v>0</v>
      </c>
      <c r="W215" s="223"/>
      <c r="X215" s="231">
        <v>1956.2163</v>
      </c>
      <c r="Y215" s="222">
        <v>522.04235054869696</v>
      </c>
      <c r="Z215" s="233">
        <v>573</v>
      </c>
      <c r="AA215" s="238">
        <v>0.91106867460505703</v>
      </c>
      <c r="AB215" s="239">
        <v>-388.48971299734598</v>
      </c>
      <c r="AC215" s="224">
        <v>1E-3</v>
      </c>
      <c r="AD215" s="224"/>
      <c r="AE215" s="232">
        <v>191</v>
      </c>
      <c r="AF215" s="232">
        <v>621</v>
      </c>
      <c r="AG215" s="223"/>
      <c r="AH215" s="236">
        <v>132.44999999999999</v>
      </c>
      <c r="AI215" s="222">
        <v>35.346044979880297</v>
      </c>
      <c r="AJ215" s="237" t="s">
        <v>54</v>
      </c>
      <c r="AK215" s="229">
        <v>0.56104833301397306</v>
      </c>
      <c r="AL215" s="230">
        <v>-125.344901952588</v>
      </c>
      <c r="AM215" s="224"/>
      <c r="AN215" s="224"/>
      <c r="AO215" s="232">
        <v>104</v>
      </c>
      <c r="AP215" s="232">
        <v>151</v>
      </c>
      <c r="AQ215" s="223"/>
      <c r="AR215" s="236">
        <v>30.2</v>
      </c>
      <c r="AS215" s="222">
        <v>8.0592718640421595</v>
      </c>
      <c r="AT215" s="237" t="s">
        <v>55</v>
      </c>
      <c r="AU215" s="229">
        <v>0.50370449150263497</v>
      </c>
      <c r="AV215" s="230">
        <v>-35.271721130815898</v>
      </c>
      <c r="AW215" s="224"/>
      <c r="AX215" s="224"/>
      <c r="AY215" s="232">
        <v>30</v>
      </c>
      <c r="AZ215" s="232">
        <v>42</v>
      </c>
      <c r="BA215" s="223"/>
      <c r="BB215" s="240">
        <v>147</v>
      </c>
      <c r="BC215" s="236">
        <v>39.228906093185302</v>
      </c>
      <c r="BD215" s="237" t="s">
        <v>56</v>
      </c>
      <c r="BE215" s="234">
        <v>1.22590331541204</v>
      </c>
      <c r="BF215" s="235">
        <v>16.056557738368099</v>
      </c>
      <c r="BG215" s="224">
        <v>0.02</v>
      </c>
      <c r="BH215" s="224">
        <v>0.02</v>
      </c>
      <c r="BI215" s="232">
        <v>0</v>
      </c>
      <c r="BJ215" s="232">
        <v>0</v>
      </c>
      <c r="BK215" s="225"/>
      <c r="BL215" s="241">
        <v>0.8</v>
      </c>
      <c r="BM215" s="238">
        <v>0.84</v>
      </c>
      <c r="BN215" s="242">
        <v>1.5E-3</v>
      </c>
      <c r="BO215" s="243">
        <v>0.95</v>
      </c>
      <c r="BP215" s="234">
        <v>1</v>
      </c>
      <c r="BQ215" s="242">
        <v>2.5000000000000001E-3</v>
      </c>
    </row>
    <row r="216" spans="1:69" s="211" customFormat="1" ht="22.35" customHeight="1" x14ac:dyDescent="0.2">
      <c r="A216" s="221" t="s">
        <v>276</v>
      </c>
      <c r="B216" s="221" t="s">
        <v>277</v>
      </c>
      <c r="C216" s="221" t="s">
        <v>284</v>
      </c>
      <c r="D216" s="222">
        <v>4.8968438782222199</v>
      </c>
      <c r="E216" s="223"/>
      <c r="F216" s="224">
        <v>4.3999999999999997E-2</v>
      </c>
      <c r="G216" s="224">
        <v>3.3000000000000002E-2</v>
      </c>
      <c r="H216" s="225"/>
      <c r="I216" s="226">
        <v>4</v>
      </c>
      <c r="J216" s="226">
        <v>4</v>
      </c>
      <c r="K216" s="223"/>
      <c r="L216" s="227">
        <v>4595.4805900000001</v>
      </c>
      <c r="M216" s="227">
        <v>4011.1355899999999</v>
      </c>
      <c r="N216" s="227">
        <v>8606.6161800000009</v>
      </c>
      <c r="O216" s="222">
        <v>1757.5843531128901</v>
      </c>
      <c r="P216" s="228">
        <v>287.5</v>
      </c>
      <c r="Q216" s="234">
        <v>6.1133368803926604</v>
      </c>
      <c r="R216" s="235">
        <v>7069.2520444321299</v>
      </c>
      <c r="S216" s="224">
        <v>0.01</v>
      </c>
      <c r="T216" s="224">
        <v>0.01</v>
      </c>
      <c r="U216" s="231">
        <v>0</v>
      </c>
      <c r="V216" s="232">
        <v>0</v>
      </c>
      <c r="W216" s="223"/>
      <c r="X216" s="231">
        <v>2907.1039700000001</v>
      </c>
      <c r="Y216" s="222">
        <v>593.66891048513696</v>
      </c>
      <c r="Z216" s="233">
        <v>573</v>
      </c>
      <c r="AA216" s="238">
        <v>1.03607139700722</v>
      </c>
      <c r="AB216" s="239">
        <v>-156.92959410569401</v>
      </c>
      <c r="AC216" s="224">
        <v>1.4E-2</v>
      </c>
      <c r="AD216" s="224">
        <v>4.0000000000000001E-3</v>
      </c>
      <c r="AE216" s="232">
        <v>0</v>
      </c>
      <c r="AF216" s="232">
        <v>460</v>
      </c>
      <c r="AG216" s="223"/>
      <c r="AH216" s="236">
        <v>201.35</v>
      </c>
      <c r="AI216" s="222">
        <v>41.118321312113999</v>
      </c>
      <c r="AJ216" s="237" t="s">
        <v>54</v>
      </c>
      <c r="AK216" s="229">
        <v>0.65267176685895301</v>
      </c>
      <c r="AL216" s="230">
        <v>-135.533271446176</v>
      </c>
      <c r="AM216" s="224"/>
      <c r="AN216" s="224"/>
      <c r="AO216" s="232">
        <v>108</v>
      </c>
      <c r="AP216" s="232">
        <v>169</v>
      </c>
      <c r="AQ216" s="223"/>
      <c r="AR216" s="236">
        <v>52.3</v>
      </c>
      <c r="AS216" s="222">
        <v>10.680348669598001</v>
      </c>
      <c r="AT216" s="237" t="s">
        <v>55</v>
      </c>
      <c r="AU216" s="229">
        <v>0.66752179184987703</v>
      </c>
      <c r="AV216" s="230">
        <v>-33.257656240298601</v>
      </c>
      <c r="AW216" s="224"/>
      <c r="AX216" s="224"/>
      <c r="AY216" s="232">
        <v>27</v>
      </c>
      <c r="AZ216" s="232">
        <v>42</v>
      </c>
      <c r="BA216" s="223"/>
      <c r="BB216" s="240">
        <v>187.2</v>
      </c>
      <c r="BC216" s="236">
        <v>38.228704989459899</v>
      </c>
      <c r="BD216" s="237" t="s">
        <v>56</v>
      </c>
      <c r="BE216" s="234">
        <v>1.1946470309206201</v>
      </c>
      <c r="BF216" s="235">
        <v>16.084687519402799</v>
      </c>
      <c r="BG216" s="224">
        <v>0.02</v>
      </c>
      <c r="BH216" s="224">
        <v>1.9E-2</v>
      </c>
      <c r="BI216" s="232">
        <v>0</v>
      </c>
      <c r="BJ216" s="232">
        <v>1</v>
      </c>
      <c r="BK216" s="225"/>
      <c r="BL216" s="241">
        <v>0.8</v>
      </c>
      <c r="BM216" s="244">
        <v>0.74</v>
      </c>
      <c r="BN216" s="242"/>
      <c r="BO216" s="243">
        <v>0.95</v>
      </c>
      <c r="BP216" s="234">
        <v>1</v>
      </c>
      <c r="BQ216" s="242">
        <v>2.5000000000000001E-3</v>
      </c>
    </row>
    <row r="217" spans="1:69" s="211" customFormat="1" ht="22.35" customHeight="1" x14ac:dyDescent="0.2">
      <c r="A217" s="221" t="s">
        <v>276</v>
      </c>
      <c r="B217" s="221" t="s">
        <v>277</v>
      </c>
      <c r="C217" s="221" t="s">
        <v>285</v>
      </c>
      <c r="D217" s="222">
        <v>2.87505723911111</v>
      </c>
      <c r="E217" s="223"/>
      <c r="F217" s="224">
        <v>2.9000000000000001E-2</v>
      </c>
      <c r="G217" s="224">
        <v>1.7999999999999999E-2</v>
      </c>
      <c r="H217" s="225"/>
      <c r="I217" s="226">
        <v>3</v>
      </c>
      <c r="J217" s="226">
        <v>3</v>
      </c>
      <c r="K217" s="223"/>
      <c r="L217" s="227">
        <v>738.97694000000001</v>
      </c>
      <c r="M217" s="227">
        <v>1419.8886500000001</v>
      </c>
      <c r="N217" s="227">
        <v>2158.8655899999999</v>
      </c>
      <c r="O217" s="222">
        <v>750.89482067754</v>
      </c>
      <c r="P217" s="228">
        <v>287.5</v>
      </c>
      <c r="Q217" s="234">
        <v>2.6118080719218799</v>
      </c>
      <c r="R217" s="235">
        <v>1256.24136978107</v>
      </c>
      <c r="S217" s="224">
        <v>0.01</v>
      </c>
      <c r="T217" s="224">
        <v>0.01</v>
      </c>
      <c r="U217" s="231">
        <v>0</v>
      </c>
      <c r="V217" s="232">
        <v>0</v>
      </c>
      <c r="W217" s="223"/>
      <c r="X217" s="231">
        <v>1776.6657250000001</v>
      </c>
      <c r="Y217" s="222">
        <v>617.95838386483604</v>
      </c>
      <c r="Z217" s="233">
        <v>573</v>
      </c>
      <c r="AA217" s="238">
        <v>1.07846140290547</v>
      </c>
      <c r="AB217" s="239">
        <v>-22.3035904276473</v>
      </c>
      <c r="AC217" s="224">
        <v>1.9E-2</v>
      </c>
      <c r="AD217" s="224">
        <v>8.0000000000000002E-3</v>
      </c>
      <c r="AE217" s="232">
        <v>0</v>
      </c>
      <c r="AF217" s="232">
        <v>201</v>
      </c>
      <c r="AG217" s="223"/>
      <c r="AH217" s="236">
        <v>111.55</v>
      </c>
      <c r="AI217" s="222">
        <v>38.799227536244899</v>
      </c>
      <c r="AJ217" s="237" t="s">
        <v>54</v>
      </c>
      <c r="AK217" s="229">
        <v>0.61586075454356903</v>
      </c>
      <c r="AL217" s="230">
        <v>-86.242437821888004</v>
      </c>
      <c r="AM217" s="224"/>
      <c r="AN217" s="224"/>
      <c r="AO217" s="232">
        <v>70</v>
      </c>
      <c r="AP217" s="232">
        <v>106</v>
      </c>
      <c r="AQ217" s="223"/>
      <c r="AR217" s="236">
        <v>22.6</v>
      </c>
      <c r="AS217" s="222">
        <v>7.8607130642683503</v>
      </c>
      <c r="AT217" s="237" t="s">
        <v>55</v>
      </c>
      <c r="AU217" s="229">
        <v>0.491294566516772</v>
      </c>
      <c r="AV217" s="230">
        <v>-27.633000081749302</v>
      </c>
      <c r="AW217" s="224"/>
      <c r="AX217" s="224"/>
      <c r="AY217" s="232">
        <v>24</v>
      </c>
      <c r="AZ217" s="232">
        <v>33</v>
      </c>
      <c r="BA217" s="223"/>
      <c r="BB217" s="240">
        <v>69</v>
      </c>
      <c r="BC217" s="236">
        <v>23.999522187368001</v>
      </c>
      <c r="BD217" s="237" t="s">
        <v>56</v>
      </c>
      <c r="BE217" s="244">
        <v>0.74998506835524903</v>
      </c>
      <c r="BF217" s="227">
        <v>-31.466000163498599</v>
      </c>
      <c r="BG217" s="224"/>
      <c r="BH217" s="224"/>
      <c r="BI217" s="232">
        <v>24</v>
      </c>
      <c r="BJ217" s="232">
        <v>42</v>
      </c>
      <c r="BK217" s="225"/>
      <c r="BL217" s="241">
        <v>0.8</v>
      </c>
      <c r="BM217" s="244">
        <v>0.73</v>
      </c>
      <c r="BN217" s="242"/>
      <c r="BO217" s="243">
        <v>0.95</v>
      </c>
      <c r="BP217" s="234">
        <v>1</v>
      </c>
      <c r="BQ217" s="242">
        <v>2.5000000000000001E-3</v>
      </c>
    </row>
    <row r="218" spans="1:69" s="211" customFormat="1" ht="22.35" customHeight="1" x14ac:dyDescent="0.2">
      <c r="A218" s="221" t="s">
        <v>276</v>
      </c>
      <c r="B218" s="221" t="s">
        <v>277</v>
      </c>
      <c r="C218" s="221" t="s">
        <v>286</v>
      </c>
      <c r="D218" s="222">
        <v>2.5461804328888902</v>
      </c>
      <c r="E218" s="223"/>
      <c r="F218" s="224">
        <v>3.5999999999999997E-2</v>
      </c>
      <c r="G218" s="224">
        <v>0.03</v>
      </c>
      <c r="H218" s="225"/>
      <c r="I218" s="226">
        <v>5</v>
      </c>
      <c r="J218" s="226">
        <v>4</v>
      </c>
      <c r="K218" s="223"/>
      <c r="L218" s="227">
        <v>3312.1167399999999</v>
      </c>
      <c r="M218" s="227">
        <v>2216.3510799999999</v>
      </c>
      <c r="N218" s="227">
        <v>5528.4678199999998</v>
      </c>
      <c r="O218" s="222">
        <v>2171.2788884043898</v>
      </c>
      <c r="P218" s="228">
        <v>271.947</v>
      </c>
      <c r="Q218" s="234">
        <v>7.9841987166778496</v>
      </c>
      <c r="R218" s="235">
        <v>4772.3384858403397</v>
      </c>
      <c r="S218" s="224">
        <v>0.01</v>
      </c>
      <c r="T218" s="224">
        <v>0.01</v>
      </c>
      <c r="U218" s="231">
        <v>0</v>
      </c>
      <c r="V218" s="232">
        <v>0</v>
      </c>
      <c r="W218" s="223"/>
      <c r="X218" s="231">
        <v>2344.707375</v>
      </c>
      <c r="Y218" s="222">
        <v>920.872434927835</v>
      </c>
      <c r="Z218" s="233">
        <v>573</v>
      </c>
      <c r="AA218" s="234">
        <v>1.6071072162789399</v>
      </c>
      <c r="AB218" s="235">
        <v>751.521539254495</v>
      </c>
      <c r="AC218" s="224">
        <v>0.02</v>
      </c>
      <c r="AD218" s="224">
        <v>0.02</v>
      </c>
      <c r="AE218" s="232">
        <v>0</v>
      </c>
      <c r="AF218" s="232">
        <v>0</v>
      </c>
      <c r="AG218" s="223"/>
      <c r="AH218" s="236">
        <v>132.35</v>
      </c>
      <c r="AI218" s="222">
        <v>51.979819768639103</v>
      </c>
      <c r="AJ218" s="237" t="s">
        <v>54</v>
      </c>
      <c r="AK218" s="244">
        <v>0.82507650426411305</v>
      </c>
      <c r="AL218" s="227">
        <v>-42.817029061024101</v>
      </c>
      <c r="AM218" s="224"/>
      <c r="AN218" s="224"/>
      <c r="AO218" s="232">
        <v>29</v>
      </c>
      <c r="AP218" s="232">
        <v>61</v>
      </c>
      <c r="AQ218" s="223"/>
      <c r="AR218" s="236">
        <v>17.8</v>
      </c>
      <c r="AS218" s="222">
        <v>6.9908635578524896</v>
      </c>
      <c r="AT218" s="237" t="s">
        <v>55</v>
      </c>
      <c r="AU218" s="229">
        <v>0.43692897236578099</v>
      </c>
      <c r="AV218" s="230">
        <v>-26.6868645234347</v>
      </c>
      <c r="AW218" s="224"/>
      <c r="AX218" s="224"/>
      <c r="AY218" s="232">
        <v>23</v>
      </c>
      <c r="AZ218" s="232">
        <v>32</v>
      </c>
      <c r="BA218" s="223"/>
      <c r="BB218" s="240">
        <v>78.599999999999994</v>
      </c>
      <c r="BC218" s="236">
        <v>30.869768294786802</v>
      </c>
      <c r="BD218" s="237" t="s">
        <v>56</v>
      </c>
      <c r="BE218" s="238">
        <v>0.964680259212088</v>
      </c>
      <c r="BF218" s="239">
        <v>-10.3737290468694</v>
      </c>
      <c r="BG218" s="224">
        <v>6.0000000000000001E-3</v>
      </c>
      <c r="BH218" s="224"/>
      <c r="BI218" s="232">
        <v>3</v>
      </c>
      <c r="BJ218" s="232">
        <v>20</v>
      </c>
      <c r="BK218" s="225"/>
      <c r="BL218" s="241">
        <v>0.8</v>
      </c>
      <c r="BM218" s="238">
        <v>0.82</v>
      </c>
      <c r="BN218" s="242">
        <v>7.5000000000000002E-4</v>
      </c>
      <c r="BO218" s="243">
        <v>0.95</v>
      </c>
      <c r="BP218" s="234">
        <v>1</v>
      </c>
      <c r="BQ218" s="242">
        <v>2.5000000000000001E-3</v>
      </c>
    </row>
    <row r="219" spans="1:69" s="211" customFormat="1" ht="22.35" customHeight="1" x14ac:dyDescent="0.2">
      <c r="A219" s="221" t="s">
        <v>276</v>
      </c>
      <c r="B219" s="221" t="s">
        <v>277</v>
      </c>
      <c r="C219" s="221" t="s">
        <v>287</v>
      </c>
      <c r="D219" s="222">
        <v>3.79118941177778</v>
      </c>
      <c r="E219" s="223"/>
      <c r="F219" s="224">
        <v>0.03</v>
      </c>
      <c r="G219" s="224">
        <v>0.03</v>
      </c>
      <c r="H219" s="225"/>
      <c r="I219" s="226">
        <v>3</v>
      </c>
      <c r="J219" s="226">
        <v>3</v>
      </c>
      <c r="K219" s="223"/>
      <c r="L219" s="227">
        <v>3186.43624</v>
      </c>
      <c r="M219" s="227">
        <v>2688.56493</v>
      </c>
      <c r="N219" s="227">
        <v>5875.0011699999995</v>
      </c>
      <c r="O219" s="222">
        <v>1549.6459110559399</v>
      </c>
      <c r="P219" s="228">
        <v>272.346</v>
      </c>
      <c r="Q219" s="234">
        <v>5.6899896126836396</v>
      </c>
      <c r="R219" s="235">
        <v>4747.4944934782898</v>
      </c>
      <c r="S219" s="224">
        <v>0.01</v>
      </c>
      <c r="T219" s="224">
        <v>0.01</v>
      </c>
      <c r="U219" s="231">
        <v>0</v>
      </c>
      <c r="V219" s="232">
        <v>0</v>
      </c>
      <c r="W219" s="223"/>
      <c r="X219" s="231">
        <v>1585.8655349999999</v>
      </c>
      <c r="Y219" s="222">
        <v>418.30290253325802</v>
      </c>
      <c r="Z219" s="233">
        <v>573</v>
      </c>
      <c r="AA219" s="244">
        <v>0.73002251751004898</v>
      </c>
      <c r="AB219" s="227">
        <v>-786.342338979945</v>
      </c>
      <c r="AC219" s="224"/>
      <c r="AD219" s="224"/>
      <c r="AE219" s="232">
        <v>587</v>
      </c>
      <c r="AF219" s="232">
        <v>1021</v>
      </c>
      <c r="AG219" s="223"/>
      <c r="AH219" s="236">
        <v>86.4</v>
      </c>
      <c r="AI219" s="222">
        <v>22.789681710860499</v>
      </c>
      <c r="AJ219" s="237" t="s">
        <v>54</v>
      </c>
      <c r="AK219" s="229">
        <v>0.36174097953746798</v>
      </c>
      <c r="AL219" s="230">
        <v>-174.41866677266401</v>
      </c>
      <c r="AM219" s="224"/>
      <c r="AN219" s="224"/>
      <c r="AO219" s="232">
        <v>153</v>
      </c>
      <c r="AP219" s="232">
        <v>201</v>
      </c>
      <c r="AQ219" s="223"/>
      <c r="AR219" s="236">
        <v>31</v>
      </c>
      <c r="AS219" s="222">
        <v>8.1768533916281907</v>
      </c>
      <c r="AT219" s="237" t="s">
        <v>55</v>
      </c>
      <c r="AU219" s="229">
        <v>0.51105333697676203</v>
      </c>
      <c r="AV219" s="230">
        <v>-35.239661402581397</v>
      </c>
      <c r="AW219" s="224"/>
      <c r="AX219" s="224"/>
      <c r="AY219" s="232">
        <v>30</v>
      </c>
      <c r="AZ219" s="232">
        <v>42</v>
      </c>
      <c r="BA219" s="223"/>
      <c r="BB219" s="240">
        <v>179.4</v>
      </c>
      <c r="BC219" s="236">
        <v>47.320241885745098</v>
      </c>
      <c r="BD219" s="237" t="s">
        <v>56</v>
      </c>
      <c r="BE219" s="234">
        <v>1.4787575589295301</v>
      </c>
      <c r="BF219" s="235">
        <v>46.920677194837303</v>
      </c>
      <c r="BG219" s="224">
        <v>0.02</v>
      </c>
      <c r="BH219" s="224">
        <v>0.02</v>
      </c>
      <c r="BI219" s="232">
        <v>0</v>
      </c>
      <c r="BJ219" s="232">
        <v>0</v>
      </c>
      <c r="BK219" s="225"/>
      <c r="BL219" s="241">
        <v>0.8</v>
      </c>
      <c r="BM219" s="244">
        <v>0.75</v>
      </c>
      <c r="BN219" s="242"/>
      <c r="BO219" s="243">
        <v>0.95</v>
      </c>
      <c r="BP219" s="234">
        <v>1</v>
      </c>
      <c r="BQ219" s="242">
        <v>2.5000000000000001E-3</v>
      </c>
    </row>
    <row r="220" spans="1:69" s="211" customFormat="1" ht="22.35" customHeight="1" x14ac:dyDescent="0.2">
      <c r="A220" s="221" t="s">
        <v>276</v>
      </c>
      <c r="B220" s="221" t="s">
        <v>277</v>
      </c>
      <c r="C220" s="221" t="s">
        <v>288</v>
      </c>
      <c r="D220" s="222">
        <v>4.0983728111111102</v>
      </c>
      <c r="E220" s="223"/>
      <c r="F220" s="224">
        <v>0.03</v>
      </c>
      <c r="G220" s="224">
        <v>0.02</v>
      </c>
      <c r="H220" s="225"/>
      <c r="I220" s="226">
        <v>3</v>
      </c>
      <c r="J220" s="226">
        <v>3</v>
      </c>
      <c r="K220" s="223"/>
      <c r="L220" s="227">
        <v>2130.9472000000001</v>
      </c>
      <c r="M220" s="227">
        <v>2150.4437400000002</v>
      </c>
      <c r="N220" s="227">
        <v>4281.3909400000002</v>
      </c>
      <c r="O220" s="222">
        <v>1044.6562910022999</v>
      </c>
      <c r="P220" s="228">
        <v>276.21300000000002</v>
      </c>
      <c r="Q220" s="234">
        <v>3.7820677918935699</v>
      </c>
      <c r="R220" s="235">
        <v>3045.22089659123</v>
      </c>
      <c r="S220" s="224">
        <v>0.01</v>
      </c>
      <c r="T220" s="224">
        <v>0.01</v>
      </c>
      <c r="U220" s="231">
        <v>0</v>
      </c>
      <c r="V220" s="232">
        <v>0</v>
      </c>
      <c r="W220" s="223"/>
      <c r="X220" s="231">
        <v>1867.4395549999999</v>
      </c>
      <c r="Y220" s="222">
        <v>455.65389999103502</v>
      </c>
      <c r="Z220" s="233">
        <v>573</v>
      </c>
      <c r="AA220" s="244">
        <v>0.79520750434735599</v>
      </c>
      <c r="AB220" s="227">
        <v>-696.97788687719901</v>
      </c>
      <c r="AC220" s="224"/>
      <c r="AD220" s="224"/>
      <c r="AE220" s="232">
        <v>481</v>
      </c>
      <c r="AF220" s="232">
        <v>951</v>
      </c>
      <c r="AG220" s="223"/>
      <c r="AH220" s="236">
        <v>145.94999999999999</v>
      </c>
      <c r="AI220" s="222">
        <v>35.611694378880003</v>
      </c>
      <c r="AJ220" s="237" t="s">
        <v>54</v>
      </c>
      <c r="AK220" s="229">
        <v>0.565264990140952</v>
      </c>
      <c r="AL220" s="230">
        <v>-136.00165591320001</v>
      </c>
      <c r="AM220" s="224"/>
      <c r="AN220" s="224"/>
      <c r="AO220" s="232">
        <v>113</v>
      </c>
      <c r="AP220" s="232">
        <v>164</v>
      </c>
      <c r="AQ220" s="223"/>
      <c r="AR220" s="236">
        <v>25.8</v>
      </c>
      <c r="AS220" s="222">
        <v>6.2951813290517498</v>
      </c>
      <c r="AT220" s="237" t="s">
        <v>55</v>
      </c>
      <c r="AU220" s="229">
        <v>0.39344883306573403</v>
      </c>
      <c r="AV220" s="230">
        <v>-45.806769755733299</v>
      </c>
      <c r="AW220" s="224"/>
      <c r="AX220" s="224"/>
      <c r="AY220" s="232">
        <v>40</v>
      </c>
      <c r="AZ220" s="232">
        <v>53</v>
      </c>
      <c r="BA220" s="223"/>
      <c r="BB220" s="240">
        <v>143.80000000000001</v>
      </c>
      <c r="BC220" s="236">
        <v>35.087095934792302</v>
      </c>
      <c r="BD220" s="237" t="s">
        <v>56</v>
      </c>
      <c r="BE220" s="234">
        <v>1.0964717479622601</v>
      </c>
      <c r="BF220" s="235">
        <v>0.58646048853338995</v>
      </c>
      <c r="BG220" s="224">
        <v>0.02</v>
      </c>
      <c r="BH220" s="224">
        <v>0.01</v>
      </c>
      <c r="BI220" s="232">
        <v>0</v>
      </c>
      <c r="BJ220" s="232">
        <v>14</v>
      </c>
      <c r="BK220" s="225"/>
      <c r="BL220" s="241">
        <v>0.8</v>
      </c>
      <c r="BM220" s="244">
        <v>0.77</v>
      </c>
      <c r="BN220" s="242"/>
      <c r="BO220" s="243">
        <v>0.95</v>
      </c>
      <c r="BP220" s="234">
        <v>1</v>
      </c>
      <c r="BQ220" s="242">
        <v>2.5000000000000001E-3</v>
      </c>
    </row>
    <row r="221" spans="1:69" s="211" customFormat="1" ht="22.35" customHeight="1" x14ac:dyDescent="0.2">
      <c r="A221" s="221" t="s">
        <v>276</v>
      </c>
      <c r="B221" s="221" t="s">
        <v>277</v>
      </c>
      <c r="C221" s="221" t="s">
        <v>289</v>
      </c>
      <c r="D221" s="222">
        <v>3.0671238162222201</v>
      </c>
      <c r="E221" s="223"/>
      <c r="F221" s="224">
        <v>1.4999999999999999E-2</v>
      </c>
      <c r="G221" s="224">
        <v>0.01</v>
      </c>
      <c r="H221" s="225"/>
      <c r="I221" s="226">
        <v>4</v>
      </c>
      <c r="J221" s="226">
        <v>3</v>
      </c>
      <c r="K221" s="223"/>
      <c r="L221" s="227">
        <v>611.30375000000004</v>
      </c>
      <c r="M221" s="227">
        <v>985.12477000000001</v>
      </c>
      <c r="N221" s="227">
        <v>1596.4285199999999</v>
      </c>
      <c r="O221" s="222">
        <v>520.49692665042801</v>
      </c>
      <c r="P221" s="228">
        <v>259.01299999999998</v>
      </c>
      <c r="Q221" s="234">
        <v>2.00953977850698</v>
      </c>
      <c r="R221" s="235">
        <v>728.91648441580696</v>
      </c>
      <c r="S221" s="224">
        <v>0.01</v>
      </c>
      <c r="T221" s="224">
        <v>0.01</v>
      </c>
      <c r="U221" s="231">
        <v>0</v>
      </c>
      <c r="V221" s="232">
        <v>0</v>
      </c>
      <c r="W221" s="223"/>
      <c r="X221" s="231">
        <v>1081.3149000000001</v>
      </c>
      <c r="Y221" s="222">
        <v>352.55012995590602</v>
      </c>
      <c r="Z221" s="233">
        <v>573</v>
      </c>
      <c r="AA221" s="229">
        <v>0.61527073290734102</v>
      </c>
      <c r="AB221" s="230">
        <v>-837.83354579130298</v>
      </c>
      <c r="AC221" s="224"/>
      <c r="AD221" s="224"/>
      <c r="AE221" s="232">
        <v>677</v>
      </c>
      <c r="AF221" s="232">
        <v>1028</v>
      </c>
      <c r="AG221" s="223"/>
      <c r="AH221" s="236">
        <v>101.25</v>
      </c>
      <c r="AI221" s="222">
        <v>33.011383324169003</v>
      </c>
      <c r="AJ221" s="237" t="s">
        <v>54</v>
      </c>
      <c r="AK221" s="229">
        <v>0.523990211494747</v>
      </c>
      <c r="AL221" s="230">
        <v>-109.755850060824</v>
      </c>
      <c r="AM221" s="224"/>
      <c r="AN221" s="224"/>
      <c r="AO221" s="232">
        <v>92</v>
      </c>
      <c r="AP221" s="232">
        <v>131</v>
      </c>
      <c r="AQ221" s="223"/>
      <c r="AR221" s="236">
        <v>16.600000000000001</v>
      </c>
      <c r="AS221" s="222">
        <v>5.4122366733946299</v>
      </c>
      <c r="AT221" s="237" t="s">
        <v>55</v>
      </c>
      <c r="AU221" s="229">
        <v>0.33826479208716398</v>
      </c>
      <c r="AV221" s="230">
        <v>-36.9887873170346</v>
      </c>
      <c r="AW221" s="224"/>
      <c r="AX221" s="224"/>
      <c r="AY221" s="232">
        <v>33</v>
      </c>
      <c r="AZ221" s="232">
        <v>43</v>
      </c>
      <c r="BA221" s="223"/>
      <c r="BB221" s="240">
        <v>93.8</v>
      </c>
      <c r="BC221" s="236">
        <v>30.582397588217798</v>
      </c>
      <c r="BD221" s="237" t="s">
        <v>56</v>
      </c>
      <c r="BE221" s="238">
        <v>0.95569992463180697</v>
      </c>
      <c r="BF221" s="239">
        <v>-13.377574634069299</v>
      </c>
      <c r="BG221" s="224">
        <v>5.0000000000000001E-3</v>
      </c>
      <c r="BH221" s="224"/>
      <c r="BI221" s="232">
        <v>5</v>
      </c>
      <c r="BJ221" s="232">
        <v>24</v>
      </c>
      <c r="BK221" s="225"/>
      <c r="BL221" s="241">
        <v>0.8</v>
      </c>
      <c r="BM221" s="238">
        <v>0.81</v>
      </c>
      <c r="BN221" s="242">
        <v>3.7500000000000001E-4</v>
      </c>
      <c r="BO221" s="243">
        <v>0.95</v>
      </c>
      <c r="BP221" s="234">
        <v>1</v>
      </c>
      <c r="BQ221" s="242">
        <v>2.5000000000000001E-3</v>
      </c>
    </row>
    <row r="222" spans="1:69" s="211" customFormat="1" ht="22.35" customHeight="1" x14ac:dyDescent="0.2">
      <c r="A222" s="221" t="s">
        <v>276</v>
      </c>
      <c r="B222" s="221" t="s">
        <v>277</v>
      </c>
      <c r="C222" s="221" t="s">
        <v>290</v>
      </c>
      <c r="D222" s="222">
        <v>7.3002462538888899</v>
      </c>
      <c r="E222" s="223"/>
      <c r="F222" s="224">
        <v>2.3E-2</v>
      </c>
      <c r="G222" s="224">
        <v>1.2E-2</v>
      </c>
      <c r="H222" s="225"/>
      <c r="I222" s="226">
        <v>3</v>
      </c>
      <c r="J222" s="226">
        <v>3</v>
      </c>
      <c r="K222" s="223"/>
      <c r="L222" s="227">
        <v>4496.5194600000004</v>
      </c>
      <c r="M222" s="227">
        <v>2444.5513599999999</v>
      </c>
      <c r="N222" s="227">
        <v>6941.0708199999999</v>
      </c>
      <c r="O222" s="222">
        <v>950.79954546772296</v>
      </c>
      <c r="P222" s="228">
        <v>287.5</v>
      </c>
      <c r="Q222" s="234">
        <v>3.3071288538007702</v>
      </c>
      <c r="R222" s="235">
        <v>4649.1585085915804</v>
      </c>
      <c r="S222" s="224">
        <v>0.01</v>
      </c>
      <c r="T222" s="224">
        <v>0.01</v>
      </c>
      <c r="U222" s="231">
        <v>0</v>
      </c>
      <c r="V222" s="232">
        <v>0</v>
      </c>
      <c r="W222" s="223"/>
      <c r="X222" s="231">
        <v>3106.0787049999999</v>
      </c>
      <c r="Y222" s="222">
        <v>425.47588080955097</v>
      </c>
      <c r="Z222" s="233">
        <v>573</v>
      </c>
      <c r="AA222" s="244">
        <v>0.74254080420515001</v>
      </c>
      <c r="AB222" s="227">
        <v>-1461.8021799983401</v>
      </c>
      <c r="AC222" s="224"/>
      <c r="AD222" s="224"/>
      <c r="AE222" s="232">
        <v>1077</v>
      </c>
      <c r="AF222" s="232">
        <v>1914</v>
      </c>
      <c r="AG222" s="223"/>
      <c r="AH222" s="236">
        <v>248.4</v>
      </c>
      <c r="AI222" s="222">
        <v>34.026249438870103</v>
      </c>
      <c r="AJ222" s="237" t="s">
        <v>54</v>
      </c>
      <c r="AK222" s="229">
        <v>0.540099197442382</v>
      </c>
      <c r="AL222" s="230">
        <v>-253.82774128253999</v>
      </c>
      <c r="AM222" s="224"/>
      <c r="AN222" s="224"/>
      <c r="AO222" s="232">
        <v>212</v>
      </c>
      <c r="AP222" s="232">
        <v>304</v>
      </c>
      <c r="AQ222" s="223"/>
      <c r="AR222" s="236">
        <v>58.8</v>
      </c>
      <c r="AS222" s="222">
        <v>8.0545228140320404</v>
      </c>
      <c r="AT222" s="237" t="s">
        <v>55</v>
      </c>
      <c r="AU222" s="229">
        <v>0.50340767587700297</v>
      </c>
      <c r="AV222" s="230">
        <v>-68.749902547946704</v>
      </c>
      <c r="AW222" s="224"/>
      <c r="AX222" s="224"/>
      <c r="AY222" s="232">
        <v>59</v>
      </c>
      <c r="AZ222" s="232">
        <v>82</v>
      </c>
      <c r="BA222" s="223"/>
      <c r="BB222" s="240">
        <v>239.4</v>
      </c>
      <c r="BC222" s="236">
        <v>32.793414314273299</v>
      </c>
      <c r="BD222" s="237" t="s">
        <v>56</v>
      </c>
      <c r="BE222" s="238">
        <v>1.0247941973210399</v>
      </c>
      <c r="BF222" s="239">
        <v>-15.6998050958933</v>
      </c>
      <c r="BG222" s="224">
        <v>1.2999999999999999E-2</v>
      </c>
      <c r="BH222" s="224">
        <v>2E-3</v>
      </c>
      <c r="BI222" s="232">
        <v>0</v>
      </c>
      <c r="BJ222" s="232">
        <v>41</v>
      </c>
      <c r="BK222" s="225"/>
      <c r="BL222" s="241">
        <v>0.8</v>
      </c>
      <c r="BM222" s="229">
        <v>0.65</v>
      </c>
      <c r="BN222" s="242"/>
      <c r="BO222" s="243">
        <v>0.95</v>
      </c>
      <c r="BP222" s="234">
        <v>1</v>
      </c>
      <c r="BQ222" s="242">
        <v>2.5000000000000001E-3</v>
      </c>
    </row>
    <row r="223" spans="1:69" s="211" customFormat="1" ht="22.35" customHeight="1" x14ac:dyDescent="0.2">
      <c r="A223" s="221" t="s">
        <v>276</v>
      </c>
      <c r="B223" s="221" t="s">
        <v>277</v>
      </c>
      <c r="C223" s="221" t="s">
        <v>291</v>
      </c>
      <c r="D223" s="222">
        <v>2.9612506945555599</v>
      </c>
      <c r="E223" s="223"/>
      <c r="F223" s="224">
        <v>5.7000000000000002E-2</v>
      </c>
      <c r="G223" s="224">
        <v>4.5999999999999999E-2</v>
      </c>
      <c r="H223" s="225"/>
      <c r="I223" s="226">
        <v>6</v>
      </c>
      <c r="J223" s="226">
        <v>6</v>
      </c>
      <c r="K223" s="223"/>
      <c r="L223" s="227">
        <v>1364.66688</v>
      </c>
      <c r="M223" s="227">
        <v>647.40656000000001</v>
      </c>
      <c r="N223" s="227">
        <v>2012.0734399999999</v>
      </c>
      <c r="O223" s="222">
        <v>679.46744384030796</v>
      </c>
      <c r="P223" s="228">
        <v>273.31099999999998</v>
      </c>
      <c r="Q223" s="234">
        <v>2.48605963111733</v>
      </c>
      <c r="R223" s="235">
        <v>1128.27155167099</v>
      </c>
      <c r="S223" s="224">
        <v>0.01</v>
      </c>
      <c r="T223" s="224">
        <v>0.01</v>
      </c>
      <c r="U223" s="231">
        <v>0</v>
      </c>
      <c r="V223" s="232">
        <v>0</v>
      </c>
      <c r="W223" s="223"/>
      <c r="X223" s="231">
        <v>1803.7364399999999</v>
      </c>
      <c r="Y223" s="222">
        <v>609.11304919785505</v>
      </c>
      <c r="Z223" s="233">
        <v>573</v>
      </c>
      <c r="AA223" s="238">
        <v>1.0630245186699001</v>
      </c>
      <c r="AB223" s="239">
        <v>-49.165499594526899</v>
      </c>
      <c r="AC223" s="224">
        <v>1.7000000000000001E-2</v>
      </c>
      <c r="AD223" s="224">
        <v>6.0000000000000001E-3</v>
      </c>
      <c r="AE223" s="232">
        <v>0</v>
      </c>
      <c r="AF223" s="232">
        <v>233</v>
      </c>
      <c r="AG223" s="223"/>
      <c r="AH223" s="236">
        <v>146.15</v>
      </c>
      <c r="AI223" s="222">
        <v>49.354146296598898</v>
      </c>
      <c r="AJ223" s="237" t="s">
        <v>54</v>
      </c>
      <c r="AK223" s="244">
        <v>0.78339914756506202</v>
      </c>
      <c r="AL223" s="227">
        <v>-57.572202782644297</v>
      </c>
      <c r="AM223" s="224"/>
      <c r="AN223" s="224"/>
      <c r="AO223" s="232">
        <v>41</v>
      </c>
      <c r="AP223" s="232">
        <v>78</v>
      </c>
      <c r="AQ223" s="223"/>
      <c r="AR223" s="236">
        <v>69</v>
      </c>
      <c r="AS223" s="222">
        <v>23.300965408589299</v>
      </c>
      <c r="AT223" s="237" t="s">
        <v>55</v>
      </c>
      <c r="AU223" s="234">
        <v>1.4563103380368301</v>
      </c>
      <c r="AV223" s="235">
        <v>17.2610278647253</v>
      </c>
      <c r="AW223" s="224">
        <v>0.01</v>
      </c>
      <c r="AX223" s="224">
        <v>0.01</v>
      </c>
      <c r="AY223" s="232">
        <v>0</v>
      </c>
      <c r="AZ223" s="232">
        <v>0</v>
      </c>
      <c r="BA223" s="223"/>
      <c r="BB223" s="240">
        <v>225.4</v>
      </c>
      <c r="BC223" s="236">
        <v>76.116487001391704</v>
      </c>
      <c r="BD223" s="237" t="s">
        <v>56</v>
      </c>
      <c r="BE223" s="234">
        <v>2.3786402187934899</v>
      </c>
      <c r="BF223" s="235">
        <v>121.922055729451</v>
      </c>
      <c r="BG223" s="224">
        <v>0.02</v>
      </c>
      <c r="BH223" s="224">
        <v>0.02</v>
      </c>
      <c r="BI223" s="232">
        <v>0</v>
      </c>
      <c r="BJ223" s="232">
        <v>0</v>
      </c>
      <c r="BK223" s="225"/>
      <c r="BL223" s="241">
        <v>0.8</v>
      </c>
      <c r="BM223" s="238">
        <v>0.81</v>
      </c>
      <c r="BN223" s="242">
        <v>3.7500000000000001E-4</v>
      </c>
      <c r="BO223" s="243">
        <v>0.95</v>
      </c>
      <c r="BP223" s="234">
        <v>1</v>
      </c>
      <c r="BQ223" s="242">
        <v>2.5000000000000001E-3</v>
      </c>
    </row>
    <row r="224" spans="1:69" s="211" customFormat="1" ht="22.35" customHeight="1" x14ac:dyDescent="0.2">
      <c r="A224" s="221" t="s">
        <v>276</v>
      </c>
      <c r="B224" s="221" t="s">
        <v>277</v>
      </c>
      <c r="C224" s="221" t="s">
        <v>292</v>
      </c>
      <c r="D224" s="222">
        <v>3.1521611030000001</v>
      </c>
      <c r="E224" s="223"/>
      <c r="F224" s="224">
        <v>3.2000000000000001E-2</v>
      </c>
      <c r="G224" s="224">
        <v>0.03</v>
      </c>
      <c r="H224" s="225"/>
      <c r="I224" s="226">
        <v>4</v>
      </c>
      <c r="J224" s="226">
        <v>3</v>
      </c>
      <c r="K224" s="223"/>
      <c r="L224" s="227">
        <v>1560.8911900000001</v>
      </c>
      <c r="M224" s="227">
        <v>1123.7683500000001</v>
      </c>
      <c r="N224" s="227">
        <v>2684.6595400000001</v>
      </c>
      <c r="O224" s="222">
        <v>851.68855660484303</v>
      </c>
      <c r="P224" s="228">
        <v>216.041</v>
      </c>
      <c r="Q224" s="234">
        <v>3.9422542786084298</v>
      </c>
      <c r="R224" s="235">
        <v>1941.01186775628</v>
      </c>
      <c r="S224" s="224">
        <v>0.01</v>
      </c>
      <c r="T224" s="224">
        <v>0.01</v>
      </c>
      <c r="U224" s="231">
        <v>0</v>
      </c>
      <c r="V224" s="232">
        <v>0</v>
      </c>
      <c r="W224" s="223"/>
      <c r="X224" s="231">
        <v>1582.9987149999999</v>
      </c>
      <c r="Y224" s="222">
        <v>502.19473665017199</v>
      </c>
      <c r="Z224" s="233">
        <v>573</v>
      </c>
      <c r="AA224" s="244">
        <v>0.87643060497412195</v>
      </c>
      <c r="AB224" s="227">
        <v>-389.35892172474797</v>
      </c>
      <c r="AC224" s="224"/>
      <c r="AD224" s="224"/>
      <c r="AE224" s="232">
        <v>224</v>
      </c>
      <c r="AF224" s="232">
        <v>585</v>
      </c>
      <c r="AG224" s="223"/>
      <c r="AH224" s="236">
        <v>185.05</v>
      </c>
      <c r="AI224" s="222">
        <v>58.7057558142833</v>
      </c>
      <c r="AJ224" s="237" t="s">
        <v>54</v>
      </c>
      <c r="AK224" s="238">
        <v>0.93183739387751297</v>
      </c>
      <c r="AL224" s="239">
        <v>-31.806075241988001</v>
      </c>
      <c r="AM224" s="224">
        <v>2E-3</v>
      </c>
      <c r="AN224" s="224"/>
      <c r="AO224" s="232">
        <v>14</v>
      </c>
      <c r="AP224" s="232">
        <v>54</v>
      </c>
      <c r="AQ224" s="223"/>
      <c r="AR224" s="236">
        <v>8</v>
      </c>
      <c r="AS224" s="222">
        <v>2.5379413483613402</v>
      </c>
      <c r="AT224" s="237" t="s">
        <v>55</v>
      </c>
      <c r="AU224" s="229">
        <v>0.15862133427258401</v>
      </c>
      <c r="AV224" s="230">
        <v>-47.074558791615999</v>
      </c>
      <c r="AW224" s="224"/>
      <c r="AX224" s="224"/>
      <c r="AY224" s="232">
        <v>43</v>
      </c>
      <c r="AZ224" s="232">
        <v>53</v>
      </c>
      <c r="BA224" s="223"/>
      <c r="BB224" s="240">
        <v>129.6</v>
      </c>
      <c r="BC224" s="236">
        <v>41.114649843453797</v>
      </c>
      <c r="BD224" s="237" t="s">
        <v>56</v>
      </c>
      <c r="BE224" s="234">
        <v>1.2848328076079301</v>
      </c>
      <c r="BF224" s="235">
        <v>19.450882416768</v>
      </c>
      <c r="BG224" s="224">
        <v>0.02</v>
      </c>
      <c r="BH224" s="224">
        <v>0.02</v>
      </c>
      <c r="BI224" s="232">
        <v>0</v>
      </c>
      <c r="BJ224" s="232">
        <v>0</v>
      </c>
      <c r="BK224" s="225"/>
      <c r="BL224" s="241">
        <v>0.8</v>
      </c>
      <c r="BM224" s="244">
        <v>0.72</v>
      </c>
      <c r="BN224" s="242"/>
      <c r="BO224" s="243">
        <v>0.95</v>
      </c>
      <c r="BP224" s="234">
        <v>1</v>
      </c>
      <c r="BQ224" s="242">
        <v>2.5000000000000001E-3</v>
      </c>
    </row>
    <row r="225" spans="1:69" s="211" customFormat="1" ht="22.35" customHeight="1" x14ac:dyDescent="0.2">
      <c r="A225" s="221" t="s">
        <v>276</v>
      </c>
      <c r="B225" s="221" t="s">
        <v>277</v>
      </c>
      <c r="C225" s="221" t="s">
        <v>293</v>
      </c>
      <c r="D225" s="222">
        <v>7.7095109328888896</v>
      </c>
      <c r="E225" s="223"/>
      <c r="F225" s="224">
        <v>5.1999999999999998E-2</v>
      </c>
      <c r="G225" s="224">
        <v>3.4500000000000003E-2</v>
      </c>
      <c r="H225" s="225"/>
      <c r="I225" s="226">
        <v>5</v>
      </c>
      <c r="J225" s="226">
        <v>5</v>
      </c>
      <c r="K225" s="223"/>
      <c r="L225" s="227">
        <v>3662.8444199999999</v>
      </c>
      <c r="M225" s="227">
        <v>857.21752000000004</v>
      </c>
      <c r="N225" s="227">
        <v>4520.0619399999996</v>
      </c>
      <c r="O225" s="222">
        <v>586.29684546101998</v>
      </c>
      <c r="P225" s="228">
        <v>287.5</v>
      </c>
      <c r="Q225" s="234">
        <v>2.0392933755165901</v>
      </c>
      <c r="R225" s="235">
        <v>2099.6609826195299</v>
      </c>
      <c r="S225" s="224">
        <v>0.01</v>
      </c>
      <c r="T225" s="224">
        <v>0.01</v>
      </c>
      <c r="U225" s="231">
        <v>0</v>
      </c>
      <c r="V225" s="232">
        <v>0</v>
      </c>
      <c r="W225" s="223"/>
      <c r="X225" s="231">
        <v>4701.7310500000003</v>
      </c>
      <c r="Y225" s="222">
        <v>609.86113009352403</v>
      </c>
      <c r="Z225" s="233">
        <v>573</v>
      </c>
      <c r="AA225" s="238">
        <v>1.0643300699712499</v>
      </c>
      <c r="AB225" s="239">
        <v>-122.233292883505</v>
      </c>
      <c r="AC225" s="224">
        <v>1.7000000000000001E-2</v>
      </c>
      <c r="AD225" s="224">
        <v>6.0000000000000001E-3</v>
      </c>
      <c r="AE225" s="232">
        <v>0</v>
      </c>
      <c r="AF225" s="232">
        <v>600</v>
      </c>
      <c r="AG225" s="223"/>
      <c r="AH225" s="236">
        <v>246.1</v>
      </c>
      <c r="AI225" s="222">
        <v>31.921609832620302</v>
      </c>
      <c r="AJ225" s="237" t="s">
        <v>54</v>
      </c>
      <c r="AK225" s="229">
        <v>0.506692219565402</v>
      </c>
      <c r="AL225" s="230">
        <v>-284.28351413902402</v>
      </c>
      <c r="AM225" s="224"/>
      <c r="AN225" s="224"/>
      <c r="AO225" s="232">
        <v>240</v>
      </c>
      <c r="AP225" s="232">
        <v>337</v>
      </c>
      <c r="AQ225" s="223"/>
      <c r="AR225" s="236">
        <v>123.5</v>
      </c>
      <c r="AS225" s="222">
        <v>16.019174377605101</v>
      </c>
      <c r="AT225" s="237" t="s">
        <v>55</v>
      </c>
      <c r="AU225" s="238">
        <v>1.0011983986003199</v>
      </c>
      <c r="AV225" s="239">
        <v>-11.2005750194347</v>
      </c>
      <c r="AW225" s="224">
        <v>5.0000000000000001E-3</v>
      </c>
      <c r="AX225" s="224">
        <v>5.0000000000000001E-4</v>
      </c>
      <c r="AY225" s="232">
        <v>0</v>
      </c>
      <c r="AZ225" s="232">
        <v>25</v>
      </c>
      <c r="BA225" s="223"/>
      <c r="BB225" s="240">
        <v>290.39999999999998</v>
      </c>
      <c r="BC225" s="236">
        <v>37.667759022319999</v>
      </c>
      <c r="BD225" s="237" t="s">
        <v>56</v>
      </c>
      <c r="BE225" s="234">
        <v>1.1771174694475</v>
      </c>
      <c r="BF225" s="235">
        <v>20.998849961130599</v>
      </c>
      <c r="BG225" s="224">
        <v>0.02</v>
      </c>
      <c r="BH225" s="224">
        <v>1.7999999999999999E-2</v>
      </c>
      <c r="BI225" s="232">
        <v>0</v>
      </c>
      <c r="BJ225" s="232">
        <v>6</v>
      </c>
      <c r="BK225" s="225"/>
      <c r="BL225" s="241">
        <v>0.8</v>
      </c>
      <c r="BM225" s="244">
        <v>0.78</v>
      </c>
      <c r="BN225" s="242"/>
      <c r="BO225" s="243">
        <v>0.95</v>
      </c>
      <c r="BP225" s="234">
        <v>1</v>
      </c>
      <c r="BQ225" s="242">
        <v>2.5000000000000001E-3</v>
      </c>
    </row>
    <row r="226" spans="1:69" s="211" customFormat="1" ht="22.35" customHeight="1" x14ac:dyDescent="0.2">
      <c r="A226" s="221" t="s">
        <v>276</v>
      </c>
      <c r="B226" s="221" t="s">
        <v>277</v>
      </c>
      <c r="C226" s="221" t="s">
        <v>294</v>
      </c>
      <c r="D226" s="222">
        <v>2.83696294222222</v>
      </c>
      <c r="E226" s="223"/>
      <c r="F226" s="224">
        <v>2.4E-2</v>
      </c>
      <c r="G226" s="224">
        <v>1.4E-2</v>
      </c>
      <c r="H226" s="225"/>
      <c r="I226" s="226">
        <v>4</v>
      </c>
      <c r="J226" s="226">
        <v>4</v>
      </c>
      <c r="K226" s="223"/>
      <c r="L226" s="227">
        <v>551.51557000000003</v>
      </c>
      <c r="M226" s="227">
        <v>2008.1950300000001</v>
      </c>
      <c r="N226" s="227">
        <v>2559.7105999999999</v>
      </c>
      <c r="O226" s="222">
        <v>902.27142621572398</v>
      </c>
      <c r="P226" s="228">
        <v>287.5</v>
      </c>
      <c r="Q226" s="234">
        <v>3.13833539553295</v>
      </c>
      <c r="R226" s="235">
        <v>1669.0460842893301</v>
      </c>
      <c r="S226" s="224">
        <v>0.01</v>
      </c>
      <c r="T226" s="224">
        <v>0.01</v>
      </c>
      <c r="U226" s="231">
        <v>0</v>
      </c>
      <c r="V226" s="232">
        <v>0</v>
      </c>
      <c r="W226" s="223"/>
      <c r="X226" s="231">
        <v>1692.8295149999999</v>
      </c>
      <c r="Y226" s="222">
        <v>596.70483875760101</v>
      </c>
      <c r="Z226" s="233">
        <v>573</v>
      </c>
      <c r="AA226" s="238">
        <v>1.0413697011476499</v>
      </c>
      <c r="AB226" s="239">
        <v>-82.303589355518397</v>
      </c>
      <c r="AC226" s="224">
        <v>1.4E-2</v>
      </c>
      <c r="AD226" s="224">
        <v>4.0000000000000001E-3</v>
      </c>
      <c r="AE226" s="232">
        <v>0</v>
      </c>
      <c r="AF226" s="232">
        <v>258</v>
      </c>
      <c r="AG226" s="223"/>
      <c r="AH226" s="236">
        <v>114.5</v>
      </c>
      <c r="AI226" s="222">
        <v>40.360061915476003</v>
      </c>
      <c r="AJ226" s="237" t="s">
        <v>54</v>
      </c>
      <c r="AK226" s="229">
        <v>0.640635903420255</v>
      </c>
      <c r="AL226" s="230">
        <v>-80.671702573119802</v>
      </c>
      <c r="AM226" s="224"/>
      <c r="AN226" s="224"/>
      <c r="AO226" s="232">
        <v>65</v>
      </c>
      <c r="AP226" s="232">
        <v>100</v>
      </c>
      <c r="AQ226" s="223"/>
      <c r="AR226" s="236">
        <v>6.6</v>
      </c>
      <c r="AS226" s="222">
        <v>2.3264315165252598</v>
      </c>
      <c r="AT226" s="237" t="s">
        <v>55</v>
      </c>
      <c r="AU226" s="229">
        <v>0.14540196978282899</v>
      </c>
      <c r="AV226" s="230">
        <v>-42.967416526506597</v>
      </c>
      <c r="AW226" s="224"/>
      <c r="AX226" s="224"/>
      <c r="AY226" s="232">
        <v>39</v>
      </c>
      <c r="AZ226" s="232">
        <v>48</v>
      </c>
      <c r="BA226" s="223"/>
      <c r="BB226" s="240">
        <v>71.400000000000006</v>
      </c>
      <c r="BC226" s="236">
        <v>25.1677591333187</v>
      </c>
      <c r="BD226" s="237" t="s">
        <v>56</v>
      </c>
      <c r="BE226" s="244">
        <v>0.78649247291620905</v>
      </c>
      <c r="BF226" s="227">
        <v>-27.734833053013201</v>
      </c>
      <c r="BG226" s="224"/>
      <c r="BH226" s="224"/>
      <c r="BI226" s="232">
        <v>20</v>
      </c>
      <c r="BJ226" s="232">
        <v>38</v>
      </c>
      <c r="BK226" s="225"/>
      <c r="BL226" s="241">
        <v>0.8</v>
      </c>
      <c r="BM226" s="238">
        <v>0.86</v>
      </c>
      <c r="BN226" s="242">
        <v>2.2499999999999998E-3</v>
      </c>
      <c r="BO226" s="243">
        <v>0.95</v>
      </c>
      <c r="BP226" s="234">
        <v>1</v>
      </c>
      <c r="BQ226" s="242">
        <v>2.5000000000000001E-3</v>
      </c>
    </row>
    <row r="227" spans="1:69" s="211" customFormat="1" ht="22.35" customHeight="1" x14ac:dyDescent="0.2">
      <c r="A227" s="221" t="s">
        <v>276</v>
      </c>
      <c r="B227" s="221" t="s">
        <v>277</v>
      </c>
      <c r="C227" s="221" t="s">
        <v>295</v>
      </c>
      <c r="D227" s="222">
        <v>2.9777762321111099</v>
      </c>
      <c r="E227" s="223"/>
      <c r="F227" s="224">
        <v>4.9000000000000002E-2</v>
      </c>
      <c r="G227" s="224">
        <v>3.9E-2</v>
      </c>
      <c r="H227" s="225"/>
      <c r="I227" s="226">
        <v>5</v>
      </c>
      <c r="J227" s="226">
        <v>5</v>
      </c>
      <c r="K227" s="223"/>
      <c r="L227" s="227">
        <v>2254.32008</v>
      </c>
      <c r="M227" s="227">
        <v>822.82327999999995</v>
      </c>
      <c r="N227" s="227">
        <v>3077.14336</v>
      </c>
      <c r="O227" s="222">
        <v>1033.36957519419</v>
      </c>
      <c r="P227" s="228">
        <v>252.76900000000001</v>
      </c>
      <c r="Q227" s="234">
        <v>4.0881974260854399</v>
      </c>
      <c r="R227" s="235">
        <v>2255.2064037073701</v>
      </c>
      <c r="S227" s="224">
        <v>0.01</v>
      </c>
      <c r="T227" s="224">
        <v>0.01</v>
      </c>
      <c r="U227" s="231">
        <v>0</v>
      </c>
      <c r="V227" s="232">
        <v>0</v>
      </c>
      <c r="W227" s="223"/>
      <c r="X227" s="231">
        <v>2274.2442599999999</v>
      </c>
      <c r="Y227" s="222">
        <v>763.73914046176105</v>
      </c>
      <c r="Z227" s="233">
        <v>573</v>
      </c>
      <c r="AA227" s="234">
        <v>1.3328780810851</v>
      </c>
      <c r="AB227" s="235">
        <v>411.00202714836502</v>
      </c>
      <c r="AC227" s="224">
        <v>0.02</v>
      </c>
      <c r="AD227" s="224">
        <v>0.02</v>
      </c>
      <c r="AE227" s="232">
        <v>0</v>
      </c>
      <c r="AF227" s="232">
        <v>0</v>
      </c>
      <c r="AG227" s="223"/>
      <c r="AH227" s="236">
        <v>133.15</v>
      </c>
      <c r="AI227" s="222">
        <v>44.714575448673799</v>
      </c>
      <c r="AJ227" s="237" t="s">
        <v>54</v>
      </c>
      <c r="AK227" s="229">
        <v>0.70975516585196596</v>
      </c>
      <c r="AL227" s="230">
        <v>-71.709093664315901</v>
      </c>
      <c r="AM227" s="224"/>
      <c r="AN227" s="224"/>
      <c r="AO227" s="232">
        <v>55</v>
      </c>
      <c r="AP227" s="232">
        <v>92</v>
      </c>
      <c r="AQ227" s="223"/>
      <c r="AR227" s="236">
        <v>11.3</v>
      </c>
      <c r="AS227" s="222">
        <v>3.7947780891476901</v>
      </c>
      <c r="AT227" s="237" t="s">
        <v>55</v>
      </c>
      <c r="AU227" s="229">
        <v>0.23717363057173099</v>
      </c>
      <c r="AV227" s="230">
        <v>-40.727706327445297</v>
      </c>
      <c r="AW227" s="224"/>
      <c r="AX227" s="224"/>
      <c r="AY227" s="232">
        <v>37</v>
      </c>
      <c r="AZ227" s="232">
        <v>46</v>
      </c>
      <c r="BA227" s="223"/>
      <c r="BB227" s="240">
        <v>103.4</v>
      </c>
      <c r="BC227" s="236">
        <v>34.723898621050502</v>
      </c>
      <c r="BD227" s="237" t="s">
        <v>56</v>
      </c>
      <c r="BE227" s="238">
        <v>1.08512183190783</v>
      </c>
      <c r="BF227" s="239">
        <v>-0.65541265489062495</v>
      </c>
      <c r="BG227" s="224">
        <v>1.9E-2</v>
      </c>
      <c r="BH227" s="224">
        <v>8.9999999999999993E-3</v>
      </c>
      <c r="BI227" s="232">
        <v>0</v>
      </c>
      <c r="BJ227" s="232">
        <v>11</v>
      </c>
      <c r="BK227" s="225"/>
      <c r="BL227" s="241">
        <v>0.8</v>
      </c>
      <c r="BM227" s="238">
        <v>0.81</v>
      </c>
      <c r="BN227" s="242">
        <v>3.7500000000000001E-4</v>
      </c>
      <c r="BO227" s="243">
        <v>0.95</v>
      </c>
      <c r="BP227" s="234">
        <v>1</v>
      </c>
      <c r="BQ227" s="242">
        <v>2.5000000000000001E-3</v>
      </c>
    </row>
    <row r="228" spans="1:69" s="211" customFormat="1" ht="22.35" customHeight="1" x14ac:dyDescent="0.2">
      <c r="A228" s="221" t="s">
        <v>276</v>
      </c>
      <c r="B228" s="221" t="s">
        <v>277</v>
      </c>
      <c r="C228" s="221" t="s">
        <v>296</v>
      </c>
      <c r="D228" s="222">
        <v>3.3124110478888902</v>
      </c>
      <c r="E228" s="223"/>
      <c r="F228" s="224">
        <v>1.2E-2</v>
      </c>
      <c r="G228" s="224">
        <v>0.01</v>
      </c>
      <c r="H228" s="225"/>
      <c r="I228" s="226">
        <v>4</v>
      </c>
      <c r="J228" s="226">
        <v>3</v>
      </c>
      <c r="K228" s="223"/>
      <c r="L228" s="227">
        <v>1735.43983</v>
      </c>
      <c r="M228" s="227">
        <v>506.97185000000002</v>
      </c>
      <c r="N228" s="227">
        <v>2242.4116800000002</v>
      </c>
      <c r="O228" s="222">
        <v>676.97264849698104</v>
      </c>
      <c r="P228" s="228">
        <v>266.572</v>
      </c>
      <c r="Q228" s="234">
        <v>2.5395489717486499</v>
      </c>
      <c r="R228" s="235">
        <v>1278.18000665924</v>
      </c>
      <c r="S228" s="224">
        <v>0.01</v>
      </c>
      <c r="T228" s="224">
        <v>0.01</v>
      </c>
      <c r="U228" s="231">
        <v>0</v>
      </c>
      <c r="V228" s="232">
        <v>0</v>
      </c>
      <c r="W228" s="223"/>
      <c r="X228" s="231">
        <v>1546.6676649999999</v>
      </c>
      <c r="Y228" s="222">
        <v>466.93107909591799</v>
      </c>
      <c r="Z228" s="233">
        <v>573</v>
      </c>
      <c r="AA228" s="244">
        <v>0.81488844519357395</v>
      </c>
      <c r="AB228" s="227">
        <v>-525.96092624084497</v>
      </c>
      <c r="AC228" s="224"/>
      <c r="AD228" s="224"/>
      <c r="AE228" s="232">
        <v>352</v>
      </c>
      <c r="AF228" s="232">
        <v>731</v>
      </c>
      <c r="AG228" s="223"/>
      <c r="AH228" s="236">
        <v>151.85</v>
      </c>
      <c r="AI228" s="222">
        <v>45.842740470503799</v>
      </c>
      <c r="AJ228" s="237" t="s">
        <v>54</v>
      </c>
      <c r="AK228" s="244">
        <v>0.72766254715085499</v>
      </c>
      <c r="AL228" s="227">
        <v>-76.030630450564104</v>
      </c>
      <c r="AM228" s="224"/>
      <c r="AN228" s="224"/>
      <c r="AO228" s="232">
        <v>57</v>
      </c>
      <c r="AP228" s="232">
        <v>99</v>
      </c>
      <c r="AQ228" s="223"/>
      <c r="AR228" s="236">
        <v>27.8</v>
      </c>
      <c r="AS228" s="222">
        <v>8.3926782027000808</v>
      </c>
      <c r="AT228" s="237" t="s">
        <v>55</v>
      </c>
      <c r="AU228" s="229">
        <v>0.52454238766875505</v>
      </c>
      <c r="AV228" s="230">
        <v>-30.074445828714701</v>
      </c>
      <c r="AW228" s="224"/>
      <c r="AX228" s="224"/>
      <c r="AY228" s="232">
        <v>26</v>
      </c>
      <c r="AZ228" s="232">
        <v>36</v>
      </c>
      <c r="BA228" s="223"/>
      <c r="BB228" s="240">
        <v>98.8</v>
      </c>
      <c r="BC228" s="236">
        <v>29.8272160585168</v>
      </c>
      <c r="BD228" s="237" t="s">
        <v>56</v>
      </c>
      <c r="BE228" s="238">
        <v>0.93210050182865101</v>
      </c>
      <c r="BF228" s="239">
        <v>-16.9488916574294</v>
      </c>
      <c r="BG228" s="224">
        <v>2E-3</v>
      </c>
      <c r="BH228" s="224"/>
      <c r="BI228" s="232">
        <v>8</v>
      </c>
      <c r="BJ228" s="232">
        <v>29</v>
      </c>
      <c r="BK228" s="225"/>
      <c r="BL228" s="241">
        <v>0.8</v>
      </c>
      <c r="BM228" s="238">
        <v>0.83</v>
      </c>
      <c r="BN228" s="242">
        <v>1.1249999999999999E-3</v>
      </c>
      <c r="BO228" s="243">
        <v>0.95</v>
      </c>
      <c r="BP228" s="234">
        <v>1</v>
      </c>
      <c r="BQ228" s="242">
        <v>2.5000000000000001E-3</v>
      </c>
    </row>
    <row r="229" spans="1:69" s="211" customFormat="1" ht="22.35" customHeight="1" x14ac:dyDescent="0.2">
      <c r="A229" s="221" t="s">
        <v>276</v>
      </c>
      <c r="B229" s="221" t="s">
        <v>277</v>
      </c>
      <c r="C229" s="221" t="s">
        <v>297</v>
      </c>
      <c r="D229" s="222">
        <v>3.82718426455556</v>
      </c>
      <c r="E229" s="223"/>
      <c r="F229" s="224">
        <v>0.01</v>
      </c>
      <c r="G229" s="224">
        <v>0.01</v>
      </c>
      <c r="H229" s="225"/>
      <c r="I229" s="226">
        <v>2</v>
      </c>
      <c r="J229" s="226">
        <v>2</v>
      </c>
      <c r="K229" s="223"/>
      <c r="L229" s="227">
        <v>1955.7683099999999</v>
      </c>
      <c r="M229" s="227">
        <v>1799.4212600000001</v>
      </c>
      <c r="N229" s="227">
        <v>3755.18957</v>
      </c>
      <c r="O229" s="222">
        <v>981.18859987424298</v>
      </c>
      <c r="P229" s="228">
        <v>255.06700000000001</v>
      </c>
      <c r="Q229" s="234">
        <v>3.8467877062663698</v>
      </c>
      <c r="R229" s="235">
        <v>2689.19182758233</v>
      </c>
      <c r="S229" s="224">
        <v>0.01</v>
      </c>
      <c r="T229" s="224">
        <v>0.01</v>
      </c>
      <c r="U229" s="231">
        <v>0</v>
      </c>
      <c r="V229" s="232">
        <v>0</v>
      </c>
      <c r="W229" s="223"/>
      <c r="X229" s="231">
        <v>1741.99458</v>
      </c>
      <c r="Y229" s="222">
        <v>455.16349869354798</v>
      </c>
      <c r="Z229" s="233">
        <v>573</v>
      </c>
      <c r="AA229" s="244">
        <v>0.79435165566064203</v>
      </c>
      <c r="AB229" s="227">
        <v>-652.73584928064702</v>
      </c>
      <c r="AC229" s="224"/>
      <c r="AD229" s="224"/>
      <c r="AE229" s="232">
        <v>451</v>
      </c>
      <c r="AF229" s="232">
        <v>890</v>
      </c>
      <c r="AG229" s="223"/>
      <c r="AH229" s="236">
        <v>108.8</v>
      </c>
      <c r="AI229" s="222">
        <v>28.428210527416201</v>
      </c>
      <c r="AJ229" s="237" t="s">
        <v>54</v>
      </c>
      <c r="AK229" s="229">
        <v>0.45124143694311503</v>
      </c>
      <c r="AL229" s="230">
        <v>-154.494968664364</v>
      </c>
      <c r="AM229" s="224"/>
      <c r="AN229" s="224"/>
      <c r="AO229" s="232">
        <v>133</v>
      </c>
      <c r="AP229" s="232">
        <v>181</v>
      </c>
      <c r="AQ229" s="223"/>
      <c r="AR229" s="236">
        <v>9</v>
      </c>
      <c r="AS229" s="222">
        <v>2.3515982973046499</v>
      </c>
      <c r="AT229" s="237" t="s">
        <v>55</v>
      </c>
      <c r="AU229" s="229">
        <v>0.14697489358154101</v>
      </c>
      <c r="AV229" s="230">
        <v>-57.868563470314797</v>
      </c>
      <c r="AW229" s="224"/>
      <c r="AX229" s="224"/>
      <c r="AY229" s="232">
        <v>53</v>
      </c>
      <c r="AZ229" s="232">
        <v>65</v>
      </c>
      <c r="BA229" s="223"/>
      <c r="BB229" s="240">
        <v>97.6</v>
      </c>
      <c r="BC229" s="236">
        <v>25.5017770907704</v>
      </c>
      <c r="BD229" s="237" t="s">
        <v>56</v>
      </c>
      <c r="BE229" s="244">
        <v>0.79693053408657599</v>
      </c>
      <c r="BF229" s="227">
        <v>-36.1371269406295</v>
      </c>
      <c r="BG229" s="224"/>
      <c r="BH229" s="224"/>
      <c r="BI229" s="232">
        <v>25</v>
      </c>
      <c r="BJ229" s="232">
        <v>50</v>
      </c>
      <c r="BK229" s="225"/>
      <c r="BL229" s="241">
        <v>0.8</v>
      </c>
      <c r="BM229" s="244">
        <v>0.78</v>
      </c>
      <c r="BN229" s="242"/>
      <c r="BO229" s="243">
        <v>0.95</v>
      </c>
      <c r="BP229" s="234">
        <v>1</v>
      </c>
      <c r="BQ229" s="242">
        <v>2.5000000000000001E-3</v>
      </c>
    </row>
    <row r="230" spans="1:69" s="211" customFormat="1" ht="22.35" customHeight="1" x14ac:dyDescent="0.2">
      <c r="A230" s="221" t="s">
        <v>276</v>
      </c>
      <c r="B230" s="221" t="s">
        <v>277</v>
      </c>
      <c r="C230" s="221" t="s">
        <v>298</v>
      </c>
      <c r="D230" s="222">
        <v>6.0225891787777801</v>
      </c>
      <c r="E230" s="223"/>
      <c r="F230" s="224">
        <v>0.04</v>
      </c>
      <c r="G230" s="224">
        <v>3.1E-2</v>
      </c>
      <c r="H230" s="225"/>
      <c r="I230" s="226">
        <v>5</v>
      </c>
      <c r="J230" s="226">
        <v>5</v>
      </c>
      <c r="K230" s="223"/>
      <c r="L230" s="227">
        <v>3584.4030400000001</v>
      </c>
      <c r="M230" s="227">
        <v>3702.6094699999999</v>
      </c>
      <c r="N230" s="227">
        <v>7287.0125099999996</v>
      </c>
      <c r="O230" s="222">
        <v>1209.94680090048</v>
      </c>
      <c r="P230" s="228">
        <v>287.5</v>
      </c>
      <c r="Q230" s="234">
        <v>4.2085106118277604</v>
      </c>
      <c r="R230" s="235">
        <v>5396.22063732272</v>
      </c>
      <c r="S230" s="224">
        <v>0.01</v>
      </c>
      <c r="T230" s="224">
        <v>0.01</v>
      </c>
      <c r="U230" s="231">
        <v>0</v>
      </c>
      <c r="V230" s="232">
        <v>0</v>
      </c>
      <c r="W230" s="223"/>
      <c r="X230" s="231">
        <v>3469.2968850000002</v>
      </c>
      <c r="Y230" s="222">
        <v>576.04740785325396</v>
      </c>
      <c r="Z230" s="233">
        <v>573</v>
      </c>
      <c r="AA230" s="238">
        <v>1.0053183383128299</v>
      </c>
      <c r="AB230" s="239">
        <v>-299.133525588118</v>
      </c>
      <c r="AC230" s="224">
        <v>0.01</v>
      </c>
      <c r="AD230" s="224">
        <v>1E-3</v>
      </c>
      <c r="AE230" s="232">
        <v>0</v>
      </c>
      <c r="AF230" s="232">
        <v>672</v>
      </c>
      <c r="AG230" s="223"/>
      <c r="AH230" s="236">
        <v>317.35000000000002</v>
      </c>
      <c r="AI230" s="222">
        <v>52.6932836658141</v>
      </c>
      <c r="AJ230" s="237" t="s">
        <v>54</v>
      </c>
      <c r="AK230" s="244">
        <v>0.83640132802879597</v>
      </c>
      <c r="AL230" s="227">
        <v>-96.980045143196094</v>
      </c>
      <c r="AM230" s="224"/>
      <c r="AN230" s="224"/>
      <c r="AO230" s="232">
        <v>63</v>
      </c>
      <c r="AP230" s="232">
        <v>138</v>
      </c>
      <c r="AQ230" s="223"/>
      <c r="AR230" s="236">
        <v>47.7</v>
      </c>
      <c r="AS230" s="222">
        <v>7.9201816003130103</v>
      </c>
      <c r="AT230" s="237" t="s">
        <v>55</v>
      </c>
      <c r="AU230" s="229">
        <v>0.49501135001956298</v>
      </c>
      <c r="AV230" s="230">
        <v>-57.526678131605401</v>
      </c>
      <c r="AW230" s="224"/>
      <c r="AX230" s="224"/>
      <c r="AY230" s="232">
        <v>49</v>
      </c>
      <c r="AZ230" s="232">
        <v>68</v>
      </c>
      <c r="BA230" s="223"/>
      <c r="BB230" s="240">
        <v>238.2</v>
      </c>
      <c r="BC230" s="236">
        <v>39.551095538669998</v>
      </c>
      <c r="BD230" s="237" t="s">
        <v>56</v>
      </c>
      <c r="BE230" s="234">
        <v>1.2359717355834401</v>
      </c>
      <c r="BF230" s="235">
        <v>27.746643736789299</v>
      </c>
      <c r="BG230" s="224">
        <v>0.02</v>
      </c>
      <c r="BH230" s="224">
        <v>0.02</v>
      </c>
      <c r="BI230" s="232">
        <v>0</v>
      </c>
      <c r="BJ230" s="232">
        <v>0</v>
      </c>
      <c r="BK230" s="225"/>
      <c r="BL230" s="241">
        <v>0.8</v>
      </c>
      <c r="BM230" s="238">
        <v>0.82</v>
      </c>
      <c r="BN230" s="242">
        <v>7.5000000000000002E-4</v>
      </c>
      <c r="BO230" s="243">
        <v>0.95</v>
      </c>
      <c r="BP230" s="234">
        <v>1</v>
      </c>
      <c r="BQ230" s="242">
        <v>2.5000000000000001E-3</v>
      </c>
    </row>
    <row r="231" spans="1:69" s="211" customFormat="1" ht="22.35" customHeight="1" x14ac:dyDescent="0.2">
      <c r="A231" s="221" t="s">
        <v>276</v>
      </c>
      <c r="B231" s="221" t="s">
        <v>277</v>
      </c>
      <c r="C231" s="221" t="s">
        <v>299</v>
      </c>
      <c r="D231" s="222">
        <v>5.7046753833333304</v>
      </c>
      <c r="E231" s="223"/>
      <c r="F231" s="224">
        <v>0.03</v>
      </c>
      <c r="G231" s="224">
        <v>0.03</v>
      </c>
      <c r="H231" s="225"/>
      <c r="I231" s="226">
        <v>3</v>
      </c>
      <c r="J231" s="226">
        <v>3</v>
      </c>
      <c r="K231" s="223"/>
      <c r="L231" s="227">
        <v>3471.5504000000001</v>
      </c>
      <c r="M231" s="227">
        <v>1983.55485</v>
      </c>
      <c r="N231" s="227">
        <v>5455.1052499999996</v>
      </c>
      <c r="O231" s="222">
        <v>956.25165034587701</v>
      </c>
      <c r="P231" s="228">
        <v>221.803</v>
      </c>
      <c r="Q231" s="234">
        <v>4.3112656291658702</v>
      </c>
      <c r="R231" s="235">
        <v>4073.3822374579599</v>
      </c>
      <c r="S231" s="224">
        <v>0.01</v>
      </c>
      <c r="T231" s="224">
        <v>0.01</v>
      </c>
      <c r="U231" s="231">
        <v>0</v>
      </c>
      <c r="V231" s="232">
        <v>0</v>
      </c>
      <c r="W231" s="223"/>
      <c r="X231" s="231">
        <v>2874.0169350000001</v>
      </c>
      <c r="Y231" s="222">
        <v>503.80025888881801</v>
      </c>
      <c r="Z231" s="233">
        <v>573</v>
      </c>
      <c r="AA231" s="244">
        <v>0.87923256350579004</v>
      </c>
      <c r="AB231" s="227">
        <v>-695.48972715779803</v>
      </c>
      <c r="AC231" s="224"/>
      <c r="AD231" s="224"/>
      <c r="AE231" s="232">
        <v>395</v>
      </c>
      <c r="AF231" s="232">
        <v>1049</v>
      </c>
      <c r="AG231" s="223"/>
      <c r="AH231" s="236">
        <v>272.64999999999998</v>
      </c>
      <c r="AI231" s="222">
        <v>47.794130547124396</v>
      </c>
      <c r="AJ231" s="237" t="s">
        <v>54</v>
      </c>
      <c r="AK231" s="244">
        <v>0.75863699281149799</v>
      </c>
      <c r="AL231" s="227">
        <v>-119.8088476718</v>
      </c>
      <c r="AM231" s="224"/>
      <c r="AN231" s="224"/>
      <c r="AO231" s="232">
        <v>87</v>
      </c>
      <c r="AP231" s="232">
        <v>159</v>
      </c>
      <c r="AQ231" s="223"/>
      <c r="AR231" s="236">
        <v>21.6</v>
      </c>
      <c r="AS231" s="222">
        <v>3.7863679435829298</v>
      </c>
      <c r="AT231" s="237" t="s">
        <v>55</v>
      </c>
      <c r="AU231" s="229">
        <v>0.236647996473933</v>
      </c>
      <c r="AV231" s="230">
        <v>-78.072088297600004</v>
      </c>
      <c r="AW231" s="224"/>
      <c r="AX231" s="224"/>
      <c r="AY231" s="232">
        <v>70</v>
      </c>
      <c r="AZ231" s="232">
        <v>88</v>
      </c>
      <c r="BA231" s="223"/>
      <c r="BB231" s="240">
        <v>246.6</v>
      </c>
      <c r="BC231" s="236">
        <v>43.227700689238397</v>
      </c>
      <c r="BD231" s="237" t="s">
        <v>56</v>
      </c>
      <c r="BE231" s="234">
        <v>1.3508656465386999</v>
      </c>
      <c r="BF231" s="235">
        <v>47.255823404800097</v>
      </c>
      <c r="BG231" s="224">
        <v>0.02</v>
      </c>
      <c r="BH231" s="224">
        <v>0.02</v>
      </c>
      <c r="BI231" s="232">
        <v>0</v>
      </c>
      <c r="BJ231" s="232">
        <v>0</v>
      </c>
      <c r="BK231" s="225"/>
      <c r="BL231" s="241">
        <v>0.8</v>
      </c>
      <c r="BM231" s="244">
        <v>0.78</v>
      </c>
      <c r="BN231" s="242"/>
      <c r="BO231" s="243">
        <v>0.95</v>
      </c>
      <c r="BP231" s="234">
        <v>1</v>
      </c>
      <c r="BQ231" s="242">
        <v>2.5000000000000001E-3</v>
      </c>
    </row>
    <row r="232" spans="1:69" s="211" customFormat="1" ht="22.35" customHeight="1" x14ac:dyDescent="0.2">
      <c r="A232" s="221" t="s">
        <v>276</v>
      </c>
      <c r="B232" s="221" t="s">
        <v>300</v>
      </c>
      <c r="C232" s="221" t="s">
        <v>301</v>
      </c>
      <c r="D232" s="222">
        <v>2.4562906796666701</v>
      </c>
      <c r="E232" s="223"/>
      <c r="F232" s="224">
        <v>6.5000000000000002E-2</v>
      </c>
      <c r="G232" s="224">
        <v>5.3999999999999999E-2</v>
      </c>
      <c r="H232" s="225"/>
      <c r="I232" s="226">
        <v>6</v>
      </c>
      <c r="J232" s="226">
        <v>6</v>
      </c>
      <c r="K232" s="223"/>
      <c r="L232" s="227">
        <v>453.65481999999997</v>
      </c>
      <c r="M232" s="227">
        <v>447.72095000000002</v>
      </c>
      <c r="N232" s="227">
        <v>901.37576999999999</v>
      </c>
      <c r="O232" s="222">
        <v>366.96624608058301</v>
      </c>
      <c r="P232" s="228">
        <v>232.92099999999999</v>
      </c>
      <c r="Q232" s="234">
        <v>1.5754966107846999</v>
      </c>
      <c r="R232" s="235">
        <v>276.61889391268397</v>
      </c>
      <c r="S232" s="224">
        <v>0.01</v>
      </c>
      <c r="T232" s="224">
        <v>0.01</v>
      </c>
      <c r="U232" s="231">
        <v>0</v>
      </c>
      <c r="V232" s="232">
        <v>0</v>
      </c>
      <c r="W232" s="223"/>
      <c r="X232" s="231">
        <v>1977.1755900000001</v>
      </c>
      <c r="Y232" s="222">
        <v>804.94365197376203</v>
      </c>
      <c r="Z232" s="233">
        <v>573</v>
      </c>
      <c r="AA232" s="234">
        <v>1.4047882233399001</v>
      </c>
      <c r="AB232" s="235">
        <v>440.23521108169001</v>
      </c>
      <c r="AC232" s="224">
        <v>0.02</v>
      </c>
      <c r="AD232" s="224">
        <v>0.02</v>
      </c>
      <c r="AE232" s="232">
        <v>0</v>
      </c>
      <c r="AF232" s="232">
        <v>0</v>
      </c>
      <c r="AG232" s="223"/>
      <c r="AH232" s="236">
        <v>161.69999999999999</v>
      </c>
      <c r="AI232" s="222">
        <v>65.830970796153295</v>
      </c>
      <c r="AJ232" s="237" t="s">
        <v>54</v>
      </c>
      <c r="AK232" s="238">
        <v>1.0449360443833899</v>
      </c>
      <c r="AL232" s="239">
        <v>-7.2829735983482404</v>
      </c>
      <c r="AM232" s="224">
        <v>1.4999999999999999E-2</v>
      </c>
      <c r="AN232" s="224">
        <v>4.0000000000000001E-3</v>
      </c>
      <c r="AO232" s="232">
        <v>0</v>
      </c>
      <c r="AP232" s="232">
        <v>24</v>
      </c>
      <c r="AQ232" s="223"/>
      <c r="AR232" s="236">
        <v>9</v>
      </c>
      <c r="AS232" s="222">
        <v>3.6640614543313599</v>
      </c>
      <c r="AT232" s="237" t="s">
        <v>55</v>
      </c>
      <c r="AU232" s="229">
        <v>0.22900384089570999</v>
      </c>
      <c r="AV232" s="230">
        <v>-33.916310755136102</v>
      </c>
      <c r="AW232" s="224"/>
      <c r="AX232" s="224"/>
      <c r="AY232" s="232">
        <v>31</v>
      </c>
      <c r="AZ232" s="232">
        <v>39</v>
      </c>
      <c r="BA232" s="223"/>
      <c r="BB232" s="240">
        <v>94.6</v>
      </c>
      <c r="BC232" s="236">
        <v>38.513357064416198</v>
      </c>
      <c r="BD232" s="237" t="s">
        <v>56</v>
      </c>
      <c r="BE232" s="234">
        <v>1.20354240826301</v>
      </c>
      <c r="BF232" s="235">
        <v>8.7673784897278697</v>
      </c>
      <c r="BG232" s="224">
        <v>0.02</v>
      </c>
      <c r="BH232" s="224">
        <v>0.02</v>
      </c>
      <c r="BI232" s="232">
        <v>0</v>
      </c>
      <c r="BJ232" s="232">
        <v>0</v>
      </c>
      <c r="BK232" s="225"/>
      <c r="BL232" s="241">
        <v>0.8</v>
      </c>
      <c r="BM232" s="238">
        <v>0.85</v>
      </c>
      <c r="BN232" s="242">
        <v>1.8749999999999999E-3</v>
      </c>
      <c r="BO232" s="243">
        <v>0.95</v>
      </c>
      <c r="BP232" s="234">
        <v>1</v>
      </c>
      <c r="BQ232" s="242">
        <v>2.5000000000000001E-3</v>
      </c>
    </row>
    <row r="233" spans="1:69" s="211" customFormat="1" ht="22.35" customHeight="1" x14ac:dyDescent="0.2">
      <c r="A233" s="221" t="s">
        <v>276</v>
      </c>
      <c r="B233" s="221" t="s">
        <v>300</v>
      </c>
      <c r="C233" s="221" t="s">
        <v>302</v>
      </c>
      <c r="D233" s="222">
        <v>3.3263409928888898</v>
      </c>
      <c r="E233" s="223"/>
      <c r="F233" s="224">
        <v>4.3999999999999997E-2</v>
      </c>
      <c r="G233" s="224">
        <v>3.4000000000000002E-2</v>
      </c>
      <c r="H233" s="225"/>
      <c r="I233" s="226">
        <v>4</v>
      </c>
      <c r="J233" s="226">
        <v>4</v>
      </c>
      <c r="K233" s="223"/>
      <c r="L233" s="227">
        <v>995.75178000000005</v>
      </c>
      <c r="M233" s="227">
        <v>1645.41383</v>
      </c>
      <c r="N233" s="227">
        <v>2641.16561</v>
      </c>
      <c r="O233" s="222">
        <v>794.01529056892605</v>
      </c>
      <c r="P233" s="228">
        <v>222.845</v>
      </c>
      <c r="Q233" s="234">
        <v>3.5630832667052199</v>
      </c>
      <c r="R233" s="235">
        <v>1831.71137325213</v>
      </c>
      <c r="S233" s="224">
        <v>0.01</v>
      </c>
      <c r="T233" s="224">
        <v>0.01</v>
      </c>
      <c r="U233" s="231">
        <v>0</v>
      </c>
      <c r="V233" s="232">
        <v>0</v>
      </c>
      <c r="W233" s="223"/>
      <c r="X233" s="231">
        <v>1976.5462</v>
      </c>
      <c r="Y233" s="222">
        <v>594.210336290084</v>
      </c>
      <c r="Z233" s="233">
        <v>573</v>
      </c>
      <c r="AA233" s="238">
        <v>1.0370162936999701</v>
      </c>
      <c r="AB233" s="239">
        <v>-104.79858070646399</v>
      </c>
      <c r="AC233" s="224">
        <v>1.4E-2</v>
      </c>
      <c r="AD233" s="224">
        <v>4.0000000000000001E-3</v>
      </c>
      <c r="AE233" s="232">
        <v>0</v>
      </c>
      <c r="AF233" s="232">
        <v>311</v>
      </c>
      <c r="AG233" s="223"/>
      <c r="AH233" s="236">
        <v>187.65</v>
      </c>
      <c r="AI233" s="222">
        <v>56.413338380268698</v>
      </c>
      <c r="AJ233" s="237" t="s">
        <v>54</v>
      </c>
      <c r="AK233" s="244">
        <v>0.89544981555982095</v>
      </c>
      <c r="AL233" s="227">
        <v>-41.188954946784101</v>
      </c>
      <c r="AM233" s="224"/>
      <c r="AN233" s="224"/>
      <c r="AO233" s="232">
        <v>22</v>
      </c>
      <c r="AP233" s="232">
        <v>64</v>
      </c>
      <c r="AQ233" s="223"/>
      <c r="AR233" s="236">
        <v>29.2</v>
      </c>
      <c r="AS233" s="222">
        <v>8.7784144988214603</v>
      </c>
      <c r="AT233" s="237" t="s">
        <v>55</v>
      </c>
      <c r="AU233" s="229">
        <v>0.54865090617634105</v>
      </c>
      <c r="AV233" s="230">
        <v>-28.917829827754701</v>
      </c>
      <c r="AW233" s="224"/>
      <c r="AX233" s="224"/>
      <c r="AY233" s="232">
        <v>25</v>
      </c>
      <c r="AZ233" s="232">
        <v>35</v>
      </c>
      <c r="BA233" s="223"/>
      <c r="BB233" s="240">
        <v>156.6</v>
      </c>
      <c r="BC233" s="236">
        <v>47.078757209432901</v>
      </c>
      <c r="BD233" s="237" t="s">
        <v>56</v>
      </c>
      <c r="BE233" s="234">
        <v>1.4712111627947799</v>
      </c>
      <c r="BF233" s="235">
        <v>40.3643403444906</v>
      </c>
      <c r="BG233" s="224">
        <v>0.02</v>
      </c>
      <c r="BH233" s="224">
        <v>0.02</v>
      </c>
      <c r="BI233" s="232">
        <v>0</v>
      </c>
      <c r="BJ233" s="232">
        <v>0</v>
      </c>
      <c r="BK233" s="225"/>
      <c r="BL233" s="241">
        <v>0.8</v>
      </c>
      <c r="BM233" s="244">
        <v>0.72</v>
      </c>
      <c r="BN233" s="242"/>
      <c r="BO233" s="243">
        <v>0.95</v>
      </c>
      <c r="BP233" s="234">
        <v>1</v>
      </c>
      <c r="BQ233" s="242">
        <v>2.5000000000000001E-3</v>
      </c>
    </row>
    <row r="234" spans="1:69" s="211" customFormat="1" ht="22.35" customHeight="1" x14ac:dyDescent="0.2">
      <c r="A234" s="221" t="s">
        <v>276</v>
      </c>
      <c r="B234" s="221" t="s">
        <v>300</v>
      </c>
      <c r="C234" s="221" t="s">
        <v>303</v>
      </c>
      <c r="D234" s="222">
        <v>2.2747145523333301</v>
      </c>
      <c r="E234" s="223"/>
      <c r="F234" s="224">
        <v>3.7999999999999999E-2</v>
      </c>
      <c r="G234" s="224">
        <v>0.03</v>
      </c>
      <c r="H234" s="225"/>
      <c r="I234" s="226">
        <v>5</v>
      </c>
      <c r="J234" s="226">
        <v>4</v>
      </c>
      <c r="K234" s="223"/>
      <c r="L234" s="227">
        <v>1235.28027</v>
      </c>
      <c r="M234" s="227">
        <v>752.79495999999995</v>
      </c>
      <c r="N234" s="227">
        <v>1988.0752299999999</v>
      </c>
      <c r="O234" s="222">
        <v>873.98888267571499</v>
      </c>
      <c r="P234" s="228">
        <v>212.5</v>
      </c>
      <c r="Q234" s="234">
        <v>4.1128888596504201</v>
      </c>
      <c r="R234" s="235">
        <v>1460.2277181310501</v>
      </c>
      <c r="S234" s="224">
        <v>0.01</v>
      </c>
      <c r="T234" s="224">
        <v>0.01</v>
      </c>
      <c r="U234" s="231">
        <v>0</v>
      </c>
      <c r="V234" s="232">
        <v>0</v>
      </c>
      <c r="W234" s="223"/>
      <c r="X234" s="231">
        <v>1650.2878949999999</v>
      </c>
      <c r="Y234" s="222">
        <v>725.49230113606302</v>
      </c>
      <c r="Z234" s="233">
        <v>573</v>
      </c>
      <c r="AA234" s="234">
        <v>1.2661296703945299</v>
      </c>
      <c r="AB234" s="235">
        <v>226.96260417219801</v>
      </c>
      <c r="AC234" s="224">
        <v>0.02</v>
      </c>
      <c r="AD234" s="224">
        <v>0.02</v>
      </c>
      <c r="AE234" s="232">
        <v>0</v>
      </c>
      <c r="AF234" s="232">
        <v>0</v>
      </c>
      <c r="AG234" s="223"/>
      <c r="AH234" s="236">
        <v>118.3</v>
      </c>
      <c r="AI234" s="222">
        <v>52.006525336838997</v>
      </c>
      <c r="AJ234" s="237" t="s">
        <v>54</v>
      </c>
      <c r="AK234" s="244">
        <v>0.82550040217204801</v>
      </c>
      <c r="AL234" s="227">
        <v>-38.191262342323803</v>
      </c>
      <c r="AM234" s="224"/>
      <c r="AN234" s="224"/>
      <c r="AO234" s="232">
        <v>26</v>
      </c>
      <c r="AP234" s="232">
        <v>54</v>
      </c>
      <c r="AQ234" s="223"/>
      <c r="AR234" s="236">
        <v>19.600000000000001</v>
      </c>
      <c r="AS234" s="222">
        <v>8.6164657362810306</v>
      </c>
      <c r="AT234" s="237" t="s">
        <v>55</v>
      </c>
      <c r="AU234" s="229">
        <v>0.53852910851756397</v>
      </c>
      <c r="AV234" s="230">
        <v>-20.143812658367899</v>
      </c>
      <c r="AW234" s="224"/>
      <c r="AX234" s="224"/>
      <c r="AY234" s="232">
        <v>17</v>
      </c>
      <c r="AZ234" s="232">
        <v>25</v>
      </c>
      <c r="BA234" s="223"/>
      <c r="BB234" s="240">
        <v>71.599999999999994</v>
      </c>
      <c r="BC234" s="236">
        <v>31.4764768733531</v>
      </c>
      <c r="BD234" s="237" t="s">
        <v>56</v>
      </c>
      <c r="BE234" s="238">
        <v>0.98363990229228504</v>
      </c>
      <c r="BF234" s="239">
        <v>-7.8876253167358801</v>
      </c>
      <c r="BG234" s="224">
        <v>8.0000000000000002E-3</v>
      </c>
      <c r="BH234" s="224"/>
      <c r="BI234" s="232">
        <v>2</v>
      </c>
      <c r="BJ234" s="232">
        <v>16</v>
      </c>
      <c r="BK234" s="225"/>
      <c r="BL234" s="241">
        <v>0.8</v>
      </c>
      <c r="BM234" s="238">
        <v>0.82</v>
      </c>
      <c r="BN234" s="242">
        <v>7.5000000000000002E-4</v>
      </c>
      <c r="BO234" s="243">
        <v>0.95</v>
      </c>
      <c r="BP234" s="234">
        <v>1</v>
      </c>
      <c r="BQ234" s="242">
        <v>2.5000000000000001E-3</v>
      </c>
    </row>
    <row r="235" spans="1:69" s="211" customFormat="1" ht="22.35" customHeight="1" x14ac:dyDescent="0.2">
      <c r="A235" s="221" t="s">
        <v>276</v>
      </c>
      <c r="B235" s="221" t="s">
        <v>300</v>
      </c>
      <c r="C235" s="221" t="s">
        <v>304</v>
      </c>
      <c r="D235" s="222">
        <v>2.9376340330000001</v>
      </c>
      <c r="E235" s="223"/>
      <c r="F235" s="224">
        <v>7.0000000000000007E-2</v>
      </c>
      <c r="G235" s="224">
        <v>5.1999999999999998E-2</v>
      </c>
      <c r="H235" s="225"/>
      <c r="I235" s="226">
        <v>5</v>
      </c>
      <c r="J235" s="226">
        <v>5</v>
      </c>
      <c r="K235" s="223"/>
      <c r="L235" s="227">
        <v>1175.88912</v>
      </c>
      <c r="M235" s="227">
        <v>1691.4520399999999</v>
      </c>
      <c r="N235" s="227">
        <v>2867.3411599999999</v>
      </c>
      <c r="O235" s="222">
        <v>976.07160313015095</v>
      </c>
      <c r="P235" s="228">
        <v>229.05500000000001</v>
      </c>
      <c r="Q235" s="234">
        <v>4.2612979552079198</v>
      </c>
      <c r="R235" s="235">
        <v>2132.55645833573</v>
      </c>
      <c r="S235" s="224">
        <v>0.01</v>
      </c>
      <c r="T235" s="224">
        <v>0.01</v>
      </c>
      <c r="U235" s="231">
        <v>0</v>
      </c>
      <c r="V235" s="232">
        <v>0</v>
      </c>
      <c r="W235" s="223"/>
      <c r="X235" s="231">
        <v>1858.7038700000001</v>
      </c>
      <c r="Y235" s="222">
        <v>632.72138364418197</v>
      </c>
      <c r="Z235" s="233">
        <v>573</v>
      </c>
      <c r="AA235" s="234">
        <v>1.10422580042615</v>
      </c>
      <c r="AB235" s="235">
        <v>20.579253407371901</v>
      </c>
      <c r="AC235" s="224">
        <v>0.02</v>
      </c>
      <c r="AD235" s="224">
        <v>0.01</v>
      </c>
      <c r="AE235" s="232">
        <v>0</v>
      </c>
      <c r="AF235" s="232">
        <v>162</v>
      </c>
      <c r="AG235" s="223"/>
      <c r="AH235" s="236">
        <v>207.5</v>
      </c>
      <c r="AI235" s="222">
        <v>70.635074917107602</v>
      </c>
      <c r="AJ235" s="237" t="s">
        <v>54</v>
      </c>
      <c r="AK235" s="234">
        <v>1.12119166535091</v>
      </c>
      <c r="AL235" s="235">
        <v>5.4025290657319802</v>
      </c>
      <c r="AM235" s="224">
        <v>0.02</v>
      </c>
      <c r="AN235" s="224">
        <v>1.2E-2</v>
      </c>
      <c r="AO235" s="232">
        <v>0</v>
      </c>
      <c r="AP235" s="232">
        <v>15</v>
      </c>
      <c r="AQ235" s="223"/>
      <c r="AR235" s="236">
        <v>25.1</v>
      </c>
      <c r="AS235" s="222">
        <v>8.5442909899730193</v>
      </c>
      <c r="AT235" s="237" t="s">
        <v>55</v>
      </c>
      <c r="AU235" s="229">
        <v>0.53401818687331404</v>
      </c>
      <c r="AV235" s="230">
        <v>-26.226341824576</v>
      </c>
      <c r="AW235" s="224"/>
      <c r="AX235" s="224"/>
      <c r="AY235" s="232">
        <v>22</v>
      </c>
      <c r="AZ235" s="232">
        <v>32</v>
      </c>
      <c r="BA235" s="223"/>
      <c r="BB235" s="240">
        <v>123.6</v>
      </c>
      <c r="BC235" s="236">
        <v>42.074675950624098</v>
      </c>
      <c r="BD235" s="237" t="s">
        <v>56</v>
      </c>
      <c r="BE235" s="234">
        <v>1.3148336234569999</v>
      </c>
      <c r="BF235" s="235">
        <v>20.947316350847998</v>
      </c>
      <c r="BG235" s="224">
        <v>0.02</v>
      </c>
      <c r="BH235" s="224">
        <v>0.02</v>
      </c>
      <c r="BI235" s="232">
        <v>0</v>
      </c>
      <c r="BJ235" s="232">
        <v>0</v>
      </c>
      <c r="BK235" s="225"/>
      <c r="BL235" s="241">
        <v>0.8</v>
      </c>
      <c r="BM235" s="244">
        <v>0.76</v>
      </c>
      <c r="BN235" s="242"/>
      <c r="BO235" s="243">
        <v>0.95</v>
      </c>
      <c r="BP235" s="234">
        <v>1</v>
      </c>
      <c r="BQ235" s="242">
        <v>2.5000000000000001E-3</v>
      </c>
    </row>
    <row r="236" spans="1:69" s="211" customFormat="1" ht="22.35" customHeight="1" x14ac:dyDescent="0.2">
      <c r="A236" s="221" t="s">
        <v>276</v>
      </c>
      <c r="B236" s="221" t="s">
        <v>300</v>
      </c>
      <c r="C236" s="221" t="s">
        <v>305</v>
      </c>
      <c r="D236" s="222">
        <v>3.2454949072222199</v>
      </c>
      <c r="E236" s="223"/>
      <c r="F236" s="224">
        <v>0.01</v>
      </c>
      <c r="G236" s="224">
        <v>0.01</v>
      </c>
      <c r="H236" s="225"/>
      <c r="I236" s="226">
        <v>2</v>
      </c>
      <c r="J236" s="226">
        <v>2</v>
      </c>
      <c r="K236" s="223"/>
      <c r="L236" s="227">
        <v>1795.58215</v>
      </c>
      <c r="M236" s="227">
        <v>-169.55753000000001</v>
      </c>
      <c r="N236" s="227">
        <v>1626.0246199999999</v>
      </c>
      <c r="O236" s="222">
        <v>501.00975859847898</v>
      </c>
      <c r="P236" s="228">
        <v>242.61199999999999</v>
      </c>
      <c r="Q236" s="234">
        <v>2.06506586070961</v>
      </c>
      <c r="R236" s="235">
        <v>766.18817660935099</v>
      </c>
      <c r="S236" s="224">
        <v>0.01</v>
      </c>
      <c r="T236" s="224">
        <v>0.01</v>
      </c>
      <c r="U236" s="231">
        <v>0</v>
      </c>
      <c r="V236" s="232">
        <v>0</v>
      </c>
      <c r="W236" s="223"/>
      <c r="X236" s="231">
        <v>1228.955015</v>
      </c>
      <c r="Y236" s="222">
        <v>378.66490323716101</v>
      </c>
      <c r="Z236" s="233">
        <v>573</v>
      </c>
      <c r="AA236" s="229">
        <v>0.66084625346799397</v>
      </c>
      <c r="AB236" s="230">
        <v>-801.80307636745795</v>
      </c>
      <c r="AC236" s="224"/>
      <c r="AD236" s="224"/>
      <c r="AE236" s="232">
        <v>631</v>
      </c>
      <c r="AF236" s="232">
        <v>1003</v>
      </c>
      <c r="AG236" s="223"/>
      <c r="AH236" s="236">
        <v>137.6</v>
      </c>
      <c r="AI236" s="222">
        <v>42.397231834749697</v>
      </c>
      <c r="AJ236" s="237" t="s">
        <v>54</v>
      </c>
      <c r="AK236" s="229">
        <v>0.67297193388491605</v>
      </c>
      <c r="AL236" s="230">
        <v>-85.677067637259796</v>
      </c>
      <c r="AM236" s="224"/>
      <c r="AN236" s="224"/>
      <c r="AO236" s="232">
        <v>67</v>
      </c>
      <c r="AP236" s="232">
        <v>108</v>
      </c>
      <c r="AQ236" s="223"/>
      <c r="AR236" s="236">
        <v>11.8</v>
      </c>
      <c r="AS236" s="222">
        <v>3.6358091253637101</v>
      </c>
      <c r="AT236" s="237" t="s">
        <v>55</v>
      </c>
      <c r="AU236" s="229">
        <v>0.227238070335232</v>
      </c>
      <c r="AV236" s="230">
        <v>-44.905287018986598</v>
      </c>
      <c r="AW236" s="224"/>
      <c r="AX236" s="224"/>
      <c r="AY236" s="232">
        <v>41</v>
      </c>
      <c r="AZ236" s="232">
        <v>51</v>
      </c>
      <c r="BA236" s="223"/>
      <c r="BB236" s="240">
        <v>78</v>
      </c>
      <c r="BC236" s="236">
        <v>24.0333145574889</v>
      </c>
      <c r="BD236" s="237" t="s">
        <v>56</v>
      </c>
      <c r="BE236" s="244">
        <v>0.75104107992152902</v>
      </c>
      <c r="BF236" s="227">
        <v>-35.410574037973298</v>
      </c>
      <c r="BG236" s="224"/>
      <c r="BH236" s="224"/>
      <c r="BI236" s="232">
        <v>26</v>
      </c>
      <c r="BJ236" s="232">
        <v>47</v>
      </c>
      <c r="BK236" s="225"/>
      <c r="BL236" s="241">
        <v>0.8</v>
      </c>
      <c r="BM236" s="244">
        <v>0.74</v>
      </c>
      <c r="BN236" s="242"/>
      <c r="BO236" s="243">
        <v>0.95</v>
      </c>
      <c r="BP236" s="234">
        <v>1</v>
      </c>
      <c r="BQ236" s="242">
        <v>2.5000000000000001E-3</v>
      </c>
    </row>
    <row r="237" spans="1:69" s="211" customFormat="1" ht="22.35" customHeight="1" x14ac:dyDescent="0.2">
      <c r="A237" s="221" t="s">
        <v>276</v>
      </c>
      <c r="B237" s="221" t="s">
        <v>300</v>
      </c>
      <c r="C237" s="221" t="s">
        <v>306</v>
      </c>
      <c r="D237" s="222">
        <v>2.8560806016666702</v>
      </c>
      <c r="E237" s="223"/>
      <c r="F237" s="224">
        <v>0.06</v>
      </c>
      <c r="G237" s="224">
        <v>3.9E-2</v>
      </c>
      <c r="H237" s="225"/>
      <c r="I237" s="226">
        <v>7</v>
      </c>
      <c r="J237" s="226">
        <v>6</v>
      </c>
      <c r="K237" s="223"/>
      <c r="L237" s="227">
        <v>1844.8951500000001</v>
      </c>
      <c r="M237" s="227">
        <v>1830.9249600000001</v>
      </c>
      <c r="N237" s="227">
        <v>3675.8201100000001</v>
      </c>
      <c r="O237" s="222">
        <v>1287.0155372558399</v>
      </c>
      <c r="P237" s="228">
        <v>215.88200000000001</v>
      </c>
      <c r="Q237" s="234">
        <v>5.96166209899779</v>
      </c>
      <c r="R237" s="235">
        <v>3002.5186894456901</v>
      </c>
      <c r="S237" s="224">
        <v>0.01</v>
      </c>
      <c r="T237" s="224">
        <v>0.01</v>
      </c>
      <c r="U237" s="231">
        <v>0</v>
      </c>
      <c r="V237" s="232">
        <v>0</v>
      </c>
      <c r="W237" s="223"/>
      <c r="X237" s="231">
        <v>1637.7289499999999</v>
      </c>
      <c r="Y237" s="222">
        <v>573.41832336394896</v>
      </c>
      <c r="Z237" s="233">
        <v>573</v>
      </c>
      <c r="AA237" s="238">
        <v>1.00073005822679</v>
      </c>
      <c r="AB237" s="239">
        <v>-149.366379752462</v>
      </c>
      <c r="AC237" s="224">
        <v>0.01</v>
      </c>
      <c r="AD237" s="224">
        <v>1E-3</v>
      </c>
      <c r="AE237" s="232">
        <v>0</v>
      </c>
      <c r="AF237" s="232">
        <v>327</v>
      </c>
      <c r="AG237" s="223"/>
      <c r="AH237" s="236">
        <v>179.5</v>
      </c>
      <c r="AI237" s="222">
        <v>62.848366357466503</v>
      </c>
      <c r="AJ237" s="237" t="s">
        <v>54</v>
      </c>
      <c r="AK237" s="238">
        <v>0.99759311678518203</v>
      </c>
      <c r="AL237" s="239">
        <v>-16.986921072260301</v>
      </c>
      <c r="AM237" s="224">
        <v>0.01</v>
      </c>
      <c r="AN237" s="224">
        <v>0</v>
      </c>
      <c r="AO237" s="232">
        <v>1</v>
      </c>
      <c r="AP237" s="232">
        <v>37</v>
      </c>
      <c r="AQ237" s="223"/>
      <c r="AR237" s="236">
        <v>52.8</v>
      </c>
      <c r="AS237" s="222">
        <v>18.486873223811902</v>
      </c>
      <c r="AT237" s="237" t="s">
        <v>55</v>
      </c>
      <c r="AU237" s="234">
        <v>1.1554295764882401</v>
      </c>
      <c r="AV237" s="235">
        <v>2.89855972767994</v>
      </c>
      <c r="AW237" s="224">
        <v>0.01</v>
      </c>
      <c r="AX237" s="224">
        <v>8.0000000000000002E-3</v>
      </c>
      <c r="AY237" s="232">
        <v>0</v>
      </c>
      <c r="AZ237" s="232">
        <v>3</v>
      </c>
      <c r="BA237" s="223"/>
      <c r="BB237" s="240">
        <v>130.6</v>
      </c>
      <c r="BC237" s="236">
        <v>45.727000814958899</v>
      </c>
      <c r="BD237" s="237" t="s">
        <v>56</v>
      </c>
      <c r="BE237" s="234">
        <v>1.42896877546747</v>
      </c>
      <c r="BF237" s="235">
        <v>30.797119455359901</v>
      </c>
      <c r="BG237" s="224">
        <v>0.02</v>
      </c>
      <c r="BH237" s="224">
        <v>0.02</v>
      </c>
      <c r="BI237" s="232">
        <v>0</v>
      </c>
      <c r="BJ237" s="232">
        <v>0</v>
      </c>
      <c r="BK237" s="225"/>
      <c r="BL237" s="241">
        <v>0.8</v>
      </c>
      <c r="BM237" s="238">
        <v>0.81</v>
      </c>
      <c r="BN237" s="242">
        <v>3.7500000000000001E-4</v>
      </c>
      <c r="BO237" s="243">
        <v>0.95</v>
      </c>
      <c r="BP237" s="234">
        <v>1</v>
      </c>
      <c r="BQ237" s="242">
        <v>2.5000000000000001E-3</v>
      </c>
    </row>
    <row r="238" spans="1:69" s="211" customFormat="1" ht="22.35" customHeight="1" x14ac:dyDescent="0.2">
      <c r="A238" s="221" t="s">
        <v>276</v>
      </c>
      <c r="B238" s="221" t="s">
        <v>300</v>
      </c>
      <c r="C238" s="221" t="s">
        <v>307</v>
      </c>
      <c r="D238" s="222">
        <v>9.2014397199999998</v>
      </c>
      <c r="E238" s="223"/>
      <c r="F238" s="224">
        <v>3.6999999999999998E-2</v>
      </c>
      <c r="G238" s="224">
        <v>0.03</v>
      </c>
      <c r="H238" s="225"/>
      <c r="I238" s="226">
        <v>4</v>
      </c>
      <c r="J238" s="226">
        <v>3</v>
      </c>
      <c r="K238" s="223"/>
      <c r="L238" s="227">
        <v>6734.0102999999999</v>
      </c>
      <c r="M238" s="227">
        <v>-2180.1166899999998</v>
      </c>
      <c r="N238" s="227">
        <v>4553.8936100000001</v>
      </c>
      <c r="O238" s="222">
        <v>494.91098660373598</v>
      </c>
      <c r="P238" s="228">
        <v>232.92099999999999</v>
      </c>
      <c r="Q238" s="234">
        <v>2.1248019139697001</v>
      </c>
      <c r="R238" s="235">
        <v>2213.5098832038402</v>
      </c>
      <c r="S238" s="224">
        <v>0.01</v>
      </c>
      <c r="T238" s="224">
        <v>0.01</v>
      </c>
      <c r="U238" s="231">
        <v>0</v>
      </c>
      <c r="V238" s="232">
        <v>0</v>
      </c>
      <c r="W238" s="223"/>
      <c r="X238" s="231">
        <v>5115.031035</v>
      </c>
      <c r="Y238" s="222">
        <v>555.89464156159204</v>
      </c>
      <c r="Z238" s="233">
        <v>573</v>
      </c>
      <c r="AA238" s="238">
        <v>0.97014771651237797</v>
      </c>
      <c r="AB238" s="239">
        <v>-642.45702083952006</v>
      </c>
      <c r="AC238" s="224">
        <v>7.0000000000000001E-3</v>
      </c>
      <c r="AD238" s="224"/>
      <c r="AE238" s="232">
        <v>158</v>
      </c>
      <c r="AF238" s="232">
        <v>1212</v>
      </c>
      <c r="AG238" s="223"/>
      <c r="AH238" s="236">
        <v>513.79999999999995</v>
      </c>
      <c r="AI238" s="222">
        <v>55.839087755280097</v>
      </c>
      <c r="AJ238" s="237" t="s">
        <v>54</v>
      </c>
      <c r="AK238" s="244">
        <v>0.886334726274287</v>
      </c>
      <c r="AL238" s="227">
        <v>-119.22224697711999</v>
      </c>
      <c r="AM238" s="224"/>
      <c r="AN238" s="224"/>
      <c r="AO238" s="232">
        <v>66</v>
      </c>
      <c r="AP238" s="232">
        <v>182</v>
      </c>
      <c r="AQ238" s="223"/>
      <c r="AR238" s="236">
        <v>48.8</v>
      </c>
      <c r="AS238" s="222">
        <v>5.3035178716575899</v>
      </c>
      <c r="AT238" s="237" t="s">
        <v>55</v>
      </c>
      <c r="AU238" s="229">
        <v>0.33146986697859898</v>
      </c>
      <c r="AV238" s="230">
        <v>-111.96755478784</v>
      </c>
      <c r="AW238" s="224"/>
      <c r="AX238" s="224"/>
      <c r="AY238" s="232">
        <v>99</v>
      </c>
      <c r="AZ238" s="232">
        <v>128</v>
      </c>
      <c r="BA238" s="223"/>
      <c r="BB238" s="240">
        <v>352</v>
      </c>
      <c r="BC238" s="236">
        <v>38.254883008677702</v>
      </c>
      <c r="BD238" s="237" t="s">
        <v>56</v>
      </c>
      <c r="BE238" s="234">
        <v>1.19546509402118</v>
      </c>
      <c r="BF238" s="235">
        <v>30.46489042432</v>
      </c>
      <c r="BG238" s="224">
        <v>0.02</v>
      </c>
      <c r="BH238" s="224">
        <v>0.02</v>
      </c>
      <c r="BI238" s="232">
        <v>0</v>
      </c>
      <c r="BJ238" s="232">
        <v>2</v>
      </c>
      <c r="BK238" s="225"/>
      <c r="BL238" s="241">
        <v>0.8</v>
      </c>
      <c r="BM238" s="244">
        <v>0.77</v>
      </c>
      <c r="BN238" s="242"/>
      <c r="BO238" s="243">
        <v>0.95</v>
      </c>
      <c r="BP238" s="234">
        <v>1</v>
      </c>
      <c r="BQ238" s="242">
        <v>2.5000000000000001E-3</v>
      </c>
    </row>
    <row r="239" spans="1:69" s="211" customFormat="1" ht="22.35" customHeight="1" x14ac:dyDescent="0.2">
      <c r="A239" s="221" t="s">
        <v>276</v>
      </c>
      <c r="B239" s="221" t="s">
        <v>300</v>
      </c>
      <c r="C239" s="221" t="s">
        <v>308</v>
      </c>
      <c r="D239" s="222">
        <v>2.4944492774444398</v>
      </c>
      <c r="E239" s="223"/>
      <c r="F239" s="224">
        <v>0.05</v>
      </c>
      <c r="G239" s="224">
        <v>3.3000000000000002E-2</v>
      </c>
      <c r="H239" s="225"/>
      <c r="I239" s="226">
        <v>4</v>
      </c>
      <c r="J239" s="226">
        <v>4</v>
      </c>
      <c r="K239" s="223"/>
      <c r="L239" s="227">
        <v>1761.67652</v>
      </c>
      <c r="M239" s="227">
        <v>-87.138540000000006</v>
      </c>
      <c r="N239" s="227">
        <v>1674.5379800000001</v>
      </c>
      <c r="O239" s="222">
        <v>671.30568464216606</v>
      </c>
      <c r="P239" s="228">
        <v>245.339</v>
      </c>
      <c r="Q239" s="234">
        <v>2.73623714387915</v>
      </c>
      <c r="R239" s="235">
        <v>1006.2496051234</v>
      </c>
      <c r="S239" s="224">
        <v>0.01</v>
      </c>
      <c r="T239" s="224">
        <v>0.01</v>
      </c>
      <c r="U239" s="231">
        <v>0</v>
      </c>
      <c r="V239" s="232">
        <v>0</v>
      </c>
      <c r="W239" s="223"/>
      <c r="X239" s="231">
        <v>1624.7276850000001</v>
      </c>
      <c r="Y239" s="222">
        <v>651.33723090353999</v>
      </c>
      <c r="Z239" s="233">
        <v>573</v>
      </c>
      <c r="AA239" s="234">
        <v>1.13671419005853</v>
      </c>
      <c r="AB239" s="235">
        <v>63.910860914574897</v>
      </c>
      <c r="AC239" s="224">
        <v>0.02</v>
      </c>
      <c r="AD239" s="224">
        <v>1.4E-2</v>
      </c>
      <c r="AE239" s="232">
        <v>0</v>
      </c>
      <c r="AF239" s="232">
        <v>91</v>
      </c>
      <c r="AG239" s="223"/>
      <c r="AH239" s="236">
        <v>86.7</v>
      </c>
      <c r="AI239" s="222">
        <v>34.757170965137398</v>
      </c>
      <c r="AJ239" s="237" t="s">
        <v>54</v>
      </c>
      <c r="AK239" s="229">
        <v>0.55170112643075198</v>
      </c>
      <c r="AL239" s="230">
        <v>-84.908132491067704</v>
      </c>
      <c r="AM239" s="224"/>
      <c r="AN239" s="224"/>
      <c r="AO239" s="232">
        <v>71</v>
      </c>
      <c r="AP239" s="232">
        <v>102</v>
      </c>
      <c r="AQ239" s="223"/>
      <c r="AR239" s="236">
        <v>10</v>
      </c>
      <c r="AS239" s="222">
        <v>4.0089009187009701</v>
      </c>
      <c r="AT239" s="237" t="s">
        <v>55</v>
      </c>
      <c r="AU239" s="229">
        <v>0.25055630741881102</v>
      </c>
      <c r="AV239" s="230">
        <v>-33.583017775509298</v>
      </c>
      <c r="AW239" s="224"/>
      <c r="AX239" s="224"/>
      <c r="AY239" s="232">
        <v>30</v>
      </c>
      <c r="AZ239" s="232">
        <v>38</v>
      </c>
      <c r="BA239" s="223"/>
      <c r="BB239" s="240">
        <v>87</v>
      </c>
      <c r="BC239" s="236">
        <v>34.877437992698397</v>
      </c>
      <c r="BD239" s="237" t="s">
        <v>56</v>
      </c>
      <c r="BE239" s="234">
        <v>1.08991993727183</v>
      </c>
      <c r="BF239" s="235">
        <v>-0.16603555101851</v>
      </c>
      <c r="BG239" s="224">
        <v>0.02</v>
      </c>
      <c r="BH239" s="224">
        <v>8.9999999999999993E-3</v>
      </c>
      <c r="BI239" s="232">
        <v>0</v>
      </c>
      <c r="BJ239" s="232">
        <v>9</v>
      </c>
      <c r="BK239" s="225"/>
      <c r="BL239" s="241">
        <v>0.8</v>
      </c>
      <c r="BM239" s="244">
        <v>0.79</v>
      </c>
      <c r="BN239" s="242"/>
      <c r="BO239" s="243">
        <v>0.95</v>
      </c>
      <c r="BP239" s="234">
        <v>1</v>
      </c>
      <c r="BQ239" s="242">
        <v>2.5000000000000001E-3</v>
      </c>
    </row>
    <row r="240" spans="1:69" s="211" customFormat="1" ht="22.35" customHeight="1" x14ac:dyDescent="0.2">
      <c r="A240" s="221" t="s">
        <v>276</v>
      </c>
      <c r="B240" s="221" t="s">
        <v>300</v>
      </c>
      <c r="C240" s="221" t="s">
        <v>309</v>
      </c>
      <c r="D240" s="222">
        <v>2.6001805638888902</v>
      </c>
      <c r="E240" s="223"/>
      <c r="F240" s="224"/>
      <c r="G240" s="224"/>
      <c r="H240" s="225"/>
      <c r="I240" s="226">
        <v>1</v>
      </c>
      <c r="J240" s="226">
        <v>1</v>
      </c>
      <c r="K240" s="223"/>
      <c r="L240" s="227"/>
      <c r="M240" s="227">
        <v>72.353960000000001</v>
      </c>
      <c r="N240" s="227">
        <v>72.353960000000001</v>
      </c>
      <c r="O240" s="222">
        <v>27.8265136678761</v>
      </c>
      <c r="P240" s="228">
        <v>217.09100000000001</v>
      </c>
      <c r="Q240" s="229">
        <v>0.12817902938341999</v>
      </c>
      <c r="R240" s="230">
        <v>-544.05361228436198</v>
      </c>
      <c r="S240" s="224"/>
      <c r="T240" s="224"/>
      <c r="U240" s="231">
        <v>493</v>
      </c>
      <c r="V240" s="232">
        <v>606</v>
      </c>
      <c r="W240" s="223"/>
      <c r="X240" s="231">
        <v>1076.60023</v>
      </c>
      <c r="Y240" s="222">
        <v>414.04825686021297</v>
      </c>
      <c r="Z240" s="233">
        <v>573</v>
      </c>
      <c r="AA240" s="229">
        <v>0.72259730691136603</v>
      </c>
      <c r="AB240" s="230">
        <v>-550.37435171430104</v>
      </c>
      <c r="AC240" s="224"/>
      <c r="AD240" s="224"/>
      <c r="AE240" s="232">
        <v>414</v>
      </c>
      <c r="AF240" s="232">
        <v>712</v>
      </c>
      <c r="AG240" s="223"/>
      <c r="AH240" s="236">
        <v>96.2</v>
      </c>
      <c r="AI240" s="222">
        <v>36.997430615403502</v>
      </c>
      <c r="AJ240" s="237" t="s">
        <v>54</v>
      </c>
      <c r="AK240" s="229">
        <v>0.58726080341910403</v>
      </c>
      <c r="AL240" s="230">
        <v>-82.682022073300104</v>
      </c>
      <c r="AM240" s="224"/>
      <c r="AN240" s="224"/>
      <c r="AO240" s="232">
        <v>68</v>
      </c>
      <c r="AP240" s="232">
        <v>101</v>
      </c>
      <c r="AQ240" s="223"/>
      <c r="AR240" s="236">
        <v>18.399999999999999</v>
      </c>
      <c r="AS240" s="222">
        <v>7.0764316353786398</v>
      </c>
      <c r="AT240" s="237" t="s">
        <v>55</v>
      </c>
      <c r="AU240" s="229">
        <v>0.44227697721116499</v>
      </c>
      <c r="AV240" s="230">
        <v>-27.030354812266701</v>
      </c>
      <c r="AW240" s="224"/>
      <c r="AX240" s="224"/>
      <c r="AY240" s="232">
        <v>24</v>
      </c>
      <c r="AZ240" s="232">
        <v>32</v>
      </c>
      <c r="BA240" s="223"/>
      <c r="BB240" s="240">
        <v>72.400000000000006</v>
      </c>
      <c r="BC240" s="236">
        <v>27.844220130511601</v>
      </c>
      <c r="BD240" s="237" t="s">
        <v>56</v>
      </c>
      <c r="BE240" s="244">
        <v>0.87013187907848699</v>
      </c>
      <c r="BF240" s="227">
        <v>-18.460709624533401</v>
      </c>
      <c r="BG240" s="224"/>
      <c r="BH240" s="224"/>
      <c r="BI240" s="232">
        <v>11</v>
      </c>
      <c r="BJ240" s="232">
        <v>28</v>
      </c>
      <c r="BK240" s="225"/>
      <c r="BL240" s="241">
        <v>0.8</v>
      </c>
      <c r="BM240" s="229"/>
      <c r="BN240" s="242"/>
      <c r="BO240" s="243">
        <v>0.95</v>
      </c>
      <c r="BP240" s="234">
        <v>1</v>
      </c>
      <c r="BQ240" s="242">
        <v>2.5000000000000001E-3</v>
      </c>
    </row>
    <row r="241" spans="1:69" s="211" customFormat="1" ht="22.35" customHeight="1" x14ac:dyDescent="0.2">
      <c r="A241" s="221" t="s">
        <v>276</v>
      </c>
      <c r="B241" s="221" t="s">
        <v>300</v>
      </c>
      <c r="C241" s="221" t="s">
        <v>310</v>
      </c>
      <c r="D241" s="222">
        <v>3.3634437715555601</v>
      </c>
      <c r="E241" s="223"/>
      <c r="F241" s="224">
        <v>3.5999999999999997E-2</v>
      </c>
      <c r="G241" s="224">
        <v>0.03</v>
      </c>
      <c r="H241" s="225"/>
      <c r="I241" s="226">
        <v>4</v>
      </c>
      <c r="J241" s="226">
        <v>3</v>
      </c>
      <c r="K241" s="223"/>
      <c r="L241" s="227">
        <v>6333.7850799999997</v>
      </c>
      <c r="M241" s="227">
        <v>-1819.75764</v>
      </c>
      <c r="N241" s="227">
        <v>4514.0274399999998</v>
      </c>
      <c r="O241" s="222">
        <v>1342.08500173984</v>
      </c>
      <c r="P241" s="228">
        <v>217.09100000000001</v>
      </c>
      <c r="Q241" s="234">
        <v>6.18213100377187</v>
      </c>
      <c r="R241" s="235">
        <v>3716.6781179826398</v>
      </c>
      <c r="S241" s="224">
        <v>0.01</v>
      </c>
      <c r="T241" s="224">
        <v>0.01</v>
      </c>
      <c r="U241" s="231">
        <v>0</v>
      </c>
      <c r="V241" s="232">
        <v>0</v>
      </c>
      <c r="W241" s="223"/>
      <c r="X241" s="231">
        <v>1682.533825</v>
      </c>
      <c r="Y241" s="222">
        <v>500.24140115826799</v>
      </c>
      <c r="Z241" s="233">
        <v>573</v>
      </c>
      <c r="AA241" s="244">
        <v>0.87302164251006598</v>
      </c>
      <c r="AB241" s="227">
        <v>-422.02675796265902</v>
      </c>
      <c r="AC241" s="224"/>
      <c r="AD241" s="224"/>
      <c r="AE241" s="232">
        <v>245</v>
      </c>
      <c r="AF241" s="232">
        <v>631</v>
      </c>
      <c r="AG241" s="223"/>
      <c r="AH241" s="236">
        <v>204.2</v>
      </c>
      <c r="AI241" s="222">
        <v>60.711584277670198</v>
      </c>
      <c r="AJ241" s="237" t="s">
        <v>54</v>
      </c>
      <c r="AK241" s="238">
        <v>0.96367594091539999</v>
      </c>
      <c r="AL241" s="239">
        <v>-27.191477707936301</v>
      </c>
      <c r="AM241" s="224">
        <v>6.0000000000000001E-3</v>
      </c>
      <c r="AN241" s="224"/>
      <c r="AO241" s="232">
        <v>8</v>
      </c>
      <c r="AP241" s="232">
        <v>51</v>
      </c>
      <c r="AQ241" s="223"/>
      <c r="AR241" s="236">
        <v>21.5</v>
      </c>
      <c r="AS241" s="222">
        <v>6.3922578940739898</v>
      </c>
      <c r="AT241" s="237" t="s">
        <v>55</v>
      </c>
      <c r="AU241" s="229">
        <v>0.39951611837962397</v>
      </c>
      <c r="AV241" s="230">
        <v>-37.266089576618803</v>
      </c>
      <c r="AW241" s="224"/>
      <c r="AX241" s="224"/>
      <c r="AY241" s="232">
        <v>33</v>
      </c>
      <c r="AZ241" s="232">
        <v>44</v>
      </c>
      <c r="BA241" s="223"/>
      <c r="BB241" s="240">
        <v>138</v>
      </c>
      <c r="BC241" s="236">
        <v>41.029376250335403</v>
      </c>
      <c r="BD241" s="237" t="s">
        <v>56</v>
      </c>
      <c r="BE241" s="234">
        <v>1.28216800782298</v>
      </c>
      <c r="BF241" s="235">
        <v>20.4678208467625</v>
      </c>
      <c r="BG241" s="224">
        <v>0.02</v>
      </c>
      <c r="BH241" s="224">
        <v>0.02</v>
      </c>
      <c r="BI241" s="232">
        <v>0</v>
      </c>
      <c r="BJ241" s="232">
        <v>0</v>
      </c>
      <c r="BK241" s="225"/>
      <c r="BL241" s="241">
        <v>0.8</v>
      </c>
      <c r="BM241" s="244">
        <v>0.79</v>
      </c>
      <c r="BN241" s="242"/>
      <c r="BO241" s="243">
        <v>0.95</v>
      </c>
      <c r="BP241" s="234">
        <v>1</v>
      </c>
      <c r="BQ241" s="242">
        <v>2.5000000000000001E-3</v>
      </c>
    </row>
    <row r="242" spans="1:69" s="211" customFormat="1" ht="22.35" customHeight="1" x14ac:dyDescent="0.2">
      <c r="A242" s="221" t="s">
        <v>276</v>
      </c>
      <c r="B242" s="221" t="s">
        <v>300</v>
      </c>
      <c r="C242" s="221" t="s">
        <v>311</v>
      </c>
      <c r="D242" s="222">
        <v>2.3177117403333298</v>
      </c>
      <c r="E242" s="223"/>
      <c r="F242" s="224">
        <v>4.5999999999999999E-2</v>
      </c>
      <c r="G242" s="224">
        <v>3.1E-2</v>
      </c>
      <c r="H242" s="225"/>
      <c r="I242" s="226">
        <v>5</v>
      </c>
      <c r="J242" s="226">
        <v>4</v>
      </c>
      <c r="K242" s="223"/>
      <c r="L242" s="227">
        <v>89.735259999999997</v>
      </c>
      <c r="M242" s="227">
        <v>624.23470999999995</v>
      </c>
      <c r="N242" s="227">
        <v>713.96996999999999</v>
      </c>
      <c r="O242" s="222">
        <v>308.04951175564099</v>
      </c>
      <c r="P242" s="228">
        <v>215.88200000000001</v>
      </c>
      <c r="Q242" s="234">
        <v>1.42693467614549</v>
      </c>
      <c r="R242" s="235">
        <v>167.58531744810901</v>
      </c>
      <c r="S242" s="224">
        <v>0.01</v>
      </c>
      <c r="T242" s="224">
        <v>0.01</v>
      </c>
      <c r="U242" s="231">
        <v>0</v>
      </c>
      <c r="V242" s="232">
        <v>0</v>
      </c>
      <c r="W242" s="223"/>
      <c r="X242" s="231">
        <v>1259.077685</v>
      </c>
      <c r="Y242" s="222">
        <v>543.24170822853</v>
      </c>
      <c r="Z242" s="233">
        <v>573</v>
      </c>
      <c r="AA242" s="238">
        <v>0.94806580842675403</v>
      </c>
      <c r="AB242" s="239">
        <v>-191.15163431440999</v>
      </c>
      <c r="AC242" s="224">
        <v>4.0000000000000001E-3</v>
      </c>
      <c r="AD242" s="224"/>
      <c r="AE242" s="232">
        <v>69</v>
      </c>
      <c r="AF242" s="232">
        <v>335</v>
      </c>
      <c r="AG242" s="223"/>
      <c r="AH242" s="236">
        <v>148.19999999999999</v>
      </c>
      <c r="AI242" s="222">
        <v>63.942377915679003</v>
      </c>
      <c r="AJ242" s="237" t="s">
        <v>54</v>
      </c>
      <c r="AK242" s="238">
        <v>1.0149583796139501</v>
      </c>
      <c r="AL242" s="239">
        <v>-11.2492968879718</v>
      </c>
      <c r="AM242" s="224">
        <v>1.2E-2</v>
      </c>
      <c r="AN242" s="224">
        <v>1E-3</v>
      </c>
      <c r="AO242" s="232">
        <v>0</v>
      </c>
      <c r="AP242" s="232">
        <v>28</v>
      </c>
      <c r="AQ242" s="223"/>
      <c r="AR242" s="236">
        <v>26.8</v>
      </c>
      <c r="AS242" s="222">
        <v>11.5631290697719</v>
      </c>
      <c r="AT242" s="237" t="s">
        <v>55</v>
      </c>
      <c r="AU242" s="229">
        <v>0.72269556686074399</v>
      </c>
      <c r="AV242" s="230">
        <v>-13.695059527103901</v>
      </c>
      <c r="AW242" s="224"/>
      <c r="AX242" s="224"/>
      <c r="AY242" s="232">
        <v>11</v>
      </c>
      <c r="AZ242" s="232">
        <v>18</v>
      </c>
      <c r="BA242" s="223"/>
      <c r="BB242" s="240">
        <v>108.2</v>
      </c>
      <c r="BC242" s="236">
        <v>46.683976319004501</v>
      </c>
      <c r="BD242" s="237" t="s">
        <v>56</v>
      </c>
      <c r="BE242" s="234">
        <v>1.45887425996889</v>
      </c>
      <c r="BF242" s="235">
        <v>27.209880945792101</v>
      </c>
      <c r="BG242" s="224">
        <v>0.02</v>
      </c>
      <c r="BH242" s="224">
        <v>0.02</v>
      </c>
      <c r="BI242" s="232">
        <v>0</v>
      </c>
      <c r="BJ242" s="232">
        <v>0</v>
      </c>
      <c r="BK242" s="225"/>
      <c r="BL242" s="241">
        <v>0.8</v>
      </c>
      <c r="BM242" s="244">
        <v>0.79</v>
      </c>
      <c r="BN242" s="242"/>
      <c r="BO242" s="243">
        <v>0.95</v>
      </c>
      <c r="BP242" s="234">
        <v>1</v>
      </c>
      <c r="BQ242" s="242">
        <v>2.5000000000000001E-3</v>
      </c>
    </row>
    <row r="243" spans="1:69" s="211" customFormat="1" ht="22.35" customHeight="1" x14ac:dyDescent="0.2">
      <c r="A243" s="221" t="s">
        <v>276</v>
      </c>
      <c r="B243" s="221" t="s">
        <v>300</v>
      </c>
      <c r="C243" s="221" t="s">
        <v>312</v>
      </c>
      <c r="D243" s="222">
        <v>2.7902735091111102</v>
      </c>
      <c r="E243" s="223"/>
      <c r="F243" s="224">
        <v>4.5999999999999999E-2</v>
      </c>
      <c r="G243" s="224">
        <v>3.5999999999999997E-2</v>
      </c>
      <c r="H243" s="225"/>
      <c r="I243" s="226">
        <v>5</v>
      </c>
      <c r="J243" s="226">
        <v>5</v>
      </c>
      <c r="K243" s="223"/>
      <c r="L243" s="227">
        <v>1367.15347</v>
      </c>
      <c r="M243" s="227">
        <v>1656.1770300000001</v>
      </c>
      <c r="N243" s="227">
        <v>3023.3305</v>
      </c>
      <c r="O243" s="222">
        <v>1083.5247835482401</v>
      </c>
      <c r="P243" s="228">
        <v>245.339</v>
      </c>
      <c r="Q243" s="234">
        <v>4.4164392271438304</v>
      </c>
      <c r="R243" s="235">
        <v>2275.78779960262</v>
      </c>
      <c r="S243" s="224">
        <v>0.01</v>
      </c>
      <c r="T243" s="224">
        <v>0.01</v>
      </c>
      <c r="U243" s="231">
        <v>0</v>
      </c>
      <c r="V243" s="232">
        <v>0</v>
      </c>
      <c r="W243" s="223"/>
      <c r="X243" s="231">
        <v>1949.4196899999999</v>
      </c>
      <c r="Y243" s="222">
        <v>698.64824492457001</v>
      </c>
      <c r="Z243" s="233">
        <v>573</v>
      </c>
      <c r="AA243" s="234">
        <v>1.2192814047549201</v>
      </c>
      <c r="AB243" s="235">
        <v>203.50091097303201</v>
      </c>
      <c r="AC243" s="224">
        <v>0.02</v>
      </c>
      <c r="AD243" s="224">
        <v>0.02</v>
      </c>
      <c r="AE243" s="232">
        <v>0</v>
      </c>
      <c r="AF243" s="232">
        <v>0</v>
      </c>
      <c r="AG243" s="223"/>
      <c r="AH243" s="236">
        <v>116.05</v>
      </c>
      <c r="AI243" s="222">
        <v>41.5909048417872</v>
      </c>
      <c r="AJ243" s="237" t="s">
        <v>54</v>
      </c>
      <c r="AK243" s="229">
        <v>0.66017309272678104</v>
      </c>
      <c r="AL243" s="230">
        <v>-75.909656332807998</v>
      </c>
      <c r="AM243" s="224"/>
      <c r="AN243" s="224"/>
      <c r="AO243" s="232">
        <v>60</v>
      </c>
      <c r="AP243" s="232">
        <v>95</v>
      </c>
      <c r="AQ243" s="223"/>
      <c r="AR243" s="236">
        <v>11.8</v>
      </c>
      <c r="AS243" s="222">
        <v>4.2289761062739304</v>
      </c>
      <c r="AT243" s="237" t="s">
        <v>55</v>
      </c>
      <c r="AU243" s="229">
        <v>0.26431100664212098</v>
      </c>
      <c r="AV243" s="230">
        <v>-36.951658751189299</v>
      </c>
      <c r="AW243" s="224"/>
      <c r="AX243" s="224"/>
      <c r="AY243" s="232">
        <v>33</v>
      </c>
      <c r="AZ243" s="232">
        <v>42</v>
      </c>
      <c r="BA243" s="223"/>
      <c r="BB243" s="240">
        <v>94.2</v>
      </c>
      <c r="BC243" s="236">
        <v>33.760131289068099</v>
      </c>
      <c r="BD243" s="237" t="s">
        <v>56</v>
      </c>
      <c r="BE243" s="238">
        <v>1.0550041027833801</v>
      </c>
      <c r="BF243" s="239">
        <v>-3.3033175023786301</v>
      </c>
      <c r="BG243" s="224">
        <v>1.6E-2</v>
      </c>
      <c r="BH243" s="224">
        <v>6.0000000000000001E-3</v>
      </c>
      <c r="BI243" s="232">
        <v>0</v>
      </c>
      <c r="BJ243" s="232">
        <v>13</v>
      </c>
      <c r="BK243" s="225"/>
      <c r="BL243" s="241">
        <v>0.8</v>
      </c>
      <c r="BM243" s="238">
        <v>0.88</v>
      </c>
      <c r="BN243" s="242">
        <v>3.0000000000000001E-3</v>
      </c>
      <c r="BO243" s="243">
        <v>0.95</v>
      </c>
      <c r="BP243" s="234">
        <v>1</v>
      </c>
      <c r="BQ243" s="242">
        <v>2.5000000000000001E-3</v>
      </c>
    </row>
    <row r="244" spans="1:69" s="211" customFormat="1" ht="22.35" customHeight="1" x14ac:dyDescent="0.2">
      <c r="A244" s="221" t="s">
        <v>276</v>
      </c>
      <c r="B244" s="221" t="s">
        <v>300</v>
      </c>
      <c r="C244" s="221" t="s">
        <v>313</v>
      </c>
      <c r="D244" s="222">
        <v>3.578419974</v>
      </c>
      <c r="E244" s="223"/>
      <c r="F244" s="224">
        <v>0.03</v>
      </c>
      <c r="G244" s="224">
        <v>1.2E-2</v>
      </c>
      <c r="H244" s="225"/>
      <c r="I244" s="226">
        <v>4</v>
      </c>
      <c r="J244" s="226">
        <v>3</v>
      </c>
      <c r="K244" s="223"/>
      <c r="L244" s="227">
        <v>1475.9645399999999</v>
      </c>
      <c r="M244" s="227">
        <v>1765.7680399999999</v>
      </c>
      <c r="N244" s="227">
        <v>3241.7325799999999</v>
      </c>
      <c r="O244" s="222">
        <v>905.91171621936599</v>
      </c>
      <c r="P244" s="228">
        <v>213.536</v>
      </c>
      <c r="Q244" s="234">
        <v>4.2424308604608401</v>
      </c>
      <c r="R244" s="235">
        <v>2407.3119155756699</v>
      </c>
      <c r="S244" s="224">
        <v>0.01</v>
      </c>
      <c r="T244" s="224">
        <v>0.01</v>
      </c>
      <c r="U244" s="231">
        <v>0</v>
      </c>
      <c r="V244" s="232">
        <v>0</v>
      </c>
      <c r="W244" s="223"/>
      <c r="X244" s="231">
        <v>2012.6831199999999</v>
      </c>
      <c r="Y244" s="222">
        <v>562.45022513391496</v>
      </c>
      <c r="Z244" s="233">
        <v>573</v>
      </c>
      <c r="AA244" s="238">
        <v>0.98158852553911902</v>
      </c>
      <c r="AB244" s="239">
        <v>-226.39151245138399</v>
      </c>
      <c r="AC244" s="224">
        <v>8.0000000000000002E-3</v>
      </c>
      <c r="AD244" s="224"/>
      <c r="AE244" s="232">
        <v>38</v>
      </c>
      <c r="AF244" s="232">
        <v>448</v>
      </c>
      <c r="AG244" s="223"/>
      <c r="AH244" s="236">
        <v>170.05</v>
      </c>
      <c r="AI244" s="222">
        <v>47.5209732886428</v>
      </c>
      <c r="AJ244" s="237" t="s">
        <v>54</v>
      </c>
      <c r="AK244" s="244">
        <v>0.75430116331179098</v>
      </c>
      <c r="AL244" s="227">
        <v>-76.130980531304004</v>
      </c>
      <c r="AM244" s="224"/>
      <c r="AN244" s="224"/>
      <c r="AO244" s="232">
        <v>56</v>
      </c>
      <c r="AP244" s="232">
        <v>101</v>
      </c>
      <c r="AQ244" s="223"/>
      <c r="AR244" s="236">
        <v>38.799999999999997</v>
      </c>
      <c r="AS244" s="222">
        <v>10.8427742640361</v>
      </c>
      <c r="AT244" s="237" t="s">
        <v>55</v>
      </c>
      <c r="AU244" s="229">
        <v>0.67767339150225703</v>
      </c>
      <c r="AV244" s="230">
        <v>-23.722153785728</v>
      </c>
      <c r="AW244" s="224"/>
      <c r="AX244" s="224"/>
      <c r="AY244" s="232">
        <v>19</v>
      </c>
      <c r="AZ244" s="232">
        <v>30</v>
      </c>
      <c r="BA244" s="223"/>
      <c r="BB244" s="240">
        <v>116.8</v>
      </c>
      <c r="BC244" s="236">
        <v>32.640103970088099</v>
      </c>
      <c r="BD244" s="237" t="s">
        <v>56</v>
      </c>
      <c r="BE244" s="238">
        <v>1.02000324906525</v>
      </c>
      <c r="BF244" s="239">
        <v>-8.2443075714560301</v>
      </c>
      <c r="BG244" s="224">
        <v>1.2E-2</v>
      </c>
      <c r="BH244" s="224">
        <v>2E-3</v>
      </c>
      <c r="BI244" s="232">
        <v>0</v>
      </c>
      <c r="BJ244" s="232">
        <v>21</v>
      </c>
      <c r="BK244" s="225"/>
      <c r="BL244" s="241">
        <v>0.8</v>
      </c>
      <c r="BM244" s="244">
        <v>0.8</v>
      </c>
      <c r="BN244" s="242">
        <v>0</v>
      </c>
      <c r="BO244" s="243">
        <v>0.95</v>
      </c>
      <c r="BP244" s="234">
        <v>1</v>
      </c>
      <c r="BQ244" s="242">
        <v>2.5000000000000001E-3</v>
      </c>
    </row>
    <row r="245" spans="1:69" s="211" customFormat="1" ht="22.35" customHeight="1" x14ac:dyDescent="0.2">
      <c r="A245" s="221" t="s">
        <v>276</v>
      </c>
      <c r="B245" s="221" t="s">
        <v>300</v>
      </c>
      <c r="C245" s="221" t="s">
        <v>314</v>
      </c>
      <c r="D245" s="222">
        <v>3.0802030008888899</v>
      </c>
      <c r="E245" s="223"/>
      <c r="F245" s="224">
        <v>3.0000000000000001E-3</v>
      </c>
      <c r="G245" s="224"/>
      <c r="H245" s="225"/>
      <c r="I245" s="226">
        <v>3</v>
      </c>
      <c r="J245" s="226">
        <v>2</v>
      </c>
      <c r="K245" s="223"/>
      <c r="L245" s="227">
        <v>851.51138000000003</v>
      </c>
      <c r="M245" s="227">
        <v>-580.03353000000004</v>
      </c>
      <c r="N245" s="227">
        <v>271.47784999999999</v>
      </c>
      <c r="O245" s="222">
        <v>88.136350078763201</v>
      </c>
      <c r="P245" s="228">
        <v>252.38499999999999</v>
      </c>
      <c r="Q245" s="229">
        <v>0.349213899711802</v>
      </c>
      <c r="R245" s="230">
        <v>-577.43971154224198</v>
      </c>
      <c r="S245" s="224"/>
      <c r="T245" s="224"/>
      <c r="U245" s="231">
        <v>506</v>
      </c>
      <c r="V245" s="232">
        <v>662</v>
      </c>
      <c r="W245" s="223"/>
      <c r="X245" s="231">
        <v>1091.16724</v>
      </c>
      <c r="Y245" s="222">
        <v>354.25172941040199</v>
      </c>
      <c r="Z245" s="233">
        <v>573</v>
      </c>
      <c r="AA245" s="229">
        <v>0.61824036546317995</v>
      </c>
      <c r="AB245" s="230">
        <v>-836.16506090419296</v>
      </c>
      <c r="AC245" s="224"/>
      <c r="AD245" s="224"/>
      <c r="AE245" s="232">
        <v>674</v>
      </c>
      <c r="AF245" s="232">
        <v>1027</v>
      </c>
      <c r="AG245" s="223"/>
      <c r="AH245" s="236">
        <v>86.1</v>
      </c>
      <c r="AI245" s="222">
        <v>27.952703109227901</v>
      </c>
      <c r="AJ245" s="237" t="s">
        <v>54</v>
      </c>
      <c r="AK245" s="229">
        <v>0.44369370014647502</v>
      </c>
      <c r="AL245" s="230">
        <v>-125.805645649152</v>
      </c>
      <c r="AM245" s="224"/>
      <c r="AN245" s="224"/>
      <c r="AO245" s="232">
        <v>108</v>
      </c>
      <c r="AP245" s="232">
        <v>147</v>
      </c>
      <c r="AQ245" s="223"/>
      <c r="AR245" s="236">
        <v>15.3</v>
      </c>
      <c r="AS245" s="222">
        <v>4.9672050821276104</v>
      </c>
      <c r="AT245" s="237" t="s">
        <v>55</v>
      </c>
      <c r="AU245" s="229">
        <v>0.31045031763297598</v>
      </c>
      <c r="AV245" s="230">
        <v>-38.517306831530703</v>
      </c>
      <c r="AW245" s="224"/>
      <c r="AX245" s="224"/>
      <c r="AY245" s="232">
        <v>34</v>
      </c>
      <c r="AZ245" s="232">
        <v>44</v>
      </c>
      <c r="BA245" s="223"/>
      <c r="BB245" s="240">
        <v>92.4</v>
      </c>
      <c r="BC245" s="236">
        <v>29.998022848927501</v>
      </c>
      <c r="BD245" s="237" t="s">
        <v>56</v>
      </c>
      <c r="BE245" s="238">
        <v>0.93743821402898497</v>
      </c>
      <c r="BF245" s="239">
        <v>-15.234613663061401</v>
      </c>
      <c r="BG245" s="224">
        <v>3.0000000000000001E-3</v>
      </c>
      <c r="BH245" s="224"/>
      <c r="BI245" s="232">
        <v>7</v>
      </c>
      <c r="BJ245" s="232">
        <v>26</v>
      </c>
      <c r="BK245" s="225"/>
      <c r="BL245" s="241">
        <v>0.8</v>
      </c>
      <c r="BM245" s="238">
        <v>0.81</v>
      </c>
      <c r="BN245" s="242">
        <v>3.7500000000000001E-4</v>
      </c>
      <c r="BO245" s="243">
        <v>0.95</v>
      </c>
      <c r="BP245" s="234">
        <v>1</v>
      </c>
      <c r="BQ245" s="242">
        <v>2.5000000000000001E-3</v>
      </c>
    </row>
    <row r="246" spans="1:69" s="211" customFormat="1" ht="22.35" customHeight="1" x14ac:dyDescent="0.2">
      <c r="A246" s="221" t="s">
        <v>276</v>
      </c>
      <c r="B246" s="221" t="s">
        <v>300</v>
      </c>
      <c r="C246" s="221" t="s">
        <v>315</v>
      </c>
      <c r="D246" s="222">
        <v>6.0121721623333304</v>
      </c>
      <c r="E246" s="223"/>
      <c r="F246" s="224">
        <v>4.1000000000000002E-2</v>
      </c>
      <c r="G246" s="224">
        <v>2.1999999999999999E-2</v>
      </c>
      <c r="H246" s="225"/>
      <c r="I246" s="226">
        <v>5</v>
      </c>
      <c r="J246" s="226">
        <v>5</v>
      </c>
      <c r="K246" s="223"/>
      <c r="L246" s="227">
        <v>5824.5319</v>
      </c>
      <c r="M246" s="227">
        <v>155.96778</v>
      </c>
      <c r="N246" s="227">
        <v>5980.4996799999999</v>
      </c>
      <c r="O246" s="222">
        <v>994.73194022424002</v>
      </c>
      <c r="P246" s="228">
        <v>220.02799999999999</v>
      </c>
      <c r="Q246" s="234">
        <v>4.5209334276739304</v>
      </c>
      <c r="R246" s="235">
        <v>4535.9516115450097</v>
      </c>
      <c r="S246" s="224">
        <v>0.01</v>
      </c>
      <c r="T246" s="224">
        <v>0.01</v>
      </c>
      <c r="U246" s="231">
        <v>0</v>
      </c>
      <c r="V246" s="232">
        <v>0</v>
      </c>
      <c r="W246" s="223"/>
      <c r="X246" s="231">
        <v>3493.0782549999999</v>
      </c>
      <c r="Y246" s="222">
        <v>581.00103601230398</v>
      </c>
      <c r="Z246" s="233">
        <v>573</v>
      </c>
      <c r="AA246" s="238">
        <v>1.0139634136340401</v>
      </c>
      <c r="AB246" s="239">
        <v>-268.83406172656203</v>
      </c>
      <c r="AC246" s="224">
        <v>1.0999999999999999E-2</v>
      </c>
      <c r="AD246" s="224">
        <v>1E-3</v>
      </c>
      <c r="AE246" s="232">
        <v>0</v>
      </c>
      <c r="AF246" s="232">
        <v>641</v>
      </c>
      <c r="AG246" s="223"/>
      <c r="AH246" s="236">
        <v>316.25</v>
      </c>
      <c r="AI246" s="222">
        <v>52.601620755527897</v>
      </c>
      <c r="AJ246" s="237" t="s">
        <v>54</v>
      </c>
      <c r="AK246" s="244">
        <v>0.83494636119885501</v>
      </c>
      <c r="AL246" s="227">
        <v>-97.363396079883799</v>
      </c>
      <c r="AM246" s="224"/>
      <c r="AN246" s="224"/>
      <c r="AO246" s="232">
        <v>63</v>
      </c>
      <c r="AP246" s="232">
        <v>139</v>
      </c>
      <c r="AQ246" s="223"/>
      <c r="AR246" s="236">
        <v>32.799999999999997</v>
      </c>
      <c r="AS246" s="222">
        <v>5.4555989273717502</v>
      </c>
      <c r="AT246" s="237" t="s">
        <v>55</v>
      </c>
      <c r="AU246" s="229">
        <v>0.340974932960734</v>
      </c>
      <c r="AV246" s="230">
        <v>-72.244672020287894</v>
      </c>
      <c r="AW246" s="224"/>
      <c r="AX246" s="224"/>
      <c r="AY246" s="232">
        <v>64</v>
      </c>
      <c r="AZ246" s="232">
        <v>83</v>
      </c>
      <c r="BA246" s="223"/>
      <c r="BB246" s="240">
        <v>214.2</v>
      </c>
      <c r="BC246" s="236">
        <v>35.627722263506897</v>
      </c>
      <c r="BD246" s="237" t="s">
        <v>56</v>
      </c>
      <c r="BE246" s="234">
        <v>1.1133663207345901</v>
      </c>
      <c r="BF246" s="235">
        <v>4.1106559594241201</v>
      </c>
      <c r="BG246" s="224">
        <v>0.02</v>
      </c>
      <c r="BH246" s="224">
        <v>1.0999999999999999E-2</v>
      </c>
      <c r="BI246" s="232">
        <v>0</v>
      </c>
      <c r="BJ246" s="232">
        <v>17</v>
      </c>
      <c r="BK246" s="225"/>
      <c r="BL246" s="241">
        <v>0.8</v>
      </c>
      <c r="BM246" s="238">
        <v>0.81</v>
      </c>
      <c r="BN246" s="242">
        <v>3.7500000000000001E-4</v>
      </c>
      <c r="BO246" s="243">
        <v>0.95</v>
      </c>
      <c r="BP246" s="234">
        <v>1</v>
      </c>
      <c r="BQ246" s="242">
        <v>2.5000000000000001E-3</v>
      </c>
    </row>
    <row r="247" spans="1:69" s="211" customFormat="1" ht="22.35" customHeight="1" x14ac:dyDescent="0.2">
      <c r="A247" s="221" t="s">
        <v>276</v>
      </c>
      <c r="B247" s="221" t="s">
        <v>300</v>
      </c>
      <c r="C247" s="221" t="s">
        <v>316</v>
      </c>
      <c r="D247" s="222">
        <v>8.5561773496666707</v>
      </c>
      <c r="E247" s="223"/>
      <c r="F247" s="224">
        <v>1.4E-2</v>
      </c>
      <c r="G247" s="224">
        <v>0.01</v>
      </c>
      <c r="H247" s="225"/>
      <c r="I247" s="226">
        <v>3</v>
      </c>
      <c r="J247" s="226">
        <v>2</v>
      </c>
      <c r="K247" s="223"/>
      <c r="L247" s="227">
        <v>4780.0293099999999</v>
      </c>
      <c r="M247" s="227">
        <v>2686.3431599999999</v>
      </c>
      <c r="N247" s="227">
        <v>7466.3724700000002</v>
      </c>
      <c r="O247" s="222">
        <v>872.62946580821801</v>
      </c>
      <c r="P247" s="228">
        <v>215.38300000000001</v>
      </c>
      <c r="Q247" s="234">
        <v>4.0515243348278096</v>
      </c>
      <c r="R247" s="235">
        <v>5453.9746504552404</v>
      </c>
      <c r="S247" s="224">
        <v>0.01</v>
      </c>
      <c r="T247" s="224">
        <v>0.01</v>
      </c>
      <c r="U247" s="231">
        <v>0</v>
      </c>
      <c r="V247" s="232">
        <v>0</v>
      </c>
      <c r="W247" s="223"/>
      <c r="X247" s="231">
        <v>4652.3069349999996</v>
      </c>
      <c r="Y247" s="222">
        <v>543.73661798644798</v>
      </c>
      <c r="Z247" s="233">
        <v>573</v>
      </c>
      <c r="AA247" s="238">
        <v>0.948929525281758</v>
      </c>
      <c r="AB247" s="239">
        <v>-701.43013152403103</v>
      </c>
      <c r="AC247" s="224">
        <v>4.0000000000000001E-3</v>
      </c>
      <c r="AD247" s="224"/>
      <c r="AE247" s="232">
        <v>251</v>
      </c>
      <c r="AF247" s="232">
        <v>1231</v>
      </c>
      <c r="AG247" s="223"/>
      <c r="AH247" s="236">
        <v>281.39999999999998</v>
      </c>
      <c r="AI247" s="222">
        <v>32.888518844336801</v>
      </c>
      <c r="AJ247" s="237" t="s">
        <v>54</v>
      </c>
      <c r="AK247" s="229">
        <v>0.52203998165613996</v>
      </c>
      <c r="AL247" s="230">
        <v>-307.23077694766801</v>
      </c>
      <c r="AM247" s="224"/>
      <c r="AN247" s="224"/>
      <c r="AO247" s="232">
        <v>258</v>
      </c>
      <c r="AP247" s="232">
        <v>366</v>
      </c>
      <c r="AQ247" s="223"/>
      <c r="AR247" s="236">
        <v>67.5</v>
      </c>
      <c r="AS247" s="222">
        <v>7.8890370362215201</v>
      </c>
      <c r="AT247" s="237" t="s">
        <v>55</v>
      </c>
      <c r="AU247" s="229">
        <v>0.49306481476384501</v>
      </c>
      <c r="AV247" s="230">
        <v>-81.993530653376098</v>
      </c>
      <c r="AW247" s="224"/>
      <c r="AX247" s="224"/>
      <c r="AY247" s="232">
        <v>70</v>
      </c>
      <c r="AZ247" s="232">
        <v>97</v>
      </c>
      <c r="BA247" s="223"/>
      <c r="BB247" s="240">
        <v>242.6</v>
      </c>
      <c r="BC247" s="236">
        <v>28.353783481293899</v>
      </c>
      <c r="BD247" s="237" t="s">
        <v>56</v>
      </c>
      <c r="BE247" s="244">
        <v>0.88605573379043501</v>
      </c>
      <c r="BF247" s="227">
        <v>-56.387061306752102</v>
      </c>
      <c r="BG247" s="224"/>
      <c r="BH247" s="224"/>
      <c r="BI247" s="232">
        <v>32</v>
      </c>
      <c r="BJ247" s="232">
        <v>86</v>
      </c>
      <c r="BK247" s="225"/>
      <c r="BL247" s="241">
        <v>0.8</v>
      </c>
      <c r="BM247" s="244">
        <v>0.78</v>
      </c>
      <c r="BN247" s="242"/>
      <c r="BO247" s="243">
        <v>0.95</v>
      </c>
      <c r="BP247" s="234">
        <v>1</v>
      </c>
      <c r="BQ247" s="242">
        <v>2.5000000000000001E-3</v>
      </c>
    </row>
    <row r="248" spans="1:69" s="211" customFormat="1" ht="22.35" customHeight="1" x14ac:dyDescent="0.2">
      <c r="A248" s="221" t="s">
        <v>276</v>
      </c>
      <c r="B248" s="221" t="s">
        <v>300</v>
      </c>
      <c r="C248" s="221" t="s">
        <v>317</v>
      </c>
      <c r="D248" s="222">
        <v>7.66372503566667</v>
      </c>
      <c r="E248" s="223"/>
      <c r="F248" s="224">
        <v>0.01</v>
      </c>
      <c r="G248" s="224">
        <v>0.01</v>
      </c>
      <c r="H248" s="225"/>
      <c r="I248" s="226">
        <v>2</v>
      </c>
      <c r="J248" s="226">
        <v>2</v>
      </c>
      <c r="K248" s="223"/>
      <c r="L248" s="227">
        <v>4769.5723099999996</v>
      </c>
      <c r="M248" s="227">
        <v>1734.6219900000001</v>
      </c>
      <c r="N248" s="227">
        <v>6504.1943000000001</v>
      </c>
      <c r="O248" s="222">
        <v>848.69880765942696</v>
      </c>
      <c r="P248" s="228">
        <v>245.339</v>
      </c>
      <c r="Q248" s="234">
        <v>3.45929023783185</v>
      </c>
      <c r="R248" s="235">
        <v>4451.0042849142401</v>
      </c>
      <c r="S248" s="224">
        <v>0.01</v>
      </c>
      <c r="T248" s="224">
        <v>0.01</v>
      </c>
      <c r="U248" s="231">
        <v>0</v>
      </c>
      <c r="V248" s="232">
        <v>0</v>
      </c>
      <c r="W248" s="223"/>
      <c r="X248" s="231">
        <v>3361.5707600000001</v>
      </c>
      <c r="Y248" s="222">
        <v>438.634051242103</v>
      </c>
      <c r="Z248" s="233">
        <v>573</v>
      </c>
      <c r="AA248" s="244">
        <v>0.76550445242949905</v>
      </c>
      <c r="AB248" s="227">
        <v>-1433.74461441721</v>
      </c>
      <c r="AC248" s="224"/>
      <c r="AD248" s="224"/>
      <c r="AE248" s="232">
        <v>1030</v>
      </c>
      <c r="AF248" s="232">
        <v>1909</v>
      </c>
      <c r="AG248" s="223"/>
      <c r="AH248" s="236">
        <v>306.3</v>
      </c>
      <c r="AI248" s="222">
        <v>39.967509086572399</v>
      </c>
      <c r="AJ248" s="237" t="s">
        <v>54</v>
      </c>
      <c r="AK248" s="229">
        <v>0.63440490613607003</v>
      </c>
      <c r="AL248" s="230">
        <v>-220.93362755372399</v>
      </c>
      <c r="AM248" s="224"/>
      <c r="AN248" s="224"/>
      <c r="AO248" s="232">
        <v>177</v>
      </c>
      <c r="AP248" s="232">
        <v>274</v>
      </c>
      <c r="AQ248" s="223"/>
      <c r="AR248" s="236">
        <v>35.4</v>
      </c>
      <c r="AS248" s="222">
        <v>4.6191636358624297</v>
      </c>
      <c r="AT248" s="237" t="s">
        <v>55</v>
      </c>
      <c r="AU248" s="229">
        <v>0.28869772724140202</v>
      </c>
      <c r="AV248" s="230">
        <v>-98.500603823168007</v>
      </c>
      <c r="AW248" s="224"/>
      <c r="AX248" s="224"/>
      <c r="AY248" s="232">
        <v>88</v>
      </c>
      <c r="AZ248" s="232">
        <v>112</v>
      </c>
      <c r="BA248" s="223"/>
      <c r="BB248" s="240">
        <v>182.2</v>
      </c>
      <c r="BC248" s="236">
        <v>23.7743393913597</v>
      </c>
      <c r="BD248" s="237" t="s">
        <v>56</v>
      </c>
      <c r="BE248" s="244">
        <v>0.74294810597999195</v>
      </c>
      <c r="BF248" s="227">
        <v>-85.601207646336107</v>
      </c>
      <c r="BG248" s="224"/>
      <c r="BH248" s="224"/>
      <c r="BI248" s="232">
        <v>64</v>
      </c>
      <c r="BJ248" s="232">
        <v>113</v>
      </c>
      <c r="BK248" s="225"/>
      <c r="BL248" s="241">
        <v>0.8</v>
      </c>
      <c r="BM248" s="244">
        <v>0.76</v>
      </c>
      <c r="BN248" s="242"/>
      <c r="BO248" s="243">
        <v>0.95</v>
      </c>
      <c r="BP248" s="234">
        <v>1</v>
      </c>
      <c r="BQ248" s="242">
        <v>2.5000000000000001E-3</v>
      </c>
    </row>
    <row r="249" spans="1:69" s="211" customFormat="1" ht="22.35" customHeight="1" x14ac:dyDescent="0.2">
      <c r="A249" s="221" t="s">
        <v>276</v>
      </c>
      <c r="B249" s="221" t="s">
        <v>300</v>
      </c>
      <c r="C249" s="221" t="s">
        <v>318</v>
      </c>
      <c r="D249" s="222">
        <v>4.1744710626666697</v>
      </c>
      <c r="E249" s="223"/>
      <c r="F249" s="224">
        <v>1.6E-2</v>
      </c>
      <c r="G249" s="224">
        <v>0.01</v>
      </c>
      <c r="H249" s="225"/>
      <c r="I249" s="226">
        <v>5</v>
      </c>
      <c r="J249" s="226">
        <v>3</v>
      </c>
      <c r="K249" s="223"/>
      <c r="L249" s="227">
        <v>1637.40444</v>
      </c>
      <c r="M249" s="227">
        <v>916.14940000000001</v>
      </c>
      <c r="N249" s="227">
        <v>2553.55384</v>
      </c>
      <c r="O249" s="222">
        <v>611.70716042017102</v>
      </c>
      <c r="P249" s="228">
        <v>233.489</v>
      </c>
      <c r="Q249" s="234">
        <v>2.61985429900411</v>
      </c>
      <c r="R249" s="235">
        <v>1489.1890032455301</v>
      </c>
      <c r="S249" s="224">
        <v>0.01</v>
      </c>
      <c r="T249" s="224">
        <v>0.01</v>
      </c>
      <c r="U249" s="231">
        <v>0</v>
      </c>
      <c r="V249" s="232">
        <v>0</v>
      </c>
      <c r="W249" s="223"/>
      <c r="X249" s="231">
        <v>2235.5135150000001</v>
      </c>
      <c r="Y249" s="222">
        <v>535.52018481880305</v>
      </c>
      <c r="Z249" s="233">
        <v>573</v>
      </c>
      <c r="AA249" s="238">
        <v>0.93459020038185603</v>
      </c>
      <c r="AB249" s="239">
        <v>-376.519820447538</v>
      </c>
      <c r="AC249" s="224">
        <v>3.0000000000000001E-3</v>
      </c>
      <c r="AD249" s="224"/>
      <c r="AE249" s="232">
        <v>157</v>
      </c>
      <c r="AF249" s="232">
        <v>635</v>
      </c>
      <c r="AG249" s="223"/>
      <c r="AH249" s="236">
        <v>145.19999999999999</v>
      </c>
      <c r="AI249" s="222">
        <v>34.782849807861801</v>
      </c>
      <c r="AJ249" s="237" t="s">
        <v>54</v>
      </c>
      <c r="AK249" s="229">
        <v>0.55210872710891801</v>
      </c>
      <c r="AL249" s="230">
        <v>-141.98691122721601</v>
      </c>
      <c r="AM249" s="224"/>
      <c r="AN249" s="224"/>
      <c r="AO249" s="232">
        <v>118</v>
      </c>
      <c r="AP249" s="232">
        <v>171</v>
      </c>
      <c r="AQ249" s="223"/>
      <c r="AR249" s="236">
        <v>27.6</v>
      </c>
      <c r="AS249" s="222">
        <v>6.61161607918035</v>
      </c>
      <c r="AT249" s="237" t="s">
        <v>55</v>
      </c>
      <c r="AU249" s="229">
        <v>0.41322600494877199</v>
      </c>
      <c r="AV249" s="230">
        <v>-45.336358406912098</v>
      </c>
      <c r="AW249" s="224"/>
      <c r="AX249" s="224"/>
      <c r="AY249" s="232">
        <v>40</v>
      </c>
      <c r="AZ249" s="232">
        <v>53</v>
      </c>
      <c r="BA249" s="223"/>
      <c r="BB249" s="240">
        <v>125.4</v>
      </c>
      <c r="BC249" s="236">
        <v>30.0397339249716</v>
      </c>
      <c r="BD249" s="237" t="s">
        <v>56</v>
      </c>
      <c r="BE249" s="238">
        <v>0.93874168515536105</v>
      </c>
      <c r="BF249" s="239">
        <v>-20.4727168138241</v>
      </c>
      <c r="BG249" s="224">
        <v>3.0000000000000001E-3</v>
      </c>
      <c r="BH249" s="224"/>
      <c r="BI249" s="232">
        <v>9</v>
      </c>
      <c r="BJ249" s="232">
        <v>35</v>
      </c>
      <c r="BK249" s="225"/>
      <c r="BL249" s="241">
        <v>0.8</v>
      </c>
      <c r="BM249" s="238">
        <v>0.82</v>
      </c>
      <c r="BN249" s="242">
        <v>7.5000000000000002E-4</v>
      </c>
      <c r="BO249" s="243">
        <v>0.95</v>
      </c>
      <c r="BP249" s="234">
        <v>1</v>
      </c>
      <c r="BQ249" s="242">
        <v>2.5000000000000001E-3</v>
      </c>
    </row>
    <row r="250" spans="1:69" s="211" customFormat="1" ht="22.35" customHeight="1" x14ac:dyDescent="0.2">
      <c r="A250" s="221" t="s">
        <v>276</v>
      </c>
      <c r="B250" s="221" t="s">
        <v>319</v>
      </c>
      <c r="C250" s="221" t="s">
        <v>320</v>
      </c>
      <c r="D250" s="222">
        <v>2.5533062174444399</v>
      </c>
      <c r="E250" s="223"/>
      <c r="F250" s="224">
        <v>7.0000000000000007E-2</v>
      </c>
      <c r="G250" s="224">
        <v>0.06</v>
      </c>
      <c r="H250" s="225"/>
      <c r="I250" s="226">
        <v>5</v>
      </c>
      <c r="J250" s="226">
        <v>5</v>
      </c>
      <c r="K250" s="223"/>
      <c r="L250" s="227">
        <v>1344.07455</v>
      </c>
      <c r="M250" s="227">
        <v>-507.56684000000001</v>
      </c>
      <c r="N250" s="227">
        <v>836.50770999999997</v>
      </c>
      <c r="O250" s="222">
        <v>327.61746487158302</v>
      </c>
      <c r="P250" s="228">
        <v>240.12899999999999</v>
      </c>
      <c r="Q250" s="234">
        <v>1.3643394378504199</v>
      </c>
      <c r="R250" s="235">
        <v>166.977537391922</v>
      </c>
      <c r="S250" s="224">
        <v>0.01</v>
      </c>
      <c r="T250" s="224">
        <v>0.01</v>
      </c>
      <c r="U250" s="231">
        <v>0</v>
      </c>
      <c r="V250" s="232">
        <v>0</v>
      </c>
      <c r="W250" s="223"/>
      <c r="X250" s="231">
        <v>1650.9485950000001</v>
      </c>
      <c r="Y250" s="222">
        <v>646.59247830148695</v>
      </c>
      <c r="Z250" s="233">
        <v>573</v>
      </c>
      <c r="AA250" s="234">
        <v>1.1284336445052101</v>
      </c>
      <c r="AB250" s="235">
        <v>53.304041845534798</v>
      </c>
      <c r="AC250" s="224">
        <v>0.02</v>
      </c>
      <c r="AD250" s="224">
        <v>1.2999999999999999E-2</v>
      </c>
      <c r="AE250" s="232">
        <v>0</v>
      </c>
      <c r="AF250" s="232">
        <v>105</v>
      </c>
      <c r="AG250" s="223"/>
      <c r="AH250" s="236">
        <v>220.55</v>
      </c>
      <c r="AI250" s="222">
        <v>86.378201914513895</v>
      </c>
      <c r="AJ250" s="237" t="s">
        <v>54</v>
      </c>
      <c r="AK250" s="234">
        <v>1.37108257007165</v>
      </c>
      <c r="AL250" s="235">
        <v>44.892745464692297</v>
      </c>
      <c r="AM250" s="224">
        <v>0.02</v>
      </c>
      <c r="AN250" s="224">
        <v>0.02</v>
      </c>
      <c r="AO250" s="232">
        <v>0</v>
      </c>
      <c r="AP250" s="232">
        <v>0</v>
      </c>
      <c r="AQ250" s="223"/>
      <c r="AR250" s="236">
        <v>10.8</v>
      </c>
      <c r="AS250" s="222">
        <v>4.2298099327896201</v>
      </c>
      <c r="AT250" s="237" t="s">
        <v>55</v>
      </c>
      <c r="AU250" s="229">
        <v>0.26436312079935098</v>
      </c>
      <c r="AV250" s="230">
        <v>-33.811366231189297</v>
      </c>
      <c r="AW250" s="224"/>
      <c r="AX250" s="224"/>
      <c r="AY250" s="232">
        <v>31</v>
      </c>
      <c r="AZ250" s="232">
        <v>39</v>
      </c>
      <c r="BA250" s="223"/>
      <c r="BB250" s="240">
        <v>95.6</v>
      </c>
      <c r="BC250" s="236">
        <v>37.441650886545098</v>
      </c>
      <c r="BD250" s="237" t="s">
        <v>56</v>
      </c>
      <c r="BE250" s="234">
        <v>1.1700515902045401</v>
      </c>
      <c r="BF250" s="235">
        <v>6.3772675376214902</v>
      </c>
      <c r="BG250" s="224">
        <v>0.02</v>
      </c>
      <c r="BH250" s="224">
        <v>1.7000000000000001E-2</v>
      </c>
      <c r="BI250" s="232">
        <v>0</v>
      </c>
      <c r="BJ250" s="232">
        <v>3</v>
      </c>
      <c r="BK250" s="225"/>
      <c r="BL250" s="241">
        <v>0.8</v>
      </c>
      <c r="BM250" s="244">
        <v>0.76</v>
      </c>
      <c r="BN250" s="242"/>
      <c r="BO250" s="243">
        <v>0.95</v>
      </c>
      <c r="BP250" s="234">
        <v>1</v>
      </c>
      <c r="BQ250" s="242">
        <v>2.5000000000000001E-3</v>
      </c>
    </row>
    <row r="251" spans="1:69" s="211" customFormat="1" ht="22.35" customHeight="1" x14ac:dyDescent="0.2">
      <c r="A251" s="221" t="s">
        <v>276</v>
      </c>
      <c r="B251" s="221" t="s">
        <v>319</v>
      </c>
      <c r="C251" s="221" t="s">
        <v>321</v>
      </c>
      <c r="D251" s="222">
        <v>2.2514665105555598</v>
      </c>
      <c r="E251" s="223"/>
      <c r="F251" s="224">
        <v>0.01</v>
      </c>
      <c r="G251" s="224">
        <v>0.01</v>
      </c>
      <c r="H251" s="225"/>
      <c r="I251" s="226">
        <v>3</v>
      </c>
      <c r="J251" s="226">
        <v>3</v>
      </c>
      <c r="K251" s="223"/>
      <c r="L251" s="227">
        <v>920.01224999999999</v>
      </c>
      <c r="M251" s="227">
        <v>627.25487999999996</v>
      </c>
      <c r="N251" s="227">
        <v>1547.26713</v>
      </c>
      <c r="O251" s="222">
        <v>687.22635790758795</v>
      </c>
      <c r="P251" s="228">
        <v>255.477</v>
      </c>
      <c r="Q251" s="234">
        <v>2.68997349235973</v>
      </c>
      <c r="R251" s="235">
        <v>919.15101258881498</v>
      </c>
      <c r="S251" s="224">
        <v>0.01</v>
      </c>
      <c r="T251" s="224">
        <v>0.01</v>
      </c>
      <c r="U251" s="231">
        <v>0</v>
      </c>
      <c r="V251" s="232">
        <v>0</v>
      </c>
      <c r="W251" s="223"/>
      <c r="X251" s="231">
        <v>1051.3893499999999</v>
      </c>
      <c r="Y251" s="222">
        <v>466.97978631739301</v>
      </c>
      <c r="Z251" s="233">
        <v>573</v>
      </c>
      <c r="AA251" s="244">
        <v>0.81497344907049396</v>
      </c>
      <c r="AB251" s="227">
        <v>-357.38926911878298</v>
      </c>
      <c r="AC251" s="224"/>
      <c r="AD251" s="224"/>
      <c r="AE251" s="232">
        <v>239</v>
      </c>
      <c r="AF251" s="232">
        <v>497</v>
      </c>
      <c r="AG251" s="223"/>
      <c r="AH251" s="236">
        <v>58.3</v>
      </c>
      <c r="AI251" s="222">
        <v>25.894233703531398</v>
      </c>
      <c r="AJ251" s="237" t="s">
        <v>54</v>
      </c>
      <c r="AK251" s="229">
        <v>0.41101958259573701</v>
      </c>
      <c r="AL251" s="230">
        <v>-96.591890060180305</v>
      </c>
      <c r="AM251" s="224"/>
      <c r="AN251" s="224"/>
      <c r="AO251" s="232">
        <v>84</v>
      </c>
      <c r="AP251" s="232">
        <v>112</v>
      </c>
      <c r="AQ251" s="223"/>
      <c r="AR251" s="236">
        <v>7.8</v>
      </c>
      <c r="AS251" s="222">
        <v>3.4644086258584101</v>
      </c>
      <c r="AT251" s="237" t="s">
        <v>55</v>
      </c>
      <c r="AU251" s="229">
        <v>0.21652553911615099</v>
      </c>
      <c r="AV251" s="230">
        <v>-31.537622872426699</v>
      </c>
      <c r="AW251" s="224"/>
      <c r="AX251" s="224"/>
      <c r="AY251" s="232">
        <v>29</v>
      </c>
      <c r="AZ251" s="232">
        <v>36</v>
      </c>
      <c r="BA251" s="223"/>
      <c r="BB251" s="240">
        <v>61.6</v>
      </c>
      <c r="BC251" s="236">
        <v>27.359945045240799</v>
      </c>
      <c r="BD251" s="237" t="s">
        <v>56</v>
      </c>
      <c r="BE251" s="244">
        <v>0.85499828266377398</v>
      </c>
      <c r="BF251" s="227">
        <v>-17.0752457448535</v>
      </c>
      <c r="BG251" s="224"/>
      <c r="BH251" s="224"/>
      <c r="BI251" s="232">
        <v>11</v>
      </c>
      <c r="BJ251" s="232">
        <v>25</v>
      </c>
      <c r="BK251" s="225"/>
      <c r="BL251" s="241">
        <v>0.8</v>
      </c>
      <c r="BM251" s="238">
        <v>0.91</v>
      </c>
      <c r="BN251" s="242">
        <v>4.1250000000000002E-3</v>
      </c>
      <c r="BO251" s="243">
        <v>0.95</v>
      </c>
      <c r="BP251" s="234">
        <v>1</v>
      </c>
      <c r="BQ251" s="242">
        <v>2.5000000000000001E-3</v>
      </c>
    </row>
    <row r="252" spans="1:69" s="211" customFormat="1" ht="22.35" customHeight="1" x14ac:dyDescent="0.2">
      <c r="A252" s="221" t="s">
        <v>276</v>
      </c>
      <c r="B252" s="221" t="s">
        <v>319</v>
      </c>
      <c r="C252" s="221" t="s">
        <v>322</v>
      </c>
      <c r="D252" s="222">
        <v>2.8395425426666701</v>
      </c>
      <c r="E252" s="223"/>
      <c r="F252" s="224">
        <v>0.01</v>
      </c>
      <c r="G252" s="224">
        <v>0.01</v>
      </c>
      <c r="H252" s="225"/>
      <c r="I252" s="226">
        <v>3</v>
      </c>
      <c r="J252" s="226">
        <v>3</v>
      </c>
      <c r="K252" s="223"/>
      <c r="L252" s="227">
        <v>698.95641999999998</v>
      </c>
      <c r="M252" s="227">
        <v>1794.5361399999999</v>
      </c>
      <c r="N252" s="227">
        <v>2493.4925600000001</v>
      </c>
      <c r="O252" s="222">
        <v>878.131784445221</v>
      </c>
      <c r="P252" s="228">
        <v>222.37200000000001</v>
      </c>
      <c r="Q252" s="234">
        <v>3.94893145020606</v>
      </c>
      <c r="R252" s="235">
        <v>1803.96580830672</v>
      </c>
      <c r="S252" s="224">
        <v>0.01</v>
      </c>
      <c r="T252" s="224">
        <v>0.01</v>
      </c>
      <c r="U252" s="231">
        <v>0</v>
      </c>
      <c r="V252" s="232">
        <v>0</v>
      </c>
      <c r="W252" s="223"/>
      <c r="X252" s="231">
        <v>906.38475000000005</v>
      </c>
      <c r="Y252" s="222">
        <v>319.20097564334998</v>
      </c>
      <c r="Z252" s="233">
        <v>573</v>
      </c>
      <c r="AA252" s="229">
        <v>0.55706976552068099</v>
      </c>
      <c r="AB252" s="230">
        <v>-870.36245162721798</v>
      </c>
      <c r="AC252" s="224"/>
      <c r="AD252" s="224"/>
      <c r="AE252" s="232">
        <v>721</v>
      </c>
      <c r="AF252" s="232">
        <v>1047</v>
      </c>
      <c r="AG252" s="223"/>
      <c r="AH252" s="236">
        <v>105.05</v>
      </c>
      <c r="AI252" s="222">
        <v>36.995395709530598</v>
      </c>
      <c r="AJ252" s="237" t="s">
        <v>54</v>
      </c>
      <c r="AK252" s="229">
        <v>0.58722850332588195</v>
      </c>
      <c r="AL252" s="230">
        <v>-90.299168765296201</v>
      </c>
      <c r="AM252" s="224"/>
      <c r="AN252" s="224"/>
      <c r="AO252" s="232">
        <v>74</v>
      </c>
      <c r="AP252" s="232">
        <v>110</v>
      </c>
      <c r="AQ252" s="223"/>
      <c r="AR252" s="236">
        <v>7</v>
      </c>
      <c r="AS252" s="222">
        <v>2.4651858159611102</v>
      </c>
      <c r="AT252" s="237" t="s">
        <v>55</v>
      </c>
      <c r="AU252" s="229">
        <v>0.154074113497569</v>
      </c>
      <c r="AV252" s="230">
        <v>-42.612487305472101</v>
      </c>
      <c r="AW252" s="224"/>
      <c r="AX252" s="224"/>
      <c r="AY252" s="232">
        <v>39</v>
      </c>
      <c r="AZ252" s="232">
        <v>48</v>
      </c>
      <c r="BA252" s="223"/>
      <c r="BB252" s="240">
        <v>53.4</v>
      </c>
      <c r="BC252" s="236">
        <v>18.8058460817604</v>
      </c>
      <c r="BD252" s="237" t="s">
        <v>56</v>
      </c>
      <c r="BE252" s="229">
        <v>0.58768269005501295</v>
      </c>
      <c r="BF252" s="230">
        <v>-45.824974610944103</v>
      </c>
      <c r="BG252" s="224"/>
      <c r="BH252" s="224"/>
      <c r="BI252" s="232">
        <v>38</v>
      </c>
      <c r="BJ252" s="232">
        <v>56</v>
      </c>
      <c r="BK252" s="225"/>
      <c r="BL252" s="241">
        <v>0.8</v>
      </c>
      <c r="BM252" s="238">
        <v>0.83</v>
      </c>
      <c r="BN252" s="242">
        <v>1.1249999999999999E-3</v>
      </c>
      <c r="BO252" s="243">
        <v>0.95</v>
      </c>
      <c r="BP252" s="234">
        <v>1</v>
      </c>
      <c r="BQ252" s="242">
        <v>2.5000000000000001E-3</v>
      </c>
    </row>
    <row r="253" spans="1:69" s="211" customFormat="1" ht="22.35" customHeight="1" x14ac:dyDescent="0.2">
      <c r="A253" s="221" t="s">
        <v>276</v>
      </c>
      <c r="B253" s="221" t="s">
        <v>319</v>
      </c>
      <c r="C253" s="221" t="s">
        <v>323</v>
      </c>
      <c r="D253" s="222">
        <v>2.59845626488889</v>
      </c>
      <c r="E253" s="223"/>
      <c r="F253" s="224">
        <v>4.8000000000000001E-2</v>
      </c>
      <c r="G253" s="224">
        <v>3.3000000000000002E-2</v>
      </c>
      <c r="H253" s="225"/>
      <c r="I253" s="226">
        <v>6</v>
      </c>
      <c r="J253" s="226">
        <v>5</v>
      </c>
      <c r="K253" s="223"/>
      <c r="L253" s="227">
        <v>597.92957999999999</v>
      </c>
      <c r="M253" s="227">
        <v>279.84960999999998</v>
      </c>
      <c r="N253" s="227">
        <v>877.77918999999997</v>
      </c>
      <c r="O253" s="222">
        <v>337.80795230645703</v>
      </c>
      <c r="P253" s="228">
        <v>286.47199999999998</v>
      </c>
      <c r="Q253" s="234">
        <v>1.1792005930997</v>
      </c>
      <c r="R253" s="235">
        <v>64.910810278146798</v>
      </c>
      <c r="S253" s="224">
        <v>0.01</v>
      </c>
      <c r="T253" s="224">
        <v>8.9999999999999993E-3</v>
      </c>
      <c r="U253" s="231">
        <v>0</v>
      </c>
      <c r="V253" s="232">
        <v>16</v>
      </c>
      <c r="W253" s="223"/>
      <c r="X253" s="231">
        <v>1958.9449050000001</v>
      </c>
      <c r="Y253" s="222">
        <v>753.88796473884997</v>
      </c>
      <c r="Z253" s="233">
        <v>573</v>
      </c>
      <c r="AA253" s="234">
        <v>1.3156858023365601</v>
      </c>
      <c r="AB253" s="235">
        <v>333.049244758783</v>
      </c>
      <c r="AC253" s="224">
        <v>0.02</v>
      </c>
      <c r="AD253" s="224">
        <v>0.02</v>
      </c>
      <c r="AE253" s="232">
        <v>0</v>
      </c>
      <c r="AF253" s="232">
        <v>0</v>
      </c>
      <c r="AG253" s="223"/>
      <c r="AH253" s="236">
        <v>152.9</v>
      </c>
      <c r="AI253" s="222">
        <v>58.842629782163399</v>
      </c>
      <c r="AJ253" s="237" t="s">
        <v>54</v>
      </c>
      <c r="AK253" s="238">
        <v>0.93400999654227601</v>
      </c>
      <c r="AL253" s="239">
        <v>-25.863397199296099</v>
      </c>
      <c r="AM253" s="224">
        <v>3.0000000000000001E-3</v>
      </c>
      <c r="AN253" s="224"/>
      <c r="AO253" s="232">
        <v>11</v>
      </c>
      <c r="AP253" s="232">
        <v>44</v>
      </c>
      <c r="AQ253" s="223"/>
      <c r="AR253" s="236">
        <v>20.6</v>
      </c>
      <c r="AS253" s="222">
        <v>7.9277839994281596</v>
      </c>
      <c r="AT253" s="237" t="s">
        <v>55</v>
      </c>
      <c r="AU253" s="229">
        <v>0.49548649996425997</v>
      </c>
      <c r="AV253" s="230">
        <v>-24.800227860138701</v>
      </c>
      <c r="AW253" s="224"/>
      <c r="AX253" s="224"/>
      <c r="AY253" s="232">
        <v>21</v>
      </c>
      <c r="AZ253" s="232">
        <v>30</v>
      </c>
      <c r="BA253" s="223"/>
      <c r="BB253" s="240">
        <v>86.8</v>
      </c>
      <c r="BC253" s="236">
        <v>33.404449084969201</v>
      </c>
      <c r="BD253" s="237" t="s">
        <v>56</v>
      </c>
      <c r="BE253" s="238">
        <v>1.04388903390529</v>
      </c>
      <c r="BF253" s="239">
        <v>-4.0004557202774</v>
      </c>
      <c r="BG253" s="224">
        <v>1.4999999999999999E-2</v>
      </c>
      <c r="BH253" s="224">
        <v>4.0000000000000001E-3</v>
      </c>
      <c r="BI253" s="232">
        <v>0</v>
      </c>
      <c r="BJ253" s="232">
        <v>13</v>
      </c>
      <c r="BK253" s="225"/>
      <c r="BL253" s="241">
        <v>0.8</v>
      </c>
      <c r="BM253" s="238">
        <v>0.86</v>
      </c>
      <c r="BN253" s="242">
        <v>2.2499999999999998E-3</v>
      </c>
      <c r="BO253" s="243">
        <v>0.95</v>
      </c>
      <c r="BP253" s="234">
        <v>1</v>
      </c>
      <c r="BQ253" s="242">
        <v>2.5000000000000001E-3</v>
      </c>
    </row>
    <row r="254" spans="1:69" s="211" customFormat="1" ht="22.35" customHeight="1" x14ac:dyDescent="0.2">
      <c r="A254" s="221" t="s">
        <v>276</v>
      </c>
      <c r="B254" s="221" t="s">
        <v>319</v>
      </c>
      <c r="C254" s="221" t="s">
        <v>324</v>
      </c>
      <c r="D254" s="222">
        <v>3.4220960403333298</v>
      </c>
      <c r="E254" s="223"/>
      <c r="F254" s="224">
        <v>0.05</v>
      </c>
      <c r="G254" s="224">
        <v>0.05</v>
      </c>
      <c r="H254" s="225"/>
      <c r="I254" s="226">
        <v>4</v>
      </c>
      <c r="J254" s="226">
        <v>4</v>
      </c>
      <c r="K254" s="223"/>
      <c r="L254" s="227">
        <v>2655.21639</v>
      </c>
      <c r="M254" s="227">
        <v>2141.3462199999999</v>
      </c>
      <c r="N254" s="227">
        <v>4796.5626099999999</v>
      </c>
      <c r="O254" s="222">
        <v>1401.6446509586499</v>
      </c>
      <c r="P254" s="228">
        <v>237.096</v>
      </c>
      <c r="Q254" s="234">
        <v>5.9117178314212397</v>
      </c>
      <c r="R254" s="235">
        <v>3910.5517212054701</v>
      </c>
      <c r="S254" s="224">
        <v>0.01</v>
      </c>
      <c r="T254" s="224">
        <v>0.01</v>
      </c>
      <c r="U254" s="231">
        <v>0</v>
      </c>
      <c r="V254" s="232">
        <v>0</v>
      </c>
      <c r="W254" s="223"/>
      <c r="X254" s="231">
        <v>2391.6470549999999</v>
      </c>
      <c r="Y254" s="222">
        <v>698.88367445322694</v>
      </c>
      <c r="Z254" s="233">
        <v>573</v>
      </c>
      <c r="AA254" s="234">
        <v>1.2196922765326801</v>
      </c>
      <c r="AB254" s="235">
        <v>250.38680902679101</v>
      </c>
      <c r="AC254" s="224">
        <v>0.02</v>
      </c>
      <c r="AD254" s="224">
        <v>0.02</v>
      </c>
      <c r="AE254" s="232">
        <v>0</v>
      </c>
      <c r="AF254" s="232">
        <v>0</v>
      </c>
      <c r="AG254" s="223"/>
      <c r="AH254" s="236">
        <v>120.25</v>
      </c>
      <c r="AI254" s="222">
        <v>35.139282645114399</v>
      </c>
      <c r="AJ254" s="237" t="s">
        <v>54</v>
      </c>
      <c r="AK254" s="229">
        <v>0.55776639119229299</v>
      </c>
      <c r="AL254" s="230">
        <v>-115.176519190772</v>
      </c>
      <c r="AM254" s="224"/>
      <c r="AN254" s="224"/>
      <c r="AO254" s="232">
        <v>96</v>
      </c>
      <c r="AP254" s="232">
        <v>139</v>
      </c>
      <c r="AQ254" s="223"/>
      <c r="AR254" s="236">
        <v>15</v>
      </c>
      <c r="AS254" s="222">
        <v>4.3832785004300803</v>
      </c>
      <c r="AT254" s="237" t="s">
        <v>55</v>
      </c>
      <c r="AU254" s="229">
        <v>0.27395490627688002</v>
      </c>
      <c r="AV254" s="230">
        <v>-44.790862016703898</v>
      </c>
      <c r="AW254" s="224"/>
      <c r="AX254" s="224"/>
      <c r="AY254" s="232">
        <v>40</v>
      </c>
      <c r="AZ254" s="232">
        <v>51</v>
      </c>
      <c r="BA254" s="223"/>
      <c r="BB254" s="240">
        <v>144.6</v>
      </c>
      <c r="BC254" s="236">
        <v>42.2548047441459</v>
      </c>
      <c r="BD254" s="237" t="s">
        <v>56</v>
      </c>
      <c r="BE254" s="234">
        <v>1.3204626482545601</v>
      </c>
      <c r="BF254" s="235">
        <v>25.0182759665921</v>
      </c>
      <c r="BG254" s="224">
        <v>0.02</v>
      </c>
      <c r="BH254" s="224">
        <v>0.02</v>
      </c>
      <c r="BI254" s="232">
        <v>0</v>
      </c>
      <c r="BJ254" s="232">
        <v>0</v>
      </c>
      <c r="BK254" s="225"/>
      <c r="BL254" s="241">
        <v>0.8</v>
      </c>
      <c r="BM254" s="244">
        <v>0.77</v>
      </c>
      <c r="BN254" s="242"/>
      <c r="BO254" s="243">
        <v>0.95</v>
      </c>
      <c r="BP254" s="234">
        <v>1</v>
      </c>
      <c r="BQ254" s="242">
        <v>2.5000000000000001E-3</v>
      </c>
    </row>
    <row r="255" spans="1:69" s="211" customFormat="1" ht="22.35" customHeight="1" x14ac:dyDescent="0.2">
      <c r="A255" s="221" t="s">
        <v>276</v>
      </c>
      <c r="B255" s="221" t="s">
        <v>319</v>
      </c>
      <c r="C255" s="221" t="s">
        <v>325</v>
      </c>
      <c r="D255" s="222">
        <v>2.6425147733333301</v>
      </c>
      <c r="E255" s="223"/>
      <c r="F255" s="224">
        <v>0.08</v>
      </c>
      <c r="G255" s="224">
        <v>7.5999999999999998E-2</v>
      </c>
      <c r="H255" s="225"/>
      <c r="I255" s="226">
        <v>6</v>
      </c>
      <c r="J255" s="226">
        <v>6</v>
      </c>
      <c r="K255" s="223"/>
      <c r="L255" s="227">
        <v>2005.5875100000001</v>
      </c>
      <c r="M255" s="227">
        <v>779.64234999999996</v>
      </c>
      <c r="N255" s="227">
        <v>2785.2298599999999</v>
      </c>
      <c r="O255" s="222">
        <v>1054.00729945083</v>
      </c>
      <c r="P255" s="228">
        <v>265.19900000000001</v>
      </c>
      <c r="Q255" s="234">
        <v>3.9744014851143099</v>
      </c>
      <c r="R255" s="235">
        <v>2019.96469529244</v>
      </c>
      <c r="S255" s="224">
        <v>0.01</v>
      </c>
      <c r="T255" s="224">
        <v>0.01</v>
      </c>
      <c r="U255" s="231">
        <v>0</v>
      </c>
      <c r="V255" s="232">
        <v>0</v>
      </c>
      <c r="W255" s="223"/>
      <c r="X255" s="231">
        <v>1943.26513</v>
      </c>
      <c r="Y255" s="222">
        <v>735.38477423485404</v>
      </c>
      <c r="Z255" s="233">
        <v>573</v>
      </c>
      <c r="AA255" s="234">
        <v>1.2833940213522801</v>
      </c>
      <c r="AB255" s="235">
        <v>289.80135608896302</v>
      </c>
      <c r="AC255" s="224">
        <v>0.02</v>
      </c>
      <c r="AD255" s="224">
        <v>0.02</v>
      </c>
      <c r="AE255" s="232">
        <v>0</v>
      </c>
      <c r="AF255" s="232">
        <v>0</v>
      </c>
      <c r="AG255" s="223"/>
      <c r="AH255" s="236">
        <v>192.3</v>
      </c>
      <c r="AI255" s="222">
        <v>72.771589374097601</v>
      </c>
      <c r="AJ255" s="237" t="s">
        <v>54</v>
      </c>
      <c r="AK255" s="234">
        <v>1.15510459323964</v>
      </c>
      <c r="AL255" s="235">
        <v>10.505553653760201</v>
      </c>
      <c r="AM255" s="224">
        <v>0.02</v>
      </c>
      <c r="AN255" s="224">
        <v>1.6E-2</v>
      </c>
      <c r="AO255" s="232">
        <v>0</v>
      </c>
      <c r="AP255" s="232">
        <v>8</v>
      </c>
      <c r="AQ255" s="223"/>
      <c r="AR255" s="236">
        <v>54.2</v>
      </c>
      <c r="AS255" s="222">
        <v>20.510765179802899</v>
      </c>
      <c r="AT255" s="237" t="s">
        <v>55</v>
      </c>
      <c r="AU255" s="234">
        <v>1.2819228237376801</v>
      </c>
      <c r="AV255" s="235">
        <v>8.0299818803200598</v>
      </c>
      <c r="AW255" s="224">
        <v>0.01</v>
      </c>
      <c r="AX255" s="224">
        <v>0.01</v>
      </c>
      <c r="AY255" s="232">
        <v>0</v>
      </c>
      <c r="AZ255" s="232">
        <v>0</v>
      </c>
      <c r="BA255" s="223"/>
      <c r="BB255" s="240">
        <v>167.8</v>
      </c>
      <c r="BC255" s="236">
        <v>63.500118028983799</v>
      </c>
      <c r="BD255" s="237" t="s">
        <v>56</v>
      </c>
      <c r="BE255" s="234">
        <v>1.9843786884057399</v>
      </c>
      <c r="BF255" s="235">
        <v>75.459963760640093</v>
      </c>
      <c r="BG255" s="224">
        <v>0.02</v>
      </c>
      <c r="BH255" s="224">
        <v>0.02</v>
      </c>
      <c r="BI255" s="232">
        <v>0</v>
      </c>
      <c r="BJ255" s="232">
        <v>0</v>
      </c>
      <c r="BK255" s="225"/>
      <c r="BL255" s="241">
        <v>0.8</v>
      </c>
      <c r="BM255" s="244">
        <v>0.78</v>
      </c>
      <c r="BN255" s="242"/>
      <c r="BO255" s="243">
        <v>0.95</v>
      </c>
      <c r="BP255" s="234">
        <v>1</v>
      </c>
      <c r="BQ255" s="242">
        <v>2.5000000000000001E-3</v>
      </c>
    </row>
    <row r="256" spans="1:69" s="211" customFormat="1" ht="22.35" customHeight="1" x14ac:dyDescent="0.2">
      <c r="A256" s="221" t="s">
        <v>276</v>
      </c>
      <c r="B256" s="221" t="s">
        <v>319</v>
      </c>
      <c r="C256" s="221" t="s">
        <v>326</v>
      </c>
      <c r="D256" s="222">
        <v>3.04966082633333</v>
      </c>
      <c r="E256" s="223"/>
      <c r="F256" s="224">
        <v>3.4000000000000002E-2</v>
      </c>
      <c r="G256" s="224">
        <v>1.4999999999999999E-2</v>
      </c>
      <c r="H256" s="225"/>
      <c r="I256" s="226">
        <v>5</v>
      </c>
      <c r="J256" s="226">
        <v>4</v>
      </c>
      <c r="K256" s="223"/>
      <c r="L256" s="227">
        <v>687.19646</v>
      </c>
      <c r="M256" s="227">
        <v>2319.0155199999999</v>
      </c>
      <c r="N256" s="227">
        <v>3006.21198</v>
      </c>
      <c r="O256" s="222">
        <v>985.75289226980306</v>
      </c>
      <c r="P256" s="228">
        <v>266.08300000000003</v>
      </c>
      <c r="Q256" s="234">
        <v>3.7046819686706902</v>
      </c>
      <c r="R256" s="235">
        <v>2120.09449139465</v>
      </c>
      <c r="S256" s="224">
        <v>0.01</v>
      </c>
      <c r="T256" s="224">
        <v>0.01</v>
      </c>
      <c r="U256" s="231">
        <v>0</v>
      </c>
      <c r="V256" s="232">
        <v>0</v>
      </c>
      <c r="W256" s="223"/>
      <c r="X256" s="231">
        <v>1835.10203</v>
      </c>
      <c r="Y256" s="222">
        <v>601.73971287370296</v>
      </c>
      <c r="Z256" s="233">
        <v>573</v>
      </c>
      <c r="AA256" s="238">
        <v>1.0501565669698101</v>
      </c>
      <c r="AB256" s="239">
        <v>-73.119543609985797</v>
      </c>
      <c r="AC256" s="224">
        <v>1.4999999999999999E-2</v>
      </c>
      <c r="AD256" s="224">
        <v>5.0000000000000001E-3</v>
      </c>
      <c r="AE256" s="232">
        <v>0</v>
      </c>
      <c r="AF256" s="232">
        <v>262</v>
      </c>
      <c r="AG256" s="223"/>
      <c r="AH256" s="236">
        <v>112.75</v>
      </c>
      <c r="AI256" s="222">
        <v>36.971324491701402</v>
      </c>
      <c r="AJ256" s="237" t="s">
        <v>54</v>
      </c>
      <c r="AK256" s="229">
        <v>0.58684642050319702</v>
      </c>
      <c r="AL256" s="230">
        <v>-97.054466208427797</v>
      </c>
      <c r="AM256" s="224"/>
      <c r="AN256" s="224"/>
      <c r="AO256" s="232">
        <v>80</v>
      </c>
      <c r="AP256" s="232">
        <v>118</v>
      </c>
      <c r="AQ256" s="223"/>
      <c r="AR256" s="236">
        <v>5.5</v>
      </c>
      <c r="AS256" s="222">
        <v>1.8034792434976299</v>
      </c>
      <c r="AT256" s="237" t="s">
        <v>55</v>
      </c>
      <c r="AU256" s="229">
        <v>0.11271745271860199</v>
      </c>
      <c r="AV256" s="230">
        <v>-47.783673957695903</v>
      </c>
      <c r="AW256" s="224"/>
      <c r="AX256" s="224"/>
      <c r="AY256" s="232">
        <v>44</v>
      </c>
      <c r="AZ256" s="232">
        <v>54</v>
      </c>
      <c r="BA256" s="223"/>
      <c r="BB256" s="240">
        <v>96.4</v>
      </c>
      <c r="BC256" s="236">
        <v>31.6100725587585</v>
      </c>
      <c r="BD256" s="237" t="s">
        <v>56</v>
      </c>
      <c r="BE256" s="238">
        <v>0.987814767461202</v>
      </c>
      <c r="BF256" s="239">
        <v>-10.1673479153919</v>
      </c>
      <c r="BG256" s="224">
        <v>8.9999999999999993E-3</v>
      </c>
      <c r="BH256" s="224"/>
      <c r="BI256" s="232">
        <v>2</v>
      </c>
      <c r="BJ256" s="232">
        <v>21</v>
      </c>
      <c r="BK256" s="225"/>
      <c r="BL256" s="241">
        <v>0.8</v>
      </c>
      <c r="BM256" s="238">
        <v>0.85</v>
      </c>
      <c r="BN256" s="242">
        <v>1.8749999999999999E-3</v>
      </c>
      <c r="BO256" s="243">
        <v>0.95</v>
      </c>
      <c r="BP256" s="234">
        <v>1</v>
      </c>
      <c r="BQ256" s="242">
        <v>2.5000000000000001E-3</v>
      </c>
    </row>
    <row r="257" spans="1:69" s="211" customFormat="1" ht="22.35" customHeight="1" x14ac:dyDescent="0.2">
      <c r="A257" s="221" t="s">
        <v>276</v>
      </c>
      <c r="B257" s="221" t="s">
        <v>319</v>
      </c>
      <c r="C257" s="221" t="s">
        <v>327</v>
      </c>
      <c r="D257" s="222">
        <v>2.8493458841111101</v>
      </c>
      <c r="E257" s="223"/>
      <c r="F257" s="224">
        <v>4.9000000000000002E-2</v>
      </c>
      <c r="G257" s="224">
        <v>3.6999999999999998E-2</v>
      </c>
      <c r="H257" s="225"/>
      <c r="I257" s="226">
        <v>5</v>
      </c>
      <c r="J257" s="226">
        <v>5</v>
      </c>
      <c r="K257" s="223"/>
      <c r="L257" s="227">
        <v>2423.97183</v>
      </c>
      <c r="M257" s="227">
        <v>2261.2376199999999</v>
      </c>
      <c r="N257" s="227">
        <v>4685.2094500000003</v>
      </c>
      <c r="O257" s="222">
        <v>1644.31053320914</v>
      </c>
      <c r="P257" s="228">
        <v>263.75299999999999</v>
      </c>
      <c r="Q257" s="234">
        <v>6.23428182128408</v>
      </c>
      <c r="R257" s="235">
        <v>3864.5457607306198</v>
      </c>
      <c r="S257" s="224">
        <v>0.01</v>
      </c>
      <c r="T257" s="224">
        <v>0.01</v>
      </c>
      <c r="U257" s="231">
        <v>0</v>
      </c>
      <c r="V257" s="232">
        <v>0</v>
      </c>
      <c r="W257" s="223"/>
      <c r="X257" s="231">
        <v>1772.9941100000001</v>
      </c>
      <c r="Y257" s="222">
        <v>622.24601087807503</v>
      </c>
      <c r="Z257" s="233">
        <v>573</v>
      </c>
      <c r="AA257" s="238">
        <v>1.08594417256208</v>
      </c>
      <c r="AB257" s="239">
        <v>-9.8871992224674106</v>
      </c>
      <c r="AC257" s="224">
        <v>1.9E-2</v>
      </c>
      <c r="AD257" s="224">
        <v>8.9999999999999993E-3</v>
      </c>
      <c r="AE257" s="232">
        <v>0</v>
      </c>
      <c r="AF257" s="232">
        <v>187</v>
      </c>
      <c r="AG257" s="223"/>
      <c r="AH257" s="236">
        <v>156.25</v>
      </c>
      <c r="AI257" s="222">
        <v>54.837147315565097</v>
      </c>
      <c r="AJ257" s="237" t="s">
        <v>54</v>
      </c>
      <c r="AK257" s="244">
        <v>0.87043090977087401</v>
      </c>
      <c r="AL257" s="227">
        <v>-39.773599443307901</v>
      </c>
      <c r="AM257" s="224"/>
      <c r="AN257" s="224"/>
      <c r="AO257" s="232">
        <v>24</v>
      </c>
      <c r="AP257" s="232">
        <v>60</v>
      </c>
      <c r="AQ257" s="223"/>
      <c r="AR257" s="236">
        <v>28.9</v>
      </c>
      <c r="AS257" s="222">
        <v>10.142678767486901</v>
      </c>
      <c r="AT257" s="237" t="s">
        <v>55</v>
      </c>
      <c r="AU257" s="229">
        <v>0.63391742296793196</v>
      </c>
      <c r="AV257" s="230">
        <v>-20.883771287189301</v>
      </c>
      <c r="AW257" s="224"/>
      <c r="AX257" s="224"/>
      <c r="AY257" s="232">
        <v>17</v>
      </c>
      <c r="AZ257" s="232">
        <v>26</v>
      </c>
      <c r="BA257" s="223"/>
      <c r="BB257" s="240">
        <v>108</v>
      </c>
      <c r="BC257" s="236">
        <v>37.9034362245186</v>
      </c>
      <c r="BD257" s="237" t="s">
        <v>56</v>
      </c>
      <c r="BE257" s="234">
        <v>1.18448238201621</v>
      </c>
      <c r="BF257" s="235">
        <v>8.4324574256213705</v>
      </c>
      <c r="BG257" s="224">
        <v>0.02</v>
      </c>
      <c r="BH257" s="224">
        <v>1.7999999999999999E-2</v>
      </c>
      <c r="BI257" s="232">
        <v>0</v>
      </c>
      <c r="BJ257" s="232">
        <v>2</v>
      </c>
      <c r="BK257" s="225"/>
      <c r="BL257" s="241">
        <v>0.8</v>
      </c>
      <c r="BM257" s="238">
        <v>0.87</v>
      </c>
      <c r="BN257" s="242">
        <v>2.6250000000000002E-3</v>
      </c>
      <c r="BO257" s="243">
        <v>0.95</v>
      </c>
      <c r="BP257" s="234">
        <v>1</v>
      </c>
      <c r="BQ257" s="242">
        <v>2.5000000000000001E-3</v>
      </c>
    </row>
    <row r="258" spans="1:69" s="211" customFormat="1" ht="22.35" customHeight="1" x14ac:dyDescent="0.2">
      <c r="A258" s="221" t="s">
        <v>276</v>
      </c>
      <c r="B258" s="221" t="s">
        <v>319</v>
      </c>
      <c r="C258" s="221" t="s">
        <v>328</v>
      </c>
      <c r="D258" s="222">
        <v>7.8533208782222204</v>
      </c>
      <c r="E258" s="223"/>
      <c r="F258" s="224">
        <v>3.5000000000000003E-2</v>
      </c>
      <c r="G258" s="224">
        <v>1.4999999999999999E-2</v>
      </c>
      <c r="H258" s="225"/>
      <c r="I258" s="226">
        <v>5</v>
      </c>
      <c r="J258" s="226">
        <v>4</v>
      </c>
      <c r="K258" s="223"/>
      <c r="L258" s="227">
        <v>4301.7128700000003</v>
      </c>
      <c r="M258" s="227">
        <v>-1274.75739</v>
      </c>
      <c r="N258" s="227">
        <v>3026.9554800000001</v>
      </c>
      <c r="O258" s="222">
        <v>385.43636850417602</v>
      </c>
      <c r="P258" s="228">
        <v>267.36500000000001</v>
      </c>
      <c r="Q258" s="234">
        <v>1.44161116265845</v>
      </c>
      <c r="R258" s="235">
        <v>734.07965482637496</v>
      </c>
      <c r="S258" s="224">
        <v>0.01</v>
      </c>
      <c r="T258" s="224">
        <v>0.01</v>
      </c>
      <c r="U258" s="231">
        <v>0</v>
      </c>
      <c r="V258" s="232">
        <v>0</v>
      </c>
      <c r="W258" s="223"/>
      <c r="X258" s="231">
        <v>4738.5060100000001</v>
      </c>
      <c r="Y258" s="222">
        <v>603.37608554111</v>
      </c>
      <c r="Z258" s="233">
        <v>573</v>
      </c>
      <c r="AA258" s="238">
        <v>1.05301236569129</v>
      </c>
      <c r="AB258" s="239">
        <v>-175.44251663769501</v>
      </c>
      <c r="AC258" s="224">
        <v>1.6E-2</v>
      </c>
      <c r="AD258" s="224">
        <v>5.0000000000000001E-3</v>
      </c>
      <c r="AE258" s="232">
        <v>0</v>
      </c>
      <c r="AF258" s="232">
        <v>662</v>
      </c>
      <c r="AG258" s="223"/>
      <c r="AH258" s="236">
        <v>418</v>
      </c>
      <c r="AI258" s="222">
        <v>53.2258908660082</v>
      </c>
      <c r="AJ258" s="237" t="s">
        <v>54</v>
      </c>
      <c r="AK258" s="244">
        <v>0.844855410571559</v>
      </c>
      <c r="AL258" s="227">
        <v>-122.277063138176</v>
      </c>
      <c r="AM258" s="224"/>
      <c r="AN258" s="224"/>
      <c r="AO258" s="232">
        <v>77</v>
      </c>
      <c r="AP258" s="232">
        <v>176</v>
      </c>
      <c r="AQ258" s="223"/>
      <c r="AR258" s="236">
        <v>59.6</v>
      </c>
      <c r="AS258" s="222">
        <v>7.5891461617561999</v>
      </c>
      <c r="AT258" s="237" t="s">
        <v>55</v>
      </c>
      <c r="AU258" s="229">
        <v>0.474321635109762</v>
      </c>
      <c r="AV258" s="230">
        <v>-77.613222384298595</v>
      </c>
      <c r="AW258" s="224"/>
      <c r="AX258" s="224"/>
      <c r="AY258" s="232">
        <v>67</v>
      </c>
      <c r="AZ258" s="232">
        <v>92</v>
      </c>
      <c r="BA258" s="223"/>
      <c r="BB258" s="240">
        <v>249.2</v>
      </c>
      <c r="BC258" s="236">
        <v>31.731799052175202</v>
      </c>
      <c r="BD258" s="237" t="s">
        <v>56</v>
      </c>
      <c r="BE258" s="238">
        <v>0.99161872038047605</v>
      </c>
      <c r="BF258" s="239">
        <v>-25.226444768597201</v>
      </c>
      <c r="BG258" s="224">
        <v>8.9999999999999993E-3</v>
      </c>
      <c r="BH258" s="224"/>
      <c r="BI258" s="232">
        <v>3</v>
      </c>
      <c r="BJ258" s="232">
        <v>53</v>
      </c>
      <c r="BK258" s="225"/>
      <c r="BL258" s="241">
        <v>0.8</v>
      </c>
      <c r="BM258" s="238">
        <v>0.81</v>
      </c>
      <c r="BN258" s="242">
        <v>3.7500000000000001E-4</v>
      </c>
      <c r="BO258" s="243">
        <v>0.95</v>
      </c>
      <c r="BP258" s="234">
        <v>1</v>
      </c>
      <c r="BQ258" s="242">
        <v>2.5000000000000001E-3</v>
      </c>
    </row>
    <row r="259" spans="1:69" s="211" customFormat="1" ht="22.35" customHeight="1" x14ac:dyDescent="0.2">
      <c r="A259" s="221" t="s">
        <v>276</v>
      </c>
      <c r="B259" s="221" t="s">
        <v>319</v>
      </c>
      <c r="C259" s="221" t="s">
        <v>329</v>
      </c>
      <c r="D259" s="222">
        <v>8.9100383940000007</v>
      </c>
      <c r="E259" s="223"/>
      <c r="F259" s="224">
        <v>7.0000000000000001E-3</v>
      </c>
      <c r="G259" s="224"/>
      <c r="H259" s="225"/>
      <c r="I259" s="226">
        <v>3</v>
      </c>
      <c r="J259" s="226">
        <v>1</v>
      </c>
      <c r="K259" s="223"/>
      <c r="L259" s="227">
        <v>4024.8695699999998</v>
      </c>
      <c r="M259" s="227">
        <v>-1686.9408000000001</v>
      </c>
      <c r="N259" s="227">
        <v>2337.92877</v>
      </c>
      <c r="O259" s="222">
        <v>262.39267067293002</v>
      </c>
      <c r="P259" s="228">
        <v>266.08300000000003</v>
      </c>
      <c r="Q259" s="238">
        <v>0.98613090905067002</v>
      </c>
      <c r="R259" s="239">
        <v>-250.995472621847</v>
      </c>
      <c r="S259" s="224">
        <v>4.0000000000000001E-3</v>
      </c>
      <c r="T259" s="224"/>
      <c r="U259" s="231">
        <v>33</v>
      </c>
      <c r="V259" s="232">
        <v>508</v>
      </c>
      <c r="W259" s="223"/>
      <c r="X259" s="231">
        <v>3494.8434750000001</v>
      </c>
      <c r="Y259" s="222">
        <v>392.23663473250798</v>
      </c>
      <c r="Z259" s="233">
        <v>573</v>
      </c>
      <c r="AA259" s="229">
        <v>0.68453164874783201</v>
      </c>
      <c r="AB259" s="230">
        <v>-2080.3101087401001</v>
      </c>
      <c r="AC259" s="224"/>
      <c r="AD259" s="224"/>
      <c r="AE259" s="232">
        <v>1611</v>
      </c>
      <c r="AF259" s="232">
        <v>2632</v>
      </c>
      <c r="AG259" s="223"/>
      <c r="AH259" s="236">
        <v>404.95</v>
      </c>
      <c r="AI259" s="222">
        <v>45.448737939523603</v>
      </c>
      <c r="AJ259" s="237" t="s">
        <v>54</v>
      </c>
      <c r="AK259" s="229">
        <v>0.72140853872259703</v>
      </c>
      <c r="AL259" s="230">
        <v>-208.02500135362399</v>
      </c>
      <c r="AM259" s="224"/>
      <c r="AN259" s="224"/>
      <c r="AO259" s="232">
        <v>157</v>
      </c>
      <c r="AP259" s="232">
        <v>269</v>
      </c>
      <c r="AQ259" s="223"/>
      <c r="AR259" s="236">
        <v>58.6</v>
      </c>
      <c r="AS259" s="222">
        <v>6.5768515699619297</v>
      </c>
      <c r="AT259" s="237" t="s">
        <v>55</v>
      </c>
      <c r="AU259" s="229">
        <v>0.41105322312262099</v>
      </c>
      <c r="AV259" s="230">
        <v>-97.076190819968005</v>
      </c>
      <c r="AW259" s="224"/>
      <c r="AX259" s="224"/>
      <c r="AY259" s="232">
        <v>84</v>
      </c>
      <c r="AZ259" s="232">
        <v>113</v>
      </c>
      <c r="BA259" s="223"/>
      <c r="BB259" s="240">
        <v>267.2</v>
      </c>
      <c r="BC259" s="236">
        <v>29.9886474316353</v>
      </c>
      <c r="BD259" s="237" t="s">
        <v>56</v>
      </c>
      <c r="BE259" s="238">
        <v>0.93714523223860302</v>
      </c>
      <c r="BF259" s="239">
        <v>-44.152381639936003</v>
      </c>
      <c r="BG259" s="224">
        <v>3.0000000000000001E-3</v>
      </c>
      <c r="BH259" s="224"/>
      <c r="BI259" s="232">
        <v>18</v>
      </c>
      <c r="BJ259" s="232">
        <v>75</v>
      </c>
      <c r="BK259" s="225"/>
      <c r="BL259" s="241">
        <v>0.8</v>
      </c>
      <c r="BM259" s="244">
        <v>0.73</v>
      </c>
      <c r="BN259" s="242"/>
      <c r="BO259" s="243">
        <v>0.95</v>
      </c>
      <c r="BP259" s="234">
        <v>1</v>
      </c>
      <c r="BQ259" s="242">
        <v>2.5000000000000001E-3</v>
      </c>
    </row>
    <row r="260" spans="1:69" s="211" customFormat="1" ht="22.35" customHeight="1" x14ac:dyDescent="0.2">
      <c r="A260" s="221" t="s">
        <v>276</v>
      </c>
      <c r="B260" s="221" t="s">
        <v>319</v>
      </c>
      <c r="C260" s="221" t="s">
        <v>330</v>
      </c>
      <c r="D260" s="222">
        <v>3.7235578407777798</v>
      </c>
      <c r="E260" s="223"/>
      <c r="F260" s="224">
        <v>5.6000000000000001E-2</v>
      </c>
      <c r="G260" s="224">
        <v>0.05</v>
      </c>
      <c r="H260" s="225"/>
      <c r="I260" s="226">
        <v>5</v>
      </c>
      <c r="J260" s="226">
        <v>4</v>
      </c>
      <c r="K260" s="223"/>
      <c r="L260" s="227">
        <v>1445.00873</v>
      </c>
      <c r="M260" s="227">
        <v>1444.7167199999999</v>
      </c>
      <c r="N260" s="227">
        <v>2889.7254499999999</v>
      </c>
      <c r="O260" s="222">
        <v>776.06568061163603</v>
      </c>
      <c r="P260" s="228">
        <v>287.5</v>
      </c>
      <c r="Q260" s="234">
        <v>2.6993588890839502</v>
      </c>
      <c r="R260" s="235">
        <v>1720.7144658878201</v>
      </c>
      <c r="S260" s="224">
        <v>0.01</v>
      </c>
      <c r="T260" s="224">
        <v>0.01</v>
      </c>
      <c r="U260" s="231">
        <v>0</v>
      </c>
      <c r="V260" s="232">
        <v>0</v>
      </c>
      <c r="W260" s="223"/>
      <c r="X260" s="231">
        <v>2817.142625</v>
      </c>
      <c r="Y260" s="222">
        <v>756.57281166647704</v>
      </c>
      <c r="Z260" s="233">
        <v>573</v>
      </c>
      <c r="AA260" s="234">
        <v>1.3203713990689001</v>
      </c>
      <c r="AB260" s="235">
        <v>487.25290709989002</v>
      </c>
      <c r="AC260" s="224">
        <v>0.02</v>
      </c>
      <c r="AD260" s="224">
        <v>0.02</v>
      </c>
      <c r="AE260" s="232">
        <v>0</v>
      </c>
      <c r="AF260" s="232">
        <v>0</v>
      </c>
      <c r="AG260" s="223"/>
      <c r="AH260" s="236">
        <v>227.05</v>
      </c>
      <c r="AI260" s="222">
        <v>60.976627652593102</v>
      </c>
      <c r="AJ260" s="237" t="s">
        <v>54</v>
      </c>
      <c r="AK260" s="238">
        <v>0.96788297861258799</v>
      </c>
      <c r="AL260" s="239">
        <v>-29.1158852141482</v>
      </c>
      <c r="AM260" s="224">
        <v>6.0000000000000001E-3</v>
      </c>
      <c r="AN260" s="224"/>
      <c r="AO260" s="232">
        <v>8</v>
      </c>
      <c r="AP260" s="232">
        <v>55</v>
      </c>
      <c r="AQ260" s="223"/>
      <c r="AR260" s="236">
        <v>28.2</v>
      </c>
      <c r="AS260" s="222">
        <v>7.5734018929888798</v>
      </c>
      <c r="AT260" s="237" t="s">
        <v>55</v>
      </c>
      <c r="AU260" s="229">
        <v>0.47333761831180499</v>
      </c>
      <c r="AV260" s="230">
        <v>-36.858002594069397</v>
      </c>
      <c r="AW260" s="224"/>
      <c r="AX260" s="224"/>
      <c r="AY260" s="232">
        <v>32</v>
      </c>
      <c r="AZ260" s="232">
        <v>44</v>
      </c>
      <c r="BA260" s="223"/>
      <c r="BB260" s="240">
        <v>151.80000000000001</v>
      </c>
      <c r="BC260" s="236">
        <v>40.7674612537486</v>
      </c>
      <c r="BD260" s="237" t="s">
        <v>56</v>
      </c>
      <c r="BE260" s="234">
        <v>1.27398316417964</v>
      </c>
      <c r="BF260" s="235">
        <v>21.6839948118613</v>
      </c>
      <c r="BG260" s="224">
        <v>0.02</v>
      </c>
      <c r="BH260" s="224">
        <v>0.02</v>
      </c>
      <c r="BI260" s="232">
        <v>0</v>
      </c>
      <c r="BJ260" s="232">
        <v>0</v>
      </c>
      <c r="BK260" s="225"/>
      <c r="BL260" s="241">
        <v>0.8</v>
      </c>
      <c r="BM260" s="244">
        <v>0.78</v>
      </c>
      <c r="BN260" s="242"/>
      <c r="BO260" s="243">
        <v>0.95</v>
      </c>
      <c r="BP260" s="234">
        <v>1</v>
      </c>
      <c r="BQ260" s="242">
        <v>2.5000000000000001E-3</v>
      </c>
    </row>
    <row r="261" spans="1:69" s="211" customFormat="1" ht="22.35" customHeight="1" x14ac:dyDescent="0.2">
      <c r="A261" s="221" t="s">
        <v>276</v>
      </c>
      <c r="B261" s="221" t="s">
        <v>319</v>
      </c>
      <c r="C261" s="221" t="s">
        <v>331</v>
      </c>
      <c r="D261" s="222">
        <v>2.4875433197777799</v>
      </c>
      <c r="E261" s="223"/>
      <c r="F261" s="224">
        <v>3.3000000000000002E-2</v>
      </c>
      <c r="G261" s="224">
        <v>2.4E-2</v>
      </c>
      <c r="H261" s="225"/>
      <c r="I261" s="226">
        <v>5</v>
      </c>
      <c r="J261" s="226">
        <v>4</v>
      </c>
      <c r="K261" s="223"/>
      <c r="L261" s="227">
        <v>486.73545999999999</v>
      </c>
      <c r="M261" s="227">
        <v>802.41507999999999</v>
      </c>
      <c r="N261" s="227">
        <v>1289.1505400000001</v>
      </c>
      <c r="O261" s="222">
        <v>518.24244818183297</v>
      </c>
      <c r="P261" s="228">
        <v>263.75299999999999</v>
      </c>
      <c r="Q261" s="234">
        <v>1.9648779281442601</v>
      </c>
      <c r="R261" s="235">
        <v>572.692601562287</v>
      </c>
      <c r="S261" s="224">
        <v>0.01</v>
      </c>
      <c r="T261" s="224">
        <v>0.01</v>
      </c>
      <c r="U261" s="231">
        <v>0</v>
      </c>
      <c r="V261" s="232">
        <v>0</v>
      </c>
      <c r="W261" s="223"/>
      <c r="X261" s="231">
        <v>1279.9677750000001</v>
      </c>
      <c r="Y261" s="222">
        <v>514.55094865014996</v>
      </c>
      <c r="Z261" s="233">
        <v>573</v>
      </c>
      <c r="AA261" s="244">
        <v>0.89799467478211203</v>
      </c>
      <c r="AB261" s="227">
        <v>-276.52788087807397</v>
      </c>
      <c r="AC261" s="224"/>
      <c r="AD261" s="224"/>
      <c r="AE261" s="232">
        <v>146</v>
      </c>
      <c r="AF261" s="232">
        <v>431</v>
      </c>
      <c r="AG261" s="223"/>
      <c r="AH261" s="236">
        <v>147.1</v>
      </c>
      <c r="AI261" s="222">
        <v>59.1346485628805</v>
      </c>
      <c r="AJ261" s="237" t="s">
        <v>54</v>
      </c>
      <c r="AK261" s="238">
        <v>0.93864521528381795</v>
      </c>
      <c r="AL261" s="239">
        <v>-24.033030227432199</v>
      </c>
      <c r="AM261" s="224">
        <v>3.0000000000000001E-3</v>
      </c>
      <c r="AN261" s="224"/>
      <c r="AO261" s="232">
        <v>10</v>
      </c>
      <c r="AP261" s="232">
        <v>41</v>
      </c>
      <c r="AQ261" s="223"/>
      <c r="AR261" s="236">
        <v>15.4</v>
      </c>
      <c r="AS261" s="222">
        <v>6.1908469603559499</v>
      </c>
      <c r="AT261" s="237" t="s">
        <v>55</v>
      </c>
      <c r="AU261" s="229">
        <v>0.38692793502224698</v>
      </c>
      <c r="AV261" s="230">
        <v>-28.062356883157399</v>
      </c>
      <c r="AW261" s="224"/>
      <c r="AX261" s="224"/>
      <c r="AY261" s="232">
        <v>25</v>
      </c>
      <c r="AZ261" s="232">
        <v>33</v>
      </c>
      <c r="BA261" s="223"/>
      <c r="BB261" s="240">
        <v>90.6</v>
      </c>
      <c r="BC261" s="236">
        <v>36.421476273262897</v>
      </c>
      <c r="BD261" s="237" t="s">
        <v>56</v>
      </c>
      <c r="BE261" s="234">
        <v>1.13817113353947</v>
      </c>
      <c r="BF261" s="235">
        <v>3.6752862336852399</v>
      </c>
      <c r="BG261" s="224">
        <v>0.02</v>
      </c>
      <c r="BH261" s="224">
        <v>1.4E-2</v>
      </c>
      <c r="BI261" s="232">
        <v>0</v>
      </c>
      <c r="BJ261" s="232">
        <v>5</v>
      </c>
      <c r="BK261" s="225"/>
      <c r="BL261" s="241">
        <v>0.8</v>
      </c>
      <c r="BM261" s="238">
        <v>0.9</v>
      </c>
      <c r="BN261" s="242">
        <v>3.7499999999999999E-3</v>
      </c>
      <c r="BO261" s="243">
        <v>0.95</v>
      </c>
      <c r="BP261" s="234">
        <v>1</v>
      </c>
      <c r="BQ261" s="242">
        <v>2.5000000000000001E-3</v>
      </c>
    </row>
    <row r="262" spans="1:69" s="211" customFormat="1" ht="22.35" customHeight="1" x14ac:dyDescent="0.2">
      <c r="A262" s="221" t="s">
        <v>276</v>
      </c>
      <c r="B262" s="221" t="s">
        <v>319</v>
      </c>
      <c r="C262" s="221" t="s">
        <v>332</v>
      </c>
      <c r="D262" s="222">
        <v>2.6455275504444402</v>
      </c>
      <c r="E262" s="223"/>
      <c r="F262" s="224">
        <v>7.0000000000000007E-2</v>
      </c>
      <c r="G262" s="224">
        <v>7.0000000000000007E-2</v>
      </c>
      <c r="H262" s="225"/>
      <c r="I262" s="226">
        <v>6</v>
      </c>
      <c r="J262" s="226">
        <v>6</v>
      </c>
      <c r="K262" s="223"/>
      <c r="L262" s="227">
        <v>594.21762999999999</v>
      </c>
      <c r="M262" s="227">
        <v>280.28908999999999</v>
      </c>
      <c r="N262" s="227">
        <v>874.50671999999997</v>
      </c>
      <c r="O262" s="222">
        <v>330.56042824165002</v>
      </c>
      <c r="P262" s="228">
        <v>266.08300000000003</v>
      </c>
      <c r="Q262" s="234">
        <v>1.2423207354158301</v>
      </c>
      <c r="R262" s="235">
        <v>105.81526133224099</v>
      </c>
      <c r="S262" s="224">
        <v>0.01</v>
      </c>
      <c r="T262" s="224">
        <v>0.01</v>
      </c>
      <c r="U262" s="231">
        <v>0</v>
      </c>
      <c r="V262" s="232">
        <v>0</v>
      </c>
      <c r="W262" s="223"/>
      <c r="X262" s="231">
        <v>1911.2496450000001</v>
      </c>
      <c r="Y262" s="222">
        <v>722.44556465832795</v>
      </c>
      <c r="Z262" s="233">
        <v>573</v>
      </c>
      <c r="AA262" s="234">
        <v>1.2608125037667199</v>
      </c>
      <c r="AB262" s="235">
        <v>255.90072824610701</v>
      </c>
      <c r="AC262" s="224">
        <v>0.02</v>
      </c>
      <c r="AD262" s="224">
        <v>0.02</v>
      </c>
      <c r="AE262" s="232">
        <v>0</v>
      </c>
      <c r="AF262" s="232">
        <v>0</v>
      </c>
      <c r="AG262" s="223"/>
      <c r="AH262" s="236">
        <v>266.95</v>
      </c>
      <c r="AI262" s="222">
        <v>100.906150062642</v>
      </c>
      <c r="AJ262" s="237" t="s">
        <v>54</v>
      </c>
      <c r="AK262" s="234">
        <v>1.6016849216292399</v>
      </c>
      <c r="AL262" s="235">
        <v>84.9482866396243</v>
      </c>
      <c r="AM262" s="224">
        <v>0.02</v>
      </c>
      <c r="AN262" s="224">
        <v>0.02</v>
      </c>
      <c r="AO262" s="232">
        <v>0</v>
      </c>
      <c r="AP262" s="232">
        <v>0</v>
      </c>
      <c r="AQ262" s="223"/>
      <c r="AR262" s="236">
        <v>28.2</v>
      </c>
      <c r="AS262" s="222">
        <v>10.659499650745399</v>
      </c>
      <c r="AT262" s="237" t="s">
        <v>55</v>
      </c>
      <c r="AU262" s="229">
        <v>0.66621872817159</v>
      </c>
      <c r="AV262" s="230">
        <v>-18.022657361365301</v>
      </c>
      <c r="AW262" s="224"/>
      <c r="AX262" s="224"/>
      <c r="AY262" s="232">
        <v>15</v>
      </c>
      <c r="AZ262" s="232">
        <v>23</v>
      </c>
      <c r="BA262" s="223"/>
      <c r="BB262" s="240">
        <v>164.8</v>
      </c>
      <c r="BC262" s="236">
        <v>62.293813561803098</v>
      </c>
      <c r="BD262" s="237" t="s">
        <v>56</v>
      </c>
      <c r="BE262" s="234">
        <v>1.9466816738063499</v>
      </c>
      <c r="BF262" s="235">
        <v>72.354685277269496</v>
      </c>
      <c r="BG262" s="224">
        <v>0.02</v>
      </c>
      <c r="BH262" s="224">
        <v>0.02</v>
      </c>
      <c r="BI262" s="232">
        <v>0</v>
      </c>
      <c r="BJ262" s="232">
        <v>0</v>
      </c>
      <c r="BK262" s="225"/>
      <c r="BL262" s="241">
        <v>0.8</v>
      </c>
      <c r="BM262" s="238">
        <v>0.81</v>
      </c>
      <c r="BN262" s="242">
        <v>3.7500000000000001E-4</v>
      </c>
      <c r="BO262" s="243">
        <v>0.95</v>
      </c>
      <c r="BP262" s="234">
        <v>1</v>
      </c>
      <c r="BQ262" s="242">
        <v>2.5000000000000001E-3</v>
      </c>
    </row>
    <row r="263" spans="1:69" s="211" customFormat="1" ht="22.35" customHeight="1" x14ac:dyDescent="0.2">
      <c r="A263" s="221" t="s">
        <v>276</v>
      </c>
      <c r="B263" s="221" t="s">
        <v>319</v>
      </c>
      <c r="C263" s="221" t="s">
        <v>333</v>
      </c>
      <c r="D263" s="222">
        <v>2.5458872463333302</v>
      </c>
      <c r="E263" s="223"/>
      <c r="F263" s="224">
        <v>2.8000000000000001E-2</v>
      </c>
      <c r="G263" s="224">
        <v>1.7999999999999999E-2</v>
      </c>
      <c r="H263" s="225"/>
      <c r="I263" s="226">
        <v>3</v>
      </c>
      <c r="J263" s="226">
        <v>3</v>
      </c>
      <c r="K263" s="223"/>
      <c r="L263" s="227">
        <v>1751.53935</v>
      </c>
      <c r="M263" s="227">
        <v>1129.9450899999999</v>
      </c>
      <c r="N263" s="227">
        <v>2881.4844400000002</v>
      </c>
      <c r="O263" s="222">
        <v>1131.8193467326601</v>
      </c>
      <c r="P263" s="228">
        <v>287.5</v>
      </c>
      <c r="Q263" s="234">
        <v>3.93676294515708</v>
      </c>
      <c r="R263" s="235">
        <v>2082.2031390136499</v>
      </c>
      <c r="S263" s="224">
        <v>0.01</v>
      </c>
      <c r="T263" s="224">
        <v>0.01</v>
      </c>
      <c r="U263" s="231">
        <v>0</v>
      </c>
      <c r="V263" s="232">
        <v>0</v>
      </c>
      <c r="W263" s="223"/>
      <c r="X263" s="231">
        <v>1325.4702950000001</v>
      </c>
      <c r="Y263" s="222">
        <v>520.63197099910201</v>
      </c>
      <c r="Z263" s="233">
        <v>573</v>
      </c>
      <c r="AA263" s="244">
        <v>0.90860727923054496</v>
      </c>
      <c r="AB263" s="227">
        <v>-267.53208922670598</v>
      </c>
      <c r="AC263" s="224">
        <v>0</v>
      </c>
      <c r="AD263" s="224"/>
      <c r="AE263" s="232">
        <v>134</v>
      </c>
      <c r="AF263" s="232">
        <v>426</v>
      </c>
      <c r="AG263" s="223"/>
      <c r="AH263" s="236">
        <v>112.95</v>
      </c>
      <c r="AI263" s="222">
        <v>44.3656725814052</v>
      </c>
      <c r="AJ263" s="237" t="s">
        <v>54</v>
      </c>
      <c r="AK263" s="229">
        <v>0.70421702510166995</v>
      </c>
      <c r="AL263" s="230">
        <v>-62.1968589987478</v>
      </c>
      <c r="AM263" s="224"/>
      <c r="AN263" s="224"/>
      <c r="AO263" s="232">
        <v>48</v>
      </c>
      <c r="AP263" s="232">
        <v>80</v>
      </c>
      <c r="AQ263" s="223"/>
      <c r="AR263" s="236">
        <v>8.8000000000000007</v>
      </c>
      <c r="AS263" s="222">
        <v>3.4565552785866802</v>
      </c>
      <c r="AT263" s="237" t="s">
        <v>55</v>
      </c>
      <c r="AU263" s="229">
        <v>0.21603470491166701</v>
      </c>
      <c r="AV263" s="230">
        <v>-35.681741967935899</v>
      </c>
      <c r="AW263" s="224"/>
      <c r="AX263" s="224"/>
      <c r="AY263" s="232">
        <v>32</v>
      </c>
      <c r="AZ263" s="232">
        <v>41</v>
      </c>
      <c r="BA263" s="223"/>
      <c r="BB263" s="240">
        <v>87.6</v>
      </c>
      <c r="BC263" s="236">
        <v>34.4084366368402</v>
      </c>
      <c r="BD263" s="237" t="s">
        <v>56</v>
      </c>
      <c r="BE263" s="238">
        <v>1.07526364490126</v>
      </c>
      <c r="BF263" s="239">
        <v>-1.36348393587188</v>
      </c>
      <c r="BG263" s="224">
        <v>1.7999999999999999E-2</v>
      </c>
      <c r="BH263" s="224">
        <v>8.0000000000000002E-3</v>
      </c>
      <c r="BI263" s="232">
        <v>0</v>
      </c>
      <c r="BJ263" s="232">
        <v>11</v>
      </c>
      <c r="BK263" s="225"/>
      <c r="BL263" s="241">
        <v>0.8</v>
      </c>
      <c r="BM263" s="244">
        <v>0.8</v>
      </c>
      <c r="BN263" s="242">
        <v>0</v>
      </c>
      <c r="BO263" s="243">
        <v>0.95</v>
      </c>
      <c r="BP263" s="234">
        <v>1</v>
      </c>
      <c r="BQ263" s="242">
        <v>2.5000000000000001E-3</v>
      </c>
    </row>
    <row r="264" spans="1:69" s="211" customFormat="1" ht="22.35" customHeight="1" x14ac:dyDescent="0.2">
      <c r="A264" s="221" t="s">
        <v>276</v>
      </c>
      <c r="B264" s="221" t="s">
        <v>319</v>
      </c>
      <c r="C264" s="221" t="s">
        <v>334</v>
      </c>
      <c r="D264" s="222">
        <v>2.3152426593333302</v>
      </c>
      <c r="E264" s="223"/>
      <c r="F264" s="224">
        <v>2.8000000000000001E-2</v>
      </c>
      <c r="G264" s="224">
        <v>1.7000000000000001E-2</v>
      </c>
      <c r="H264" s="225"/>
      <c r="I264" s="226">
        <v>4</v>
      </c>
      <c r="J264" s="226">
        <v>4</v>
      </c>
      <c r="K264" s="223"/>
      <c r="L264" s="227">
        <v>1949.9929</v>
      </c>
      <c r="M264" s="227">
        <v>-1198.46723</v>
      </c>
      <c r="N264" s="227">
        <v>751.52566999999999</v>
      </c>
      <c r="O264" s="222">
        <v>324.59909416855697</v>
      </c>
      <c r="P264" s="228">
        <v>247.95</v>
      </c>
      <c r="Q264" s="234">
        <v>1.3091312529484</v>
      </c>
      <c r="R264" s="235">
        <v>124.647326219184</v>
      </c>
      <c r="S264" s="224">
        <v>0.01</v>
      </c>
      <c r="T264" s="224">
        <v>0.01</v>
      </c>
      <c r="U264" s="231">
        <v>0</v>
      </c>
      <c r="V264" s="232">
        <v>0</v>
      </c>
      <c r="W264" s="223"/>
      <c r="X264" s="231">
        <v>1419.4167749999999</v>
      </c>
      <c r="Y264" s="222">
        <v>613.07473291318695</v>
      </c>
      <c r="Z264" s="233">
        <v>573</v>
      </c>
      <c r="AA264" s="238">
        <v>1.06993845185547</v>
      </c>
      <c r="AB264" s="239">
        <v>-29.2676008274141</v>
      </c>
      <c r="AC264" s="224">
        <v>1.7999999999999999E-2</v>
      </c>
      <c r="AD264" s="224">
        <v>7.0000000000000001E-3</v>
      </c>
      <c r="AE264" s="232">
        <v>0</v>
      </c>
      <c r="AF264" s="232">
        <v>173</v>
      </c>
      <c r="AG264" s="223"/>
      <c r="AH264" s="236">
        <v>66.349999999999994</v>
      </c>
      <c r="AI264" s="222">
        <v>28.657903193225199</v>
      </c>
      <c r="AJ264" s="237" t="s">
        <v>54</v>
      </c>
      <c r="AK264" s="229">
        <v>0.45488735227341598</v>
      </c>
      <c r="AL264" s="230">
        <v>-92.929433991495799</v>
      </c>
      <c r="AM264" s="224"/>
      <c r="AN264" s="224"/>
      <c r="AO264" s="232">
        <v>80</v>
      </c>
      <c r="AP264" s="232">
        <v>109</v>
      </c>
      <c r="AQ264" s="223"/>
      <c r="AR264" s="236">
        <v>5</v>
      </c>
      <c r="AS264" s="222">
        <v>2.1596008434985099</v>
      </c>
      <c r="AT264" s="237" t="s">
        <v>55</v>
      </c>
      <c r="AU264" s="229">
        <v>0.13497505271865701</v>
      </c>
      <c r="AV264" s="230">
        <v>-35.451919743871898</v>
      </c>
      <c r="AW264" s="224"/>
      <c r="AX264" s="224"/>
      <c r="AY264" s="232">
        <v>33</v>
      </c>
      <c r="AZ264" s="232">
        <v>40</v>
      </c>
      <c r="BA264" s="223"/>
      <c r="BB264" s="240">
        <v>60</v>
      </c>
      <c r="BC264" s="236">
        <v>25.915210121982099</v>
      </c>
      <c r="BD264" s="237" t="s">
        <v>56</v>
      </c>
      <c r="BE264" s="244">
        <v>0.80985031631194104</v>
      </c>
      <c r="BF264" s="227">
        <v>-20.903839487743902</v>
      </c>
      <c r="BG264" s="224"/>
      <c r="BH264" s="224"/>
      <c r="BI264" s="232">
        <v>15</v>
      </c>
      <c r="BJ264" s="232">
        <v>29</v>
      </c>
      <c r="BK264" s="225"/>
      <c r="BL264" s="241">
        <v>0.8</v>
      </c>
      <c r="BM264" s="238">
        <v>0.86</v>
      </c>
      <c r="BN264" s="242">
        <v>2.2499999999999998E-3</v>
      </c>
      <c r="BO264" s="243">
        <v>0.95</v>
      </c>
      <c r="BP264" s="234">
        <v>1</v>
      </c>
      <c r="BQ264" s="242">
        <v>2.5000000000000001E-3</v>
      </c>
    </row>
    <row r="265" spans="1:69" s="211" customFormat="1" ht="22.35" customHeight="1" x14ac:dyDescent="0.2">
      <c r="A265" s="221" t="s">
        <v>276</v>
      </c>
      <c r="B265" s="221" t="s">
        <v>319</v>
      </c>
      <c r="C265" s="221" t="s">
        <v>335</v>
      </c>
      <c r="D265" s="222">
        <v>8.72427697</v>
      </c>
      <c r="E265" s="223"/>
      <c r="F265" s="224">
        <v>1.4999999999999999E-2</v>
      </c>
      <c r="G265" s="224">
        <v>0.01</v>
      </c>
      <c r="H265" s="225"/>
      <c r="I265" s="226">
        <v>3</v>
      </c>
      <c r="J265" s="226">
        <v>2</v>
      </c>
      <c r="K265" s="223"/>
      <c r="L265" s="227">
        <v>9726.3323999999993</v>
      </c>
      <c r="M265" s="227">
        <v>870.27323999999999</v>
      </c>
      <c r="N265" s="227">
        <v>10596.60564</v>
      </c>
      <c r="O265" s="222">
        <v>1214.6113284159101</v>
      </c>
      <c r="P265" s="228">
        <v>287.5</v>
      </c>
      <c r="Q265" s="234">
        <v>4.2247350553596901</v>
      </c>
      <c r="R265" s="235">
        <v>7857.6188852685</v>
      </c>
      <c r="S265" s="224">
        <v>0.01</v>
      </c>
      <c r="T265" s="224">
        <v>0.01</v>
      </c>
      <c r="U265" s="231">
        <v>0</v>
      </c>
      <c r="V265" s="232">
        <v>0</v>
      </c>
      <c r="W265" s="223"/>
      <c r="X265" s="231">
        <v>3409.4402100000002</v>
      </c>
      <c r="Y265" s="222">
        <v>390.79917129224299</v>
      </c>
      <c r="Z265" s="233">
        <v>573</v>
      </c>
      <c r="AA265" s="229">
        <v>0.68202298654841698</v>
      </c>
      <c r="AB265" s="230">
        <v>-2049.47947856052</v>
      </c>
      <c r="AC265" s="224"/>
      <c r="AD265" s="224"/>
      <c r="AE265" s="232">
        <v>1590</v>
      </c>
      <c r="AF265" s="232">
        <v>2590</v>
      </c>
      <c r="AG265" s="223"/>
      <c r="AH265" s="236">
        <v>482.25</v>
      </c>
      <c r="AI265" s="222">
        <v>55.276787022959397</v>
      </c>
      <c r="AJ265" s="237" t="s">
        <v>54</v>
      </c>
      <c r="AK265" s="244">
        <v>0.87740931782475295</v>
      </c>
      <c r="AL265" s="227">
        <v>-117.94535842812</v>
      </c>
      <c r="AM265" s="224"/>
      <c r="AN265" s="224"/>
      <c r="AO265" s="232">
        <v>68</v>
      </c>
      <c r="AP265" s="232">
        <v>178</v>
      </c>
      <c r="AQ265" s="223"/>
      <c r="AR265" s="236">
        <v>24.6</v>
      </c>
      <c r="AS265" s="222">
        <v>2.8197179072365</v>
      </c>
      <c r="AT265" s="237" t="s">
        <v>55</v>
      </c>
      <c r="AU265" s="229">
        <v>0.176232369202281</v>
      </c>
      <c r="AV265" s="230">
        <v>-127.83056721984001</v>
      </c>
      <c r="AW265" s="224"/>
      <c r="AX265" s="224"/>
      <c r="AY265" s="232">
        <v>115</v>
      </c>
      <c r="AZ265" s="232">
        <v>143</v>
      </c>
      <c r="BA265" s="223"/>
      <c r="BB265" s="240">
        <v>266</v>
      </c>
      <c r="BC265" s="236">
        <v>30.489632655484101</v>
      </c>
      <c r="BD265" s="237" t="s">
        <v>56</v>
      </c>
      <c r="BE265" s="238">
        <v>0.95280102048387805</v>
      </c>
      <c r="BF265" s="239">
        <v>-38.861134439680001</v>
      </c>
      <c r="BG265" s="224">
        <v>5.0000000000000001E-3</v>
      </c>
      <c r="BH265" s="224"/>
      <c r="BI265" s="232">
        <v>14</v>
      </c>
      <c r="BJ265" s="232">
        <v>70</v>
      </c>
      <c r="BK265" s="225"/>
      <c r="BL265" s="241">
        <v>0.8</v>
      </c>
      <c r="BM265" s="244">
        <v>0.73</v>
      </c>
      <c r="BN265" s="242"/>
      <c r="BO265" s="243">
        <v>0.95</v>
      </c>
      <c r="BP265" s="234">
        <v>1</v>
      </c>
      <c r="BQ265" s="242">
        <v>2.5000000000000001E-3</v>
      </c>
    </row>
    <row r="266" spans="1:69" s="211" customFormat="1" ht="22.35" customHeight="1" x14ac:dyDescent="0.2">
      <c r="A266" s="221" t="s">
        <v>276</v>
      </c>
      <c r="B266" s="221" t="s">
        <v>319</v>
      </c>
      <c r="C266" s="221" t="s">
        <v>336</v>
      </c>
      <c r="D266" s="222">
        <v>1.9537440934444401</v>
      </c>
      <c r="E266" s="223"/>
      <c r="F266" s="224">
        <v>0.08</v>
      </c>
      <c r="G266" s="224">
        <v>0.08</v>
      </c>
      <c r="H266" s="225"/>
      <c r="I266" s="226">
        <v>7</v>
      </c>
      <c r="J266" s="226">
        <v>7</v>
      </c>
      <c r="K266" s="223"/>
      <c r="L266" s="227">
        <v>1677.0603699999999</v>
      </c>
      <c r="M266" s="227">
        <v>3198.78989</v>
      </c>
      <c r="N266" s="227">
        <v>4875.8502600000002</v>
      </c>
      <c r="O266" s="222">
        <v>2495.6442741709802</v>
      </c>
      <c r="P266" s="228">
        <v>242.66300000000001</v>
      </c>
      <c r="Q266" s="234">
        <v>10.2844037787837</v>
      </c>
      <c r="R266" s="235">
        <v>4358.1315279813198</v>
      </c>
      <c r="S266" s="224">
        <v>0.01</v>
      </c>
      <c r="T266" s="224">
        <v>0.01</v>
      </c>
      <c r="U266" s="231">
        <v>0</v>
      </c>
      <c r="V266" s="232">
        <v>0</v>
      </c>
      <c r="W266" s="223"/>
      <c r="X266" s="231">
        <v>1772.9150950000001</v>
      </c>
      <c r="Y266" s="222">
        <v>907.44489053034397</v>
      </c>
      <c r="Z266" s="233">
        <v>573</v>
      </c>
      <c r="AA266" s="234">
        <v>1.58367345642294</v>
      </c>
      <c r="AB266" s="235">
        <v>550.42615582631902</v>
      </c>
      <c r="AC266" s="224">
        <v>0.02</v>
      </c>
      <c r="AD266" s="224">
        <v>0.02</v>
      </c>
      <c r="AE266" s="232">
        <v>0</v>
      </c>
      <c r="AF266" s="232">
        <v>0</v>
      </c>
      <c r="AG266" s="223"/>
      <c r="AH266" s="236">
        <v>158.5</v>
      </c>
      <c r="AI266" s="222">
        <v>81.126284927400604</v>
      </c>
      <c r="AJ266" s="237" t="s">
        <v>54</v>
      </c>
      <c r="AK266" s="234">
        <v>1.2877188083714399</v>
      </c>
      <c r="AL266" s="235">
        <v>24.090221347396302</v>
      </c>
      <c r="AM266" s="224">
        <v>0.02</v>
      </c>
      <c r="AN266" s="224">
        <v>0.02</v>
      </c>
      <c r="AO266" s="232">
        <v>0</v>
      </c>
      <c r="AP266" s="232">
        <v>0</v>
      </c>
      <c r="AQ266" s="223"/>
      <c r="AR266" s="236">
        <v>41.7</v>
      </c>
      <c r="AS266" s="222">
        <v>21.343634583423398</v>
      </c>
      <c r="AT266" s="237" t="s">
        <v>55</v>
      </c>
      <c r="AU266" s="234">
        <v>1.3339771614639599</v>
      </c>
      <c r="AV266" s="235">
        <v>7.5641831993387498</v>
      </c>
      <c r="AW266" s="224">
        <v>0.01</v>
      </c>
      <c r="AX266" s="224">
        <v>0.01</v>
      </c>
      <c r="AY266" s="232">
        <v>0</v>
      </c>
      <c r="AZ266" s="232">
        <v>0</v>
      </c>
      <c r="BA266" s="223"/>
      <c r="BB266" s="240">
        <v>99.8</v>
      </c>
      <c r="BC266" s="236">
        <v>51.081408427473697</v>
      </c>
      <c r="BD266" s="237" t="s">
        <v>56</v>
      </c>
      <c r="BE266" s="234">
        <v>1.5962940133585499</v>
      </c>
      <c r="BF266" s="235">
        <v>31.528366398677498</v>
      </c>
      <c r="BG266" s="224">
        <v>0.02</v>
      </c>
      <c r="BH266" s="224">
        <v>0.02</v>
      </c>
      <c r="BI266" s="232">
        <v>0</v>
      </c>
      <c r="BJ266" s="232">
        <v>0</v>
      </c>
      <c r="BK266" s="225"/>
      <c r="BL266" s="241">
        <v>0.8</v>
      </c>
      <c r="BM266" s="238">
        <v>0.87</v>
      </c>
      <c r="BN266" s="242">
        <v>2.6250000000000002E-3</v>
      </c>
      <c r="BO266" s="243">
        <v>0.95</v>
      </c>
      <c r="BP266" s="234">
        <v>1</v>
      </c>
      <c r="BQ266" s="242">
        <v>2.5000000000000001E-3</v>
      </c>
    </row>
    <row r="267" spans="1:69" s="211" customFormat="1" ht="22.35" customHeight="1" x14ac:dyDescent="0.2">
      <c r="A267" s="221" t="s">
        <v>276</v>
      </c>
      <c r="B267" s="221" t="s">
        <v>319</v>
      </c>
      <c r="C267" s="221" t="s">
        <v>337</v>
      </c>
      <c r="D267" s="222">
        <v>1.6595588506666701</v>
      </c>
      <c r="E267" s="223"/>
      <c r="F267" s="224"/>
      <c r="G267" s="224"/>
      <c r="H267" s="225"/>
      <c r="I267" s="226">
        <v>1</v>
      </c>
      <c r="J267" s="226">
        <v>1</v>
      </c>
      <c r="K267" s="223"/>
      <c r="L267" s="227"/>
      <c r="M267" s="227">
        <v>149.07517000000001</v>
      </c>
      <c r="N267" s="227">
        <v>149.07517000000001</v>
      </c>
      <c r="O267" s="222">
        <v>89.828191353451899</v>
      </c>
      <c r="P267" s="228">
        <v>287.5</v>
      </c>
      <c r="Q267" s="229">
        <v>0.31244588296852799</v>
      </c>
      <c r="R267" s="230">
        <v>-371.94333116680099</v>
      </c>
      <c r="S267" s="224"/>
      <c r="T267" s="224"/>
      <c r="U267" s="231">
        <v>329</v>
      </c>
      <c r="V267" s="232">
        <v>424</v>
      </c>
      <c r="W267" s="223"/>
      <c r="X267" s="231">
        <v>186.24148</v>
      </c>
      <c r="Y267" s="222">
        <v>112.223486335049</v>
      </c>
      <c r="Z267" s="233">
        <v>573</v>
      </c>
      <c r="AA267" s="229">
        <v>0.19585250669293</v>
      </c>
      <c r="AB267" s="230">
        <v>-852.17104580374598</v>
      </c>
      <c r="AC267" s="224"/>
      <c r="AD267" s="224"/>
      <c r="AE267" s="232">
        <v>765</v>
      </c>
      <c r="AF267" s="232">
        <v>955</v>
      </c>
      <c r="AG267" s="223"/>
      <c r="AH267" s="236">
        <v>13.8</v>
      </c>
      <c r="AI267" s="222">
        <v>8.3154628680123999</v>
      </c>
      <c r="AJ267" s="237" t="s">
        <v>54</v>
      </c>
      <c r="AK267" s="229">
        <v>0.13199147409543499</v>
      </c>
      <c r="AL267" s="230">
        <v>-100.371010690464</v>
      </c>
      <c r="AM267" s="224"/>
      <c r="AN267" s="224"/>
      <c r="AO267" s="232">
        <v>91</v>
      </c>
      <c r="AP267" s="232">
        <v>112</v>
      </c>
      <c r="AQ267" s="223"/>
      <c r="AR267" s="236"/>
      <c r="AS267" s="222" t="s">
        <v>146</v>
      </c>
      <c r="AT267" s="237" t="s">
        <v>55</v>
      </c>
      <c r="AU267" s="229"/>
      <c r="AV267" s="230"/>
      <c r="AW267" s="224"/>
      <c r="AX267" s="224"/>
      <c r="AY267" s="232">
        <v>27</v>
      </c>
      <c r="AZ267" s="232">
        <v>32</v>
      </c>
      <c r="BA267" s="223"/>
      <c r="BB267" s="240">
        <v>1</v>
      </c>
      <c r="BC267" s="236">
        <v>0.60256977304437698</v>
      </c>
      <c r="BD267" s="237" t="s">
        <v>56</v>
      </c>
      <c r="BE267" s="229">
        <v>1.8830305407636801E-2</v>
      </c>
      <c r="BF267" s="230">
        <v>-56.991624477696099</v>
      </c>
      <c r="BG267" s="224"/>
      <c r="BH267" s="224"/>
      <c r="BI267" s="232">
        <v>53</v>
      </c>
      <c r="BJ267" s="232">
        <v>63</v>
      </c>
      <c r="BK267" s="225"/>
      <c r="BL267" s="241">
        <v>0.8</v>
      </c>
      <c r="BM267" s="229"/>
      <c r="BN267" s="242"/>
      <c r="BO267" s="243">
        <v>0.95</v>
      </c>
      <c r="BP267" s="234">
        <v>1</v>
      </c>
      <c r="BQ267" s="242">
        <v>2.5000000000000001E-3</v>
      </c>
    </row>
    <row r="268" spans="1:69" s="211" customFormat="1" ht="22.35" customHeight="1" x14ac:dyDescent="0.2">
      <c r="A268" s="221" t="s">
        <v>276</v>
      </c>
      <c r="B268" s="221" t="s">
        <v>319</v>
      </c>
      <c r="C268" s="221" t="s">
        <v>338</v>
      </c>
      <c r="D268" s="222">
        <v>1.9110045248888901</v>
      </c>
      <c r="E268" s="223"/>
      <c r="F268" s="224">
        <v>7.6999999999999999E-2</v>
      </c>
      <c r="G268" s="224">
        <v>7.0999999999999994E-2</v>
      </c>
      <c r="H268" s="225"/>
      <c r="I268" s="226">
        <v>6</v>
      </c>
      <c r="J268" s="226">
        <v>6</v>
      </c>
      <c r="K268" s="223"/>
      <c r="L268" s="227">
        <v>1157.6691499999999</v>
      </c>
      <c r="M268" s="227">
        <v>1271.8247100000001</v>
      </c>
      <c r="N268" s="227">
        <v>2429.49386</v>
      </c>
      <c r="O268" s="222">
        <v>1271.31769096217</v>
      </c>
      <c r="P268" s="228">
        <v>245.202</v>
      </c>
      <c r="Q268" s="234">
        <v>5.1847770041115897</v>
      </c>
      <c r="R268" s="235">
        <v>1917.80217238911</v>
      </c>
      <c r="S268" s="224">
        <v>0.01</v>
      </c>
      <c r="T268" s="224">
        <v>0.01</v>
      </c>
      <c r="U268" s="231">
        <v>0</v>
      </c>
      <c r="V268" s="232">
        <v>0</v>
      </c>
      <c r="W268" s="223"/>
      <c r="X268" s="231">
        <v>1349.2245250000001</v>
      </c>
      <c r="Y268" s="222">
        <v>706.02895358316698</v>
      </c>
      <c r="Z268" s="233">
        <v>573</v>
      </c>
      <c r="AA268" s="234">
        <v>1.2321622226582301</v>
      </c>
      <c r="AB268" s="235">
        <v>153.47841770462301</v>
      </c>
      <c r="AC268" s="224">
        <v>0.02</v>
      </c>
      <c r="AD268" s="224">
        <v>0.02</v>
      </c>
      <c r="AE268" s="232">
        <v>0</v>
      </c>
      <c r="AF268" s="232">
        <v>0</v>
      </c>
      <c r="AG268" s="223"/>
      <c r="AH268" s="236">
        <v>143.19999999999999</v>
      </c>
      <c r="AI268" s="222">
        <v>74.934411789697904</v>
      </c>
      <c r="AJ268" s="237" t="s">
        <v>54</v>
      </c>
      <c r="AK268" s="234">
        <v>1.1894351077729799</v>
      </c>
      <c r="AL268" s="235">
        <v>11.730532705743901</v>
      </c>
      <c r="AM268" s="224">
        <v>0.02</v>
      </c>
      <c r="AN268" s="224">
        <v>1.9E-2</v>
      </c>
      <c r="AO268" s="232">
        <v>0</v>
      </c>
      <c r="AP268" s="232">
        <v>2</v>
      </c>
      <c r="AQ268" s="223"/>
      <c r="AR268" s="236">
        <v>31.8</v>
      </c>
      <c r="AS268" s="222">
        <v>16.640462953298801</v>
      </c>
      <c r="AT268" s="237" t="s">
        <v>55</v>
      </c>
      <c r="AU268" s="238">
        <v>1.04002893458118</v>
      </c>
      <c r="AV268" s="239">
        <v>-1.5890710588586801</v>
      </c>
      <c r="AW268" s="224">
        <v>7.0000000000000001E-3</v>
      </c>
      <c r="AX268" s="224">
        <v>2E-3</v>
      </c>
      <c r="AY268" s="232">
        <v>0</v>
      </c>
      <c r="AZ268" s="232">
        <v>5</v>
      </c>
      <c r="BA268" s="223"/>
      <c r="BB268" s="240">
        <v>126</v>
      </c>
      <c r="BC268" s="236">
        <v>65.933909814957602</v>
      </c>
      <c r="BD268" s="237" t="s">
        <v>56</v>
      </c>
      <c r="BE268" s="234">
        <v>2.0604346817174299</v>
      </c>
      <c r="BF268" s="235">
        <v>59.221857882282599</v>
      </c>
      <c r="BG268" s="224">
        <v>0.02</v>
      </c>
      <c r="BH268" s="224">
        <v>0.02</v>
      </c>
      <c r="BI268" s="232">
        <v>0</v>
      </c>
      <c r="BJ268" s="232">
        <v>0</v>
      </c>
      <c r="BK268" s="225"/>
      <c r="BL268" s="241">
        <v>0.8</v>
      </c>
      <c r="BM268" s="244">
        <v>0.76</v>
      </c>
      <c r="BN268" s="242"/>
      <c r="BO268" s="243">
        <v>0.95</v>
      </c>
      <c r="BP268" s="234">
        <v>1</v>
      </c>
      <c r="BQ268" s="242">
        <v>2.5000000000000001E-3</v>
      </c>
    </row>
    <row r="269" spans="1:69" s="211" customFormat="1" ht="22.35" customHeight="1" x14ac:dyDescent="0.2">
      <c r="A269" s="221" t="s">
        <v>276</v>
      </c>
      <c r="B269" s="221" t="s">
        <v>319</v>
      </c>
      <c r="C269" s="221" t="s">
        <v>339</v>
      </c>
      <c r="D269" s="222">
        <v>4.3293466174444397</v>
      </c>
      <c r="E269" s="223"/>
      <c r="F269" s="224">
        <v>0.03</v>
      </c>
      <c r="G269" s="224">
        <v>1.7999999999999999E-2</v>
      </c>
      <c r="H269" s="225"/>
      <c r="I269" s="226">
        <v>4</v>
      </c>
      <c r="J269" s="226">
        <v>3</v>
      </c>
      <c r="K269" s="223"/>
      <c r="L269" s="227">
        <v>2114.3624199999999</v>
      </c>
      <c r="M269" s="227">
        <v>1225.01782</v>
      </c>
      <c r="N269" s="227">
        <v>3339.38024</v>
      </c>
      <c r="O269" s="222">
        <v>771.33584697156698</v>
      </c>
      <c r="P269" s="228">
        <v>287.5</v>
      </c>
      <c r="Q269" s="234">
        <v>2.6829072938141501</v>
      </c>
      <c r="R269" s="235">
        <v>1980.1818694533199</v>
      </c>
      <c r="S269" s="224">
        <v>0.01</v>
      </c>
      <c r="T269" s="224">
        <v>0.01</v>
      </c>
      <c r="U269" s="231">
        <v>0</v>
      </c>
      <c r="V269" s="232">
        <v>0</v>
      </c>
      <c r="W269" s="223"/>
      <c r="X269" s="231">
        <v>2258.2131949999998</v>
      </c>
      <c r="Y269" s="222">
        <v>521.60600537292896</v>
      </c>
      <c r="Z269" s="233">
        <v>573</v>
      </c>
      <c r="AA269" s="238">
        <v>0.91030716469970197</v>
      </c>
      <c r="AB269" s="239">
        <v>-450.72825308086499</v>
      </c>
      <c r="AC269" s="224">
        <v>1E-3</v>
      </c>
      <c r="AD269" s="224"/>
      <c r="AE269" s="232">
        <v>223</v>
      </c>
      <c r="AF269" s="232">
        <v>719</v>
      </c>
      <c r="AG269" s="223"/>
      <c r="AH269" s="236">
        <v>202.6</v>
      </c>
      <c r="AI269" s="222">
        <v>46.796899833257498</v>
      </c>
      <c r="AJ269" s="237" t="s">
        <v>54</v>
      </c>
      <c r="AK269" s="244">
        <v>0.74280793386123101</v>
      </c>
      <c r="AL269" s="227">
        <v>-95.241729893707699</v>
      </c>
      <c r="AM269" s="224"/>
      <c r="AN269" s="224"/>
      <c r="AO269" s="232">
        <v>71</v>
      </c>
      <c r="AP269" s="232">
        <v>125</v>
      </c>
      <c r="AQ269" s="223"/>
      <c r="AR269" s="236">
        <v>30.6</v>
      </c>
      <c r="AS269" s="222">
        <v>7.0680411396726601</v>
      </c>
      <c r="AT269" s="237" t="s">
        <v>55</v>
      </c>
      <c r="AU269" s="229">
        <v>0.44175257122954098</v>
      </c>
      <c r="AV269" s="230">
        <v>-45.0423440999893</v>
      </c>
      <c r="AW269" s="224"/>
      <c r="AX269" s="224"/>
      <c r="AY269" s="232">
        <v>39</v>
      </c>
      <c r="AZ269" s="232">
        <v>53</v>
      </c>
      <c r="BA269" s="223"/>
      <c r="BB269" s="240">
        <v>149.80000000000001</v>
      </c>
      <c r="BC269" s="236">
        <v>34.601064141273298</v>
      </c>
      <c r="BD269" s="237" t="s">
        <v>56</v>
      </c>
      <c r="BE269" s="238">
        <v>1.0812832544147899</v>
      </c>
      <c r="BF269" s="239">
        <v>-1.48468819997851</v>
      </c>
      <c r="BG269" s="224">
        <v>1.9E-2</v>
      </c>
      <c r="BH269" s="224">
        <v>8.0000000000000002E-3</v>
      </c>
      <c r="BI269" s="232">
        <v>0</v>
      </c>
      <c r="BJ269" s="232">
        <v>17</v>
      </c>
      <c r="BK269" s="225"/>
      <c r="BL269" s="241">
        <v>0.8</v>
      </c>
      <c r="BM269" s="244">
        <v>0.79</v>
      </c>
      <c r="BN269" s="242"/>
      <c r="BO269" s="243">
        <v>0.95</v>
      </c>
      <c r="BP269" s="234">
        <v>1</v>
      </c>
      <c r="BQ269" s="242">
        <v>2.5000000000000001E-3</v>
      </c>
    </row>
    <row r="270" spans="1:69" s="211" customFormat="1" ht="22.35" customHeight="1" x14ac:dyDescent="0.2">
      <c r="A270" s="221" t="s">
        <v>340</v>
      </c>
      <c r="B270" s="221" t="s">
        <v>341</v>
      </c>
      <c r="C270" s="221" t="s">
        <v>342</v>
      </c>
      <c r="D270" s="222">
        <v>3.4371100664444398</v>
      </c>
      <c r="E270" s="223"/>
      <c r="F270" s="224">
        <v>0.01</v>
      </c>
      <c r="G270" s="224">
        <v>0.01</v>
      </c>
      <c r="H270" s="225"/>
      <c r="I270" s="226">
        <v>3</v>
      </c>
      <c r="J270" s="226">
        <v>3</v>
      </c>
      <c r="K270" s="223"/>
      <c r="L270" s="227">
        <v>1791.69309</v>
      </c>
      <c r="M270" s="227">
        <v>2618.9719399999999</v>
      </c>
      <c r="N270" s="227">
        <v>4410.6650300000001</v>
      </c>
      <c r="O270" s="222">
        <v>1283.2481197096699</v>
      </c>
      <c r="P270" s="228">
        <v>242.35900000000001</v>
      </c>
      <c r="Q270" s="234">
        <v>5.2948234631669102</v>
      </c>
      <c r="R270" s="235">
        <v>3501.0131320159999</v>
      </c>
      <c r="S270" s="224">
        <v>0.01</v>
      </c>
      <c r="T270" s="224">
        <v>0.01</v>
      </c>
      <c r="U270" s="231">
        <v>0</v>
      </c>
      <c r="V270" s="232">
        <v>0</v>
      </c>
      <c r="W270" s="223"/>
      <c r="X270" s="231">
        <v>1355.8727799999999</v>
      </c>
      <c r="Y270" s="222">
        <v>394.48046579509099</v>
      </c>
      <c r="Z270" s="233">
        <v>573</v>
      </c>
      <c r="AA270" s="229">
        <v>0.68844758428462605</v>
      </c>
      <c r="AB270" s="230">
        <v>-794.78198233534897</v>
      </c>
      <c r="AC270" s="224"/>
      <c r="AD270" s="224"/>
      <c r="AE270" s="232">
        <v>614</v>
      </c>
      <c r="AF270" s="232">
        <v>1008</v>
      </c>
      <c r="AG270" s="223"/>
      <c r="AH270" s="236">
        <v>123.8</v>
      </c>
      <c r="AI270" s="222">
        <v>36.018631235765497</v>
      </c>
      <c r="AJ270" s="237" t="s">
        <v>54</v>
      </c>
      <c r="AK270" s="229">
        <v>0.57172430532961105</v>
      </c>
      <c r="AL270" s="230">
        <v>-112.659424131112</v>
      </c>
      <c r="AM270" s="224"/>
      <c r="AN270" s="224"/>
      <c r="AO270" s="232">
        <v>93</v>
      </c>
      <c r="AP270" s="232">
        <v>137</v>
      </c>
      <c r="AQ270" s="223"/>
      <c r="AR270" s="236">
        <v>15.8</v>
      </c>
      <c r="AS270" s="222">
        <v>4.5968850850169298</v>
      </c>
      <c r="AT270" s="237" t="s">
        <v>55</v>
      </c>
      <c r="AU270" s="229">
        <v>0.287305317813558</v>
      </c>
      <c r="AV270" s="230">
        <v>-44.2531870809173</v>
      </c>
      <c r="AW270" s="224"/>
      <c r="AX270" s="224"/>
      <c r="AY270" s="232">
        <v>40</v>
      </c>
      <c r="AZ270" s="232">
        <v>51</v>
      </c>
      <c r="BA270" s="223"/>
      <c r="BB270" s="240">
        <v>92.6</v>
      </c>
      <c r="BC270" s="236">
        <v>26.941237903327</v>
      </c>
      <c r="BD270" s="237" t="s">
        <v>56</v>
      </c>
      <c r="BE270" s="244">
        <v>0.84191368447896997</v>
      </c>
      <c r="BF270" s="227">
        <v>-27.506374161834501</v>
      </c>
      <c r="BG270" s="224"/>
      <c r="BH270" s="224"/>
      <c r="BI270" s="232">
        <v>18</v>
      </c>
      <c r="BJ270" s="232">
        <v>40</v>
      </c>
      <c r="BK270" s="225"/>
      <c r="BL270" s="241">
        <v>0.8</v>
      </c>
      <c r="BM270" s="238">
        <v>0.83</v>
      </c>
      <c r="BN270" s="242">
        <v>1.1249999999999999E-3</v>
      </c>
      <c r="BO270" s="243">
        <v>0.95</v>
      </c>
      <c r="BP270" s="234">
        <v>1</v>
      </c>
      <c r="BQ270" s="242">
        <v>2.5000000000000001E-3</v>
      </c>
    </row>
    <row r="271" spans="1:69" s="211" customFormat="1" ht="22.35" customHeight="1" x14ac:dyDescent="0.2">
      <c r="A271" s="221" t="s">
        <v>340</v>
      </c>
      <c r="B271" s="221" t="s">
        <v>341</v>
      </c>
      <c r="C271" s="221" t="s">
        <v>343</v>
      </c>
      <c r="D271" s="222">
        <v>2.6865209235555598</v>
      </c>
      <c r="E271" s="223"/>
      <c r="F271" s="224">
        <v>0.05</v>
      </c>
      <c r="G271" s="224">
        <v>3.7999999999999999E-2</v>
      </c>
      <c r="H271" s="225"/>
      <c r="I271" s="226">
        <v>4</v>
      </c>
      <c r="J271" s="226">
        <v>4</v>
      </c>
      <c r="K271" s="223"/>
      <c r="L271" s="227">
        <v>1001.21659</v>
      </c>
      <c r="M271" s="227">
        <v>-1.4468399999999999</v>
      </c>
      <c r="N271" s="227">
        <v>999.76975000000004</v>
      </c>
      <c r="O271" s="222">
        <v>372.14292330052803</v>
      </c>
      <c r="P271" s="228">
        <v>212.5</v>
      </c>
      <c r="Q271" s="234">
        <v>1.7512608155319001</v>
      </c>
      <c r="R271" s="235">
        <v>376.36256968893201</v>
      </c>
      <c r="S271" s="224">
        <v>0.01</v>
      </c>
      <c r="T271" s="224">
        <v>0.01</v>
      </c>
      <c r="U271" s="231">
        <v>0</v>
      </c>
      <c r="V271" s="232">
        <v>0</v>
      </c>
      <c r="W271" s="223"/>
      <c r="X271" s="231">
        <v>1813.68958</v>
      </c>
      <c r="Y271" s="222">
        <v>675.10718569041296</v>
      </c>
      <c r="Z271" s="233">
        <v>573</v>
      </c>
      <c r="AA271" s="234">
        <v>1.1781975317459199</v>
      </c>
      <c r="AB271" s="235">
        <v>132.69045379650899</v>
      </c>
      <c r="AC271" s="224">
        <v>0.02</v>
      </c>
      <c r="AD271" s="224">
        <v>1.7999999999999999E-2</v>
      </c>
      <c r="AE271" s="232">
        <v>0</v>
      </c>
      <c r="AF271" s="232">
        <v>34</v>
      </c>
      <c r="AG271" s="223"/>
      <c r="AH271" s="236">
        <v>150.9</v>
      </c>
      <c r="AI271" s="222">
        <v>56.169300107399501</v>
      </c>
      <c r="AJ271" s="237" t="s">
        <v>54</v>
      </c>
      <c r="AK271" s="244">
        <v>0.89157619218094397</v>
      </c>
      <c r="AL271" s="227">
        <v>-33.921893456928302</v>
      </c>
      <c r="AM271" s="224"/>
      <c r="AN271" s="224"/>
      <c r="AO271" s="232">
        <v>19</v>
      </c>
      <c r="AP271" s="232">
        <v>53</v>
      </c>
      <c r="AQ271" s="223"/>
      <c r="AR271" s="236">
        <v>15</v>
      </c>
      <c r="AS271" s="222">
        <v>5.58342943413514</v>
      </c>
      <c r="AT271" s="237" t="s">
        <v>55</v>
      </c>
      <c r="AU271" s="229">
        <v>0.34896433963344597</v>
      </c>
      <c r="AV271" s="230">
        <v>-31.938893576362702</v>
      </c>
      <c r="AW271" s="224"/>
      <c r="AX271" s="224"/>
      <c r="AY271" s="232">
        <v>28</v>
      </c>
      <c r="AZ271" s="232">
        <v>37</v>
      </c>
      <c r="BA271" s="223"/>
      <c r="BB271" s="240">
        <v>94.4</v>
      </c>
      <c r="BC271" s="236">
        <v>35.138382572157099</v>
      </c>
      <c r="BD271" s="237" t="s">
        <v>56</v>
      </c>
      <c r="BE271" s="234">
        <v>1.09807445537991</v>
      </c>
      <c r="BF271" s="235">
        <v>0.522212847274517</v>
      </c>
      <c r="BG271" s="224">
        <v>0.02</v>
      </c>
      <c r="BH271" s="224">
        <v>0.01</v>
      </c>
      <c r="BI271" s="232">
        <v>0</v>
      </c>
      <c r="BJ271" s="232">
        <v>9</v>
      </c>
      <c r="BK271" s="225"/>
      <c r="BL271" s="241">
        <v>0.8</v>
      </c>
      <c r="BM271" s="244">
        <v>0.75</v>
      </c>
      <c r="BN271" s="242"/>
      <c r="BO271" s="243">
        <v>0.95</v>
      </c>
      <c r="BP271" s="234">
        <v>1</v>
      </c>
      <c r="BQ271" s="242">
        <v>2.5000000000000001E-3</v>
      </c>
    </row>
    <row r="272" spans="1:69" s="211" customFormat="1" ht="22.35" customHeight="1" x14ac:dyDescent="0.2">
      <c r="A272" s="221" t="s">
        <v>340</v>
      </c>
      <c r="B272" s="221" t="s">
        <v>341</v>
      </c>
      <c r="C272" s="221" t="s">
        <v>344</v>
      </c>
      <c r="D272" s="222">
        <v>1</v>
      </c>
      <c r="E272" s="223"/>
      <c r="F272" s="224">
        <v>0.03</v>
      </c>
      <c r="G272" s="224">
        <v>0.03</v>
      </c>
      <c r="H272" s="225"/>
      <c r="I272" s="226">
        <v>4</v>
      </c>
      <c r="J272" s="226">
        <v>4</v>
      </c>
      <c r="K272" s="223"/>
      <c r="L272" s="227">
        <v>514.62725</v>
      </c>
      <c r="M272" s="227">
        <v>218.01485</v>
      </c>
      <c r="N272" s="227">
        <v>732.64210000000003</v>
      </c>
      <c r="O272" s="222">
        <v>732.64210000000003</v>
      </c>
      <c r="P272" s="228">
        <v>212.5</v>
      </c>
      <c r="Q272" s="234">
        <v>3.4477275294117602</v>
      </c>
      <c r="R272" s="235">
        <v>500.59210000000002</v>
      </c>
      <c r="S272" s="224">
        <v>0.01</v>
      </c>
      <c r="T272" s="224">
        <v>0.01</v>
      </c>
      <c r="U272" s="231">
        <v>0</v>
      </c>
      <c r="V272" s="232">
        <v>0</v>
      </c>
      <c r="W272" s="223"/>
      <c r="X272" s="231">
        <v>350.08732500000002</v>
      </c>
      <c r="Y272" s="222">
        <v>350.08732500000002</v>
      </c>
      <c r="Z272" s="233">
        <v>573</v>
      </c>
      <c r="AA272" s="229">
        <v>0.61097264397905804</v>
      </c>
      <c r="AB272" s="230">
        <v>-275.62867499999999</v>
      </c>
      <c r="AC272" s="224"/>
      <c r="AD272" s="224"/>
      <c r="AE272" s="232">
        <v>223</v>
      </c>
      <c r="AF272" s="232">
        <v>338</v>
      </c>
      <c r="AG272" s="223"/>
      <c r="AH272" s="236">
        <v>52.7</v>
      </c>
      <c r="AI272" s="222">
        <v>52.7</v>
      </c>
      <c r="AJ272" s="237" t="s">
        <v>54</v>
      </c>
      <c r="AK272" s="244">
        <v>0.83650793650793698</v>
      </c>
      <c r="AL272" s="227">
        <v>-16.096</v>
      </c>
      <c r="AM272" s="224"/>
      <c r="AN272" s="224"/>
      <c r="AO272" s="232">
        <v>11</v>
      </c>
      <c r="AP272" s="232">
        <v>23</v>
      </c>
      <c r="AQ272" s="223"/>
      <c r="AR272" s="236">
        <v>1</v>
      </c>
      <c r="AS272" s="222">
        <v>1</v>
      </c>
      <c r="AT272" s="237" t="s">
        <v>55</v>
      </c>
      <c r="AU272" s="229">
        <v>6.25E-2</v>
      </c>
      <c r="AV272" s="230">
        <v>-16.472000000000001</v>
      </c>
      <c r="AW272" s="224"/>
      <c r="AX272" s="224"/>
      <c r="AY272" s="232">
        <v>15</v>
      </c>
      <c r="AZ272" s="232">
        <v>19</v>
      </c>
      <c r="BA272" s="223"/>
      <c r="BB272" s="240">
        <v>47.2</v>
      </c>
      <c r="BC272" s="236">
        <v>47.2</v>
      </c>
      <c r="BD272" s="237" t="s">
        <v>56</v>
      </c>
      <c r="BE272" s="234">
        <v>1.4750000000000001</v>
      </c>
      <c r="BF272" s="235">
        <v>12.256</v>
      </c>
      <c r="BG272" s="224">
        <v>0.02</v>
      </c>
      <c r="BH272" s="224">
        <v>0.02</v>
      </c>
      <c r="BI272" s="232">
        <v>0</v>
      </c>
      <c r="BJ272" s="232">
        <v>0</v>
      </c>
      <c r="BK272" s="225"/>
      <c r="BL272" s="241">
        <v>0.8</v>
      </c>
      <c r="BM272" s="238">
        <v>0.85</v>
      </c>
      <c r="BN272" s="242">
        <v>1.8749999999999999E-3</v>
      </c>
      <c r="BO272" s="243">
        <v>0.95</v>
      </c>
      <c r="BP272" s="234">
        <v>1</v>
      </c>
      <c r="BQ272" s="242">
        <v>2.5000000000000001E-3</v>
      </c>
    </row>
    <row r="273" spans="1:69" s="211" customFormat="1" ht="22.35" customHeight="1" x14ac:dyDescent="0.2">
      <c r="A273" s="221" t="s">
        <v>340</v>
      </c>
      <c r="B273" s="221" t="s">
        <v>341</v>
      </c>
      <c r="C273" s="221" t="s">
        <v>345</v>
      </c>
      <c r="D273" s="222">
        <v>2.6251377059999998</v>
      </c>
      <c r="E273" s="223"/>
      <c r="F273" s="224"/>
      <c r="G273" s="224"/>
      <c r="H273" s="225"/>
      <c r="I273" s="226">
        <v>2</v>
      </c>
      <c r="J273" s="226">
        <v>2</v>
      </c>
      <c r="K273" s="223"/>
      <c r="L273" s="227">
        <v>833.91980000000001</v>
      </c>
      <c r="M273" s="227">
        <v>-689.75621999999998</v>
      </c>
      <c r="N273" s="227">
        <v>144.16358</v>
      </c>
      <c r="O273" s="222">
        <v>54.9165781553099</v>
      </c>
      <c r="P273" s="228">
        <v>212.5</v>
      </c>
      <c r="Q273" s="229">
        <v>0.258430956024988</v>
      </c>
      <c r="R273" s="230">
        <v>-464.99962467730001</v>
      </c>
      <c r="S273" s="224"/>
      <c r="T273" s="224"/>
      <c r="U273" s="231">
        <v>414</v>
      </c>
      <c r="V273" s="232">
        <v>526</v>
      </c>
      <c r="W273" s="223"/>
      <c r="X273" s="231">
        <v>1338.5396599999999</v>
      </c>
      <c r="Y273" s="222">
        <v>509.89312177439001</v>
      </c>
      <c r="Z273" s="233">
        <v>573</v>
      </c>
      <c r="AA273" s="244">
        <v>0.88986583206699799</v>
      </c>
      <c r="AB273" s="227">
        <v>-304.05100484749602</v>
      </c>
      <c r="AC273" s="224"/>
      <c r="AD273" s="224"/>
      <c r="AE273" s="232">
        <v>166</v>
      </c>
      <c r="AF273" s="232">
        <v>467</v>
      </c>
      <c r="AG273" s="223"/>
      <c r="AH273" s="236">
        <v>76.2</v>
      </c>
      <c r="AI273" s="222">
        <v>29.027048686184202</v>
      </c>
      <c r="AJ273" s="237" t="s">
        <v>54</v>
      </c>
      <c r="AK273" s="229">
        <v>0.46074680454260702</v>
      </c>
      <c r="AL273" s="230">
        <v>-104.398973621976</v>
      </c>
      <c r="AM273" s="224"/>
      <c r="AN273" s="224"/>
      <c r="AO273" s="232">
        <v>90</v>
      </c>
      <c r="AP273" s="232">
        <v>123</v>
      </c>
      <c r="AQ273" s="223"/>
      <c r="AR273" s="236">
        <v>6</v>
      </c>
      <c r="AS273" s="222">
        <v>2.28559438473892</v>
      </c>
      <c r="AT273" s="237" t="s">
        <v>55</v>
      </c>
      <c r="AU273" s="229">
        <v>0.142849649046182</v>
      </c>
      <c r="AV273" s="230">
        <v>-39.866405999232001</v>
      </c>
      <c r="AW273" s="224"/>
      <c r="AX273" s="224"/>
      <c r="AY273" s="232">
        <v>37</v>
      </c>
      <c r="AZ273" s="232">
        <v>45</v>
      </c>
      <c r="BA273" s="223"/>
      <c r="BB273" s="240">
        <v>42.6</v>
      </c>
      <c r="BC273" s="236">
        <v>16.227720131646301</v>
      </c>
      <c r="BD273" s="237" t="s">
        <v>56</v>
      </c>
      <c r="BE273" s="229">
        <v>0.50711625411394701</v>
      </c>
      <c r="BF273" s="230">
        <v>-49.132811998464</v>
      </c>
      <c r="BG273" s="224"/>
      <c r="BH273" s="224"/>
      <c r="BI273" s="232">
        <v>42</v>
      </c>
      <c r="BJ273" s="232">
        <v>59</v>
      </c>
      <c r="BK273" s="225"/>
      <c r="BL273" s="241">
        <v>0.8</v>
      </c>
      <c r="BM273" s="238">
        <v>0.82</v>
      </c>
      <c r="BN273" s="242">
        <v>7.5000000000000002E-4</v>
      </c>
      <c r="BO273" s="243">
        <v>0.95</v>
      </c>
      <c r="BP273" s="234">
        <v>1</v>
      </c>
      <c r="BQ273" s="242">
        <v>2.5000000000000001E-3</v>
      </c>
    </row>
    <row r="274" spans="1:69" s="211" customFormat="1" ht="22.35" customHeight="1" x14ac:dyDescent="0.2">
      <c r="A274" s="221" t="s">
        <v>340</v>
      </c>
      <c r="B274" s="221" t="s">
        <v>341</v>
      </c>
      <c r="C274" s="221" t="s">
        <v>346</v>
      </c>
      <c r="D274" s="222">
        <v>4.5014537384444404</v>
      </c>
      <c r="E274" s="223"/>
      <c r="F274" s="224">
        <v>0.01</v>
      </c>
      <c r="G274" s="224">
        <v>0.01</v>
      </c>
      <c r="H274" s="225"/>
      <c r="I274" s="226">
        <v>3</v>
      </c>
      <c r="J274" s="226">
        <v>3</v>
      </c>
      <c r="K274" s="223"/>
      <c r="L274" s="227">
        <v>3027.5766699999999</v>
      </c>
      <c r="M274" s="227">
        <v>-384.52537999999998</v>
      </c>
      <c r="N274" s="227">
        <v>2643.0512899999999</v>
      </c>
      <c r="O274" s="222">
        <v>587.155048918342</v>
      </c>
      <c r="P274" s="228">
        <v>218.52799999999999</v>
      </c>
      <c r="Q274" s="234">
        <v>2.68686414975812</v>
      </c>
      <c r="R274" s="235">
        <v>1568.8577886501701</v>
      </c>
      <c r="S274" s="224">
        <v>0.01</v>
      </c>
      <c r="T274" s="224">
        <v>0.01</v>
      </c>
      <c r="U274" s="231">
        <v>0</v>
      </c>
      <c r="V274" s="232">
        <v>0</v>
      </c>
      <c r="W274" s="223"/>
      <c r="X274" s="231">
        <v>2270.2101600000001</v>
      </c>
      <c r="Y274" s="222">
        <v>504.32822192781401</v>
      </c>
      <c r="Z274" s="233">
        <v>573</v>
      </c>
      <c r="AA274" s="244">
        <v>0.88015396497000797</v>
      </c>
      <c r="AB274" s="227">
        <v>-546.42146740450096</v>
      </c>
      <c r="AC274" s="224"/>
      <c r="AD274" s="224"/>
      <c r="AE274" s="232">
        <v>310</v>
      </c>
      <c r="AF274" s="232">
        <v>825</v>
      </c>
      <c r="AG274" s="223"/>
      <c r="AH274" s="236">
        <v>168.4</v>
      </c>
      <c r="AI274" s="222">
        <v>37.410136765771497</v>
      </c>
      <c r="AJ274" s="237" t="s">
        <v>54</v>
      </c>
      <c r="AK274" s="229">
        <v>0.59381169469478501</v>
      </c>
      <c r="AL274" s="230">
        <v>-141.282011390024</v>
      </c>
      <c r="AM274" s="224"/>
      <c r="AN274" s="224"/>
      <c r="AO274" s="232">
        <v>116</v>
      </c>
      <c r="AP274" s="232">
        <v>172</v>
      </c>
      <c r="AQ274" s="223"/>
      <c r="AR274" s="236">
        <v>19.3</v>
      </c>
      <c r="AS274" s="222">
        <v>4.2875037979773696</v>
      </c>
      <c r="AT274" s="237" t="s">
        <v>55</v>
      </c>
      <c r="AU274" s="229">
        <v>0.26796898737358599</v>
      </c>
      <c r="AV274" s="230">
        <v>-59.349399718101303</v>
      </c>
      <c r="AW274" s="224"/>
      <c r="AX274" s="224"/>
      <c r="AY274" s="232">
        <v>53</v>
      </c>
      <c r="AZ274" s="232">
        <v>68</v>
      </c>
      <c r="BA274" s="223"/>
      <c r="BB274" s="240">
        <v>121.4</v>
      </c>
      <c r="BC274" s="236">
        <v>26.969065340645201</v>
      </c>
      <c r="BD274" s="237" t="s">
        <v>56</v>
      </c>
      <c r="BE274" s="244">
        <v>0.84278329189516299</v>
      </c>
      <c r="BF274" s="227">
        <v>-35.898799436202502</v>
      </c>
      <c r="BG274" s="224"/>
      <c r="BH274" s="224"/>
      <c r="BI274" s="232">
        <v>23</v>
      </c>
      <c r="BJ274" s="232">
        <v>52</v>
      </c>
      <c r="BK274" s="225"/>
      <c r="BL274" s="241">
        <v>0.8</v>
      </c>
      <c r="BM274" s="238">
        <v>0.85</v>
      </c>
      <c r="BN274" s="242">
        <v>1.8749999999999999E-3</v>
      </c>
      <c r="BO274" s="243">
        <v>0.95</v>
      </c>
      <c r="BP274" s="234">
        <v>1</v>
      </c>
      <c r="BQ274" s="242">
        <v>2.5000000000000001E-3</v>
      </c>
    </row>
    <row r="275" spans="1:69" s="211" customFormat="1" ht="22.35" customHeight="1" x14ac:dyDescent="0.2">
      <c r="A275" s="221" t="s">
        <v>340</v>
      </c>
      <c r="B275" s="221" t="s">
        <v>341</v>
      </c>
      <c r="C275" s="221" t="s">
        <v>347</v>
      </c>
      <c r="D275" s="222">
        <v>8.6759634033333306</v>
      </c>
      <c r="E275" s="223"/>
      <c r="F275" s="224">
        <v>0.03</v>
      </c>
      <c r="G275" s="224">
        <v>0.03</v>
      </c>
      <c r="H275" s="225"/>
      <c r="I275" s="226">
        <v>3</v>
      </c>
      <c r="J275" s="226">
        <v>3</v>
      </c>
      <c r="K275" s="223"/>
      <c r="L275" s="227">
        <v>7631.9891200000002</v>
      </c>
      <c r="M275" s="227">
        <v>3186.8014199999998</v>
      </c>
      <c r="N275" s="227">
        <v>10818.79054</v>
      </c>
      <c r="O275" s="222">
        <v>1246.9843447983401</v>
      </c>
      <c r="P275" s="228">
        <v>246.08699999999999</v>
      </c>
      <c r="Q275" s="234">
        <v>5.0672499758148097</v>
      </c>
      <c r="R275" s="235">
        <v>8487.3248878085906</v>
      </c>
      <c r="S275" s="224">
        <v>0.01</v>
      </c>
      <c r="T275" s="224">
        <v>0.01</v>
      </c>
      <c r="U275" s="231">
        <v>0</v>
      </c>
      <c r="V275" s="232">
        <v>0</v>
      </c>
      <c r="W275" s="223"/>
      <c r="X275" s="231">
        <v>4043.9040599999998</v>
      </c>
      <c r="Y275" s="222">
        <v>466.10432432740799</v>
      </c>
      <c r="Z275" s="233">
        <v>573</v>
      </c>
      <c r="AA275" s="244">
        <v>0.81344559219442902</v>
      </c>
      <c r="AB275" s="227">
        <v>-1384.78505688012</v>
      </c>
      <c r="AC275" s="224"/>
      <c r="AD275" s="224"/>
      <c r="AE275" s="232">
        <v>928</v>
      </c>
      <c r="AF275" s="232">
        <v>1922</v>
      </c>
      <c r="AG275" s="223"/>
      <c r="AH275" s="236">
        <v>477.15</v>
      </c>
      <c r="AI275" s="222">
        <v>54.996774169964503</v>
      </c>
      <c r="AJ275" s="237" t="s">
        <v>54</v>
      </c>
      <c r="AK275" s="244">
        <v>0.872964669364516</v>
      </c>
      <c r="AL275" s="227">
        <v>-119.72157829571999</v>
      </c>
      <c r="AM275" s="224"/>
      <c r="AN275" s="224"/>
      <c r="AO275" s="232">
        <v>70</v>
      </c>
      <c r="AP275" s="232">
        <v>179</v>
      </c>
      <c r="AQ275" s="223"/>
      <c r="AR275" s="236">
        <v>45.7</v>
      </c>
      <c r="AS275" s="222">
        <v>5.2674265525880299</v>
      </c>
      <c r="AT275" s="237" t="s">
        <v>55</v>
      </c>
      <c r="AU275" s="229">
        <v>0.32921415953675198</v>
      </c>
      <c r="AV275" s="230">
        <v>-105.88643258304</v>
      </c>
      <c r="AW275" s="224"/>
      <c r="AX275" s="224"/>
      <c r="AY275" s="232">
        <v>94</v>
      </c>
      <c r="AZ275" s="232">
        <v>121</v>
      </c>
      <c r="BA275" s="223"/>
      <c r="BB275" s="240">
        <v>525.79999999999995</v>
      </c>
      <c r="BC275" s="236">
        <v>60.604220598485398</v>
      </c>
      <c r="BD275" s="237" t="s">
        <v>56</v>
      </c>
      <c r="BE275" s="234">
        <v>1.89388189370267</v>
      </c>
      <c r="BF275" s="235">
        <v>222.62713483392</v>
      </c>
      <c r="BG275" s="224">
        <v>0.02</v>
      </c>
      <c r="BH275" s="224">
        <v>0.02</v>
      </c>
      <c r="BI275" s="232">
        <v>0</v>
      </c>
      <c r="BJ275" s="232">
        <v>0</v>
      </c>
      <c r="BK275" s="225"/>
      <c r="BL275" s="241">
        <v>0.8</v>
      </c>
      <c r="BM275" s="244">
        <v>0.74</v>
      </c>
      <c r="BN275" s="242"/>
      <c r="BO275" s="243">
        <v>0.95</v>
      </c>
      <c r="BP275" s="234">
        <v>1</v>
      </c>
      <c r="BQ275" s="242">
        <v>2.5000000000000001E-3</v>
      </c>
    </row>
    <row r="276" spans="1:69" s="211" customFormat="1" ht="22.35" customHeight="1" x14ac:dyDescent="0.2">
      <c r="A276" s="221" t="s">
        <v>340</v>
      </c>
      <c r="B276" s="221" t="s">
        <v>341</v>
      </c>
      <c r="C276" s="221" t="s">
        <v>348</v>
      </c>
      <c r="D276" s="222">
        <v>1.8989247312222199</v>
      </c>
      <c r="E276" s="223"/>
      <c r="F276" s="224">
        <v>0.03</v>
      </c>
      <c r="G276" s="224">
        <v>0.03</v>
      </c>
      <c r="H276" s="225"/>
      <c r="I276" s="226">
        <v>3</v>
      </c>
      <c r="J276" s="226">
        <v>3</v>
      </c>
      <c r="K276" s="223"/>
      <c r="L276" s="227">
        <v>713.65629000000001</v>
      </c>
      <c r="M276" s="227">
        <v>515.44054000000006</v>
      </c>
      <c r="N276" s="227">
        <v>1229.09683</v>
      </c>
      <c r="O276" s="222">
        <v>647.25937252336803</v>
      </c>
      <c r="P276" s="228">
        <v>246.08699999999999</v>
      </c>
      <c r="Q276" s="234">
        <v>2.6302054660480501</v>
      </c>
      <c r="R276" s="235">
        <v>718.80447615714797</v>
      </c>
      <c r="S276" s="224">
        <v>0.01</v>
      </c>
      <c r="T276" s="224">
        <v>0.01</v>
      </c>
      <c r="U276" s="231">
        <v>0</v>
      </c>
      <c r="V276" s="232">
        <v>0</v>
      </c>
      <c r="W276" s="223"/>
      <c r="X276" s="231">
        <v>967.82832499999995</v>
      </c>
      <c r="Y276" s="222">
        <v>509.6717679679</v>
      </c>
      <c r="Z276" s="233">
        <v>573</v>
      </c>
      <c r="AA276" s="244">
        <v>0.88947952524939</v>
      </c>
      <c r="AB276" s="227">
        <v>-220.35926212144301</v>
      </c>
      <c r="AC276" s="224"/>
      <c r="AD276" s="224"/>
      <c r="AE276" s="232">
        <v>121</v>
      </c>
      <c r="AF276" s="232">
        <v>338</v>
      </c>
      <c r="AG276" s="223"/>
      <c r="AH276" s="236">
        <v>99.7</v>
      </c>
      <c r="AI276" s="222">
        <v>52.503397507403697</v>
      </c>
      <c r="AJ276" s="237" t="s">
        <v>54</v>
      </c>
      <c r="AK276" s="244">
        <v>0.83338726202227997</v>
      </c>
      <c r="AL276" s="227">
        <v>-30.938425809163899</v>
      </c>
      <c r="AM276" s="224"/>
      <c r="AN276" s="224"/>
      <c r="AO276" s="232">
        <v>20</v>
      </c>
      <c r="AP276" s="232">
        <v>44</v>
      </c>
      <c r="AQ276" s="223"/>
      <c r="AR276" s="236">
        <v>15.8</v>
      </c>
      <c r="AS276" s="222">
        <v>8.320498301073</v>
      </c>
      <c r="AT276" s="237" t="s">
        <v>55</v>
      </c>
      <c r="AU276" s="229">
        <v>0.52003114381706295</v>
      </c>
      <c r="AV276" s="230">
        <v>-17.378012903914598</v>
      </c>
      <c r="AW276" s="224"/>
      <c r="AX276" s="224"/>
      <c r="AY276" s="232">
        <v>15</v>
      </c>
      <c r="AZ276" s="232">
        <v>21</v>
      </c>
      <c r="BA276" s="223"/>
      <c r="BB276" s="240">
        <v>82.4</v>
      </c>
      <c r="BC276" s="236">
        <v>43.3929784815452</v>
      </c>
      <c r="BD276" s="237" t="s">
        <v>56</v>
      </c>
      <c r="BE276" s="234">
        <v>1.3560305775482899</v>
      </c>
      <c r="BF276" s="235">
        <v>16.043974192170801</v>
      </c>
      <c r="BG276" s="224">
        <v>0.02</v>
      </c>
      <c r="BH276" s="224">
        <v>0.02</v>
      </c>
      <c r="BI276" s="232">
        <v>0</v>
      </c>
      <c r="BJ276" s="232">
        <v>0</v>
      </c>
      <c r="BK276" s="225"/>
      <c r="BL276" s="241">
        <v>0.8</v>
      </c>
      <c r="BM276" s="244">
        <v>0.78</v>
      </c>
      <c r="BN276" s="242"/>
      <c r="BO276" s="243">
        <v>0.95</v>
      </c>
      <c r="BP276" s="234">
        <v>1</v>
      </c>
      <c r="BQ276" s="242">
        <v>2.5000000000000001E-3</v>
      </c>
    </row>
    <row r="277" spans="1:69" s="211" customFormat="1" ht="22.35" customHeight="1" x14ac:dyDescent="0.2">
      <c r="A277" s="221" t="s">
        <v>340</v>
      </c>
      <c r="B277" s="221" t="s">
        <v>341</v>
      </c>
      <c r="C277" s="221" t="s">
        <v>349</v>
      </c>
      <c r="D277" s="222">
        <v>1.8613756613333301</v>
      </c>
      <c r="E277" s="223"/>
      <c r="F277" s="224">
        <v>0.08</v>
      </c>
      <c r="G277" s="224">
        <v>7.8E-2</v>
      </c>
      <c r="H277" s="225"/>
      <c r="I277" s="226">
        <v>7</v>
      </c>
      <c r="J277" s="226">
        <v>7</v>
      </c>
      <c r="K277" s="223"/>
      <c r="L277" s="227">
        <v>1223.3950199999999</v>
      </c>
      <c r="M277" s="227">
        <v>2767.9848499999998</v>
      </c>
      <c r="N277" s="227">
        <v>3991.3798700000002</v>
      </c>
      <c r="O277" s="222">
        <v>2144.3172127548501</v>
      </c>
      <c r="P277" s="228">
        <v>246.08699999999999</v>
      </c>
      <c r="Q277" s="234">
        <v>8.7136549787467406</v>
      </c>
      <c r="R277" s="235">
        <v>3491.1779652113801</v>
      </c>
      <c r="S277" s="224">
        <v>0.01</v>
      </c>
      <c r="T277" s="224">
        <v>0.01</v>
      </c>
      <c r="U277" s="231">
        <v>0</v>
      </c>
      <c r="V277" s="232">
        <v>0</v>
      </c>
      <c r="W277" s="223"/>
      <c r="X277" s="231">
        <v>1735.630355</v>
      </c>
      <c r="Y277" s="222">
        <v>932.44496049590498</v>
      </c>
      <c r="Z277" s="233">
        <v>573</v>
      </c>
      <c r="AA277" s="234">
        <v>1.62730359597889</v>
      </c>
      <c r="AB277" s="235">
        <v>570.93782169315398</v>
      </c>
      <c r="AC277" s="224">
        <v>0.02</v>
      </c>
      <c r="AD277" s="224">
        <v>0.02</v>
      </c>
      <c r="AE277" s="232">
        <v>0</v>
      </c>
      <c r="AF277" s="232">
        <v>0</v>
      </c>
      <c r="AG277" s="223"/>
      <c r="AH277" s="236">
        <v>138.80000000000001</v>
      </c>
      <c r="AI277" s="222">
        <v>74.568504833986793</v>
      </c>
      <c r="AJ277" s="237" t="s">
        <v>54</v>
      </c>
      <c r="AK277" s="234">
        <v>1.1836270608569299</v>
      </c>
      <c r="AL277" s="235">
        <v>10.7448000029122</v>
      </c>
      <c r="AM277" s="224">
        <v>0.02</v>
      </c>
      <c r="AN277" s="224">
        <v>1.7999999999999999E-2</v>
      </c>
      <c r="AO277" s="232">
        <v>0</v>
      </c>
      <c r="AP277" s="232">
        <v>2</v>
      </c>
      <c r="AQ277" s="223"/>
      <c r="AR277" s="236">
        <v>46</v>
      </c>
      <c r="AS277" s="222">
        <v>24.712905060255</v>
      </c>
      <c r="AT277" s="237" t="s">
        <v>55</v>
      </c>
      <c r="AU277" s="234">
        <v>1.54455656626594</v>
      </c>
      <c r="AV277" s="235">
        <v>13.4780444451841</v>
      </c>
      <c r="AW277" s="224">
        <v>0.01</v>
      </c>
      <c r="AX277" s="224">
        <v>0.01</v>
      </c>
      <c r="AY277" s="232">
        <v>0</v>
      </c>
      <c r="AZ277" s="232">
        <v>0</v>
      </c>
      <c r="BA277" s="223"/>
      <c r="BB277" s="240">
        <v>105.8</v>
      </c>
      <c r="BC277" s="236">
        <v>56.839681638586498</v>
      </c>
      <c r="BD277" s="237" t="s">
        <v>56</v>
      </c>
      <c r="BE277" s="234">
        <v>1.7762400512058301</v>
      </c>
      <c r="BF277" s="235">
        <v>40.756088890368098</v>
      </c>
      <c r="BG277" s="224">
        <v>0.02</v>
      </c>
      <c r="BH277" s="224">
        <v>0.02</v>
      </c>
      <c r="BI277" s="232">
        <v>0</v>
      </c>
      <c r="BJ277" s="232">
        <v>0</v>
      </c>
      <c r="BK277" s="225"/>
      <c r="BL277" s="241">
        <v>0.8</v>
      </c>
      <c r="BM277" s="238">
        <v>0.87</v>
      </c>
      <c r="BN277" s="242">
        <v>2.6250000000000002E-3</v>
      </c>
      <c r="BO277" s="243">
        <v>0.95</v>
      </c>
      <c r="BP277" s="234">
        <v>1</v>
      </c>
      <c r="BQ277" s="242">
        <v>2.5000000000000001E-3</v>
      </c>
    </row>
    <row r="278" spans="1:69" s="211" customFormat="1" ht="22.35" customHeight="1" x14ac:dyDescent="0.2">
      <c r="A278" s="221" t="s">
        <v>340</v>
      </c>
      <c r="B278" s="221" t="s">
        <v>341</v>
      </c>
      <c r="C278" s="221" t="s">
        <v>350</v>
      </c>
      <c r="D278" s="222">
        <v>4.0649831650000001</v>
      </c>
      <c r="E278" s="223"/>
      <c r="F278" s="224">
        <v>2.7E-2</v>
      </c>
      <c r="G278" s="224">
        <v>1.6E-2</v>
      </c>
      <c r="H278" s="225"/>
      <c r="I278" s="226">
        <v>3</v>
      </c>
      <c r="J278" s="226">
        <v>3</v>
      </c>
      <c r="K278" s="223"/>
      <c r="L278" s="227">
        <v>986.04044999999996</v>
      </c>
      <c r="M278" s="227">
        <v>549.07835999999998</v>
      </c>
      <c r="N278" s="227">
        <v>1535.1188099999999</v>
      </c>
      <c r="O278" s="222">
        <v>377.64456768666599</v>
      </c>
      <c r="P278" s="228">
        <v>212.5</v>
      </c>
      <c r="Q278" s="234">
        <v>1.77715090676078</v>
      </c>
      <c r="R278" s="235">
        <v>591.83946656174999</v>
      </c>
      <c r="S278" s="224">
        <v>0.01</v>
      </c>
      <c r="T278" s="224">
        <v>0.01</v>
      </c>
      <c r="U278" s="231">
        <v>0</v>
      </c>
      <c r="V278" s="232">
        <v>0</v>
      </c>
      <c r="W278" s="223"/>
      <c r="X278" s="231">
        <v>1466.93417</v>
      </c>
      <c r="Y278" s="222">
        <v>360.87090904348202</v>
      </c>
      <c r="Z278" s="233">
        <v>573</v>
      </c>
      <c r="AA278" s="229">
        <v>0.62979216237954905</v>
      </c>
      <c r="AB278" s="230">
        <v>-1076.5908360711401</v>
      </c>
      <c r="AC278" s="224"/>
      <c r="AD278" s="224"/>
      <c r="AE278" s="232">
        <v>863</v>
      </c>
      <c r="AF278" s="232">
        <v>1329</v>
      </c>
      <c r="AG278" s="223"/>
      <c r="AH278" s="236">
        <v>154.5</v>
      </c>
      <c r="AI278" s="222">
        <v>38.007537480170598</v>
      </c>
      <c r="AJ278" s="237" t="s">
        <v>54</v>
      </c>
      <c r="AK278" s="229">
        <v>0.60329424571699397</v>
      </c>
      <c r="AL278" s="230">
        <v>-125.15458181934</v>
      </c>
      <c r="AM278" s="224"/>
      <c r="AN278" s="224"/>
      <c r="AO278" s="232">
        <v>102</v>
      </c>
      <c r="AP278" s="232">
        <v>153</v>
      </c>
      <c r="AQ278" s="223"/>
      <c r="AR278" s="236">
        <v>23.4</v>
      </c>
      <c r="AS278" s="222">
        <v>5.7564814047636998</v>
      </c>
      <c r="AT278" s="237" t="s">
        <v>55</v>
      </c>
      <c r="AU278" s="229">
        <v>0.35978008779773102</v>
      </c>
      <c r="AV278" s="230">
        <v>-47.623385858879999</v>
      </c>
      <c r="AW278" s="224"/>
      <c r="AX278" s="224"/>
      <c r="AY278" s="232">
        <v>42</v>
      </c>
      <c r="AZ278" s="232">
        <v>55</v>
      </c>
      <c r="BA278" s="223"/>
      <c r="BB278" s="240">
        <v>138.4</v>
      </c>
      <c r="BC278" s="236">
        <v>34.046881470910101</v>
      </c>
      <c r="BD278" s="237" t="s">
        <v>56</v>
      </c>
      <c r="BE278" s="238">
        <v>1.06396504596594</v>
      </c>
      <c r="BF278" s="239">
        <v>-3.6467717177600001</v>
      </c>
      <c r="BG278" s="224">
        <v>1.7000000000000001E-2</v>
      </c>
      <c r="BH278" s="224">
        <v>6.0000000000000001E-3</v>
      </c>
      <c r="BI278" s="232">
        <v>0</v>
      </c>
      <c r="BJ278" s="232">
        <v>18</v>
      </c>
      <c r="BK278" s="225"/>
      <c r="BL278" s="241">
        <v>0.8</v>
      </c>
      <c r="BM278" s="244">
        <v>0.79</v>
      </c>
      <c r="BN278" s="242"/>
      <c r="BO278" s="243">
        <v>0.95</v>
      </c>
      <c r="BP278" s="234">
        <v>1</v>
      </c>
      <c r="BQ278" s="242">
        <v>2.5000000000000001E-3</v>
      </c>
    </row>
    <row r="279" spans="1:69" s="211" customFormat="1" ht="22.35" customHeight="1" x14ac:dyDescent="0.2">
      <c r="A279" s="221" t="s">
        <v>340</v>
      </c>
      <c r="B279" s="221" t="s">
        <v>341</v>
      </c>
      <c r="C279" s="221" t="s">
        <v>351</v>
      </c>
      <c r="D279" s="222">
        <v>2.7843147968888902</v>
      </c>
      <c r="E279" s="223"/>
      <c r="F279" s="224">
        <v>0.01</v>
      </c>
      <c r="G279" s="224">
        <v>0.01</v>
      </c>
      <c r="H279" s="225"/>
      <c r="I279" s="226">
        <v>3</v>
      </c>
      <c r="J279" s="226">
        <v>3</v>
      </c>
      <c r="K279" s="223"/>
      <c r="L279" s="227">
        <v>1261.4038700000001</v>
      </c>
      <c r="M279" s="227">
        <v>689.34803999999997</v>
      </c>
      <c r="N279" s="227">
        <v>1950.75191</v>
      </c>
      <c r="O279" s="222">
        <v>700.62189526116504</v>
      </c>
      <c r="P279" s="228">
        <v>243.43</v>
      </c>
      <c r="Q279" s="234">
        <v>2.8781246981110198</v>
      </c>
      <c r="R279" s="235">
        <v>1210.60986990072</v>
      </c>
      <c r="S279" s="224">
        <v>0.01</v>
      </c>
      <c r="T279" s="224">
        <v>0.01</v>
      </c>
      <c r="U279" s="231">
        <v>0</v>
      </c>
      <c r="V279" s="232">
        <v>0</v>
      </c>
      <c r="W279" s="223"/>
      <c r="X279" s="231">
        <v>761.92287499999998</v>
      </c>
      <c r="Y279" s="222">
        <v>273.64825121475099</v>
      </c>
      <c r="Z279" s="233">
        <v>573</v>
      </c>
      <c r="AA279" s="229">
        <v>0.47757111904843202</v>
      </c>
      <c r="AB279" s="230">
        <v>-980.26744245012901</v>
      </c>
      <c r="AC279" s="224"/>
      <c r="AD279" s="224"/>
      <c r="AE279" s="232">
        <v>834</v>
      </c>
      <c r="AF279" s="232">
        <v>1153</v>
      </c>
      <c r="AG279" s="223"/>
      <c r="AH279" s="236">
        <v>150.19999999999999</v>
      </c>
      <c r="AI279" s="222">
        <v>53.945049664581397</v>
      </c>
      <c r="AJ279" s="237" t="s">
        <v>54</v>
      </c>
      <c r="AK279" s="244">
        <v>0.85627062959653</v>
      </c>
      <c r="AL279" s="227">
        <v>-41.349720766768101</v>
      </c>
      <c r="AM279" s="224"/>
      <c r="AN279" s="224"/>
      <c r="AO279" s="232">
        <v>26</v>
      </c>
      <c r="AP279" s="232">
        <v>61</v>
      </c>
      <c r="AQ279" s="223"/>
      <c r="AR279" s="236">
        <v>8.8000000000000007</v>
      </c>
      <c r="AS279" s="222">
        <v>3.1605621641032999</v>
      </c>
      <c r="AT279" s="237" t="s">
        <v>55</v>
      </c>
      <c r="AU279" s="229">
        <v>0.197535135256456</v>
      </c>
      <c r="AV279" s="230">
        <v>-39.847548131242696</v>
      </c>
      <c r="AW279" s="224"/>
      <c r="AX279" s="224"/>
      <c r="AY279" s="232">
        <v>36</v>
      </c>
      <c r="AZ279" s="232">
        <v>45</v>
      </c>
      <c r="BA279" s="223"/>
      <c r="BB279" s="240">
        <v>78.8</v>
      </c>
      <c r="BC279" s="236">
        <v>28.301397560379598</v>
      </c>
      <c r="BD279" s="237" t="s">
        <v>56</v>
      </c>
      <c r="BE279" s="244">
        <v>0.88441867376186201</v>
      </c>
      <c r="BF279" s="227">
        <v>-18.495096262485401</v>
      </c>
      <c r="BG279" s="224"/>
      <c r="BH279" s="224"/>
      <c r="BI279" s="232">
        <v>11</v>
      </c>
      <c r="BJ279" s="232">
        <v>29</v>
      </c>
      <c r="BK279" s="225"/>
      <c r="BL279" s="241">
        <v>0.8</v>
      </c>
      <c r="BM279" s="238">
        <v>0.82</v>
      </c>
      <c r="BN279" s="242">
        <v>7.5000000000000002E-4</v>
      </c>
      <c r="BO279" s="243">
        <v>0.95</v>
      </c>
      <c r="BP279" s="234">
        <v>1</v>
      </c>
      <c r="BQ279" s="242">
        <v>2.5000000000000001E-3</v>
      </c>
    </row>
    <row r="280" spans="1:69" s="211" customFormat="1" ht="22.35" customHeight="1" x14ac:dyDescent="0.2">
      <c r="A280" s="221" t="s">
        <v>340</v>
      </c>
      <c r="B280" s="221" t="s">
        <v>341</v>
      </c>
      <c r="C280" s="221" t="s">
        <v>352</v>
      </c>
      <c r="D280" s="222">
        <v>4.6097894054444399</v>
      </c>
      <c r="E280" s="223"/>
      <c r="F280" s="224"/>
      <c r="G280" s="224"/>
      <c r="H280" s="225"/>
      <c r="I280" s="226">
        <v>1</v>
      </c>
      <c r="J280" s="226">
        <v>1</v>
      </c>
      <c r="K280" s="223"/>
      <c r="L280" s="227">
        <v>1167.36924</v>
      </c>
      <c r="M280" s="227">
        <v>-308.61471</v>
      </c>
      <c r="N280" s="227">
        <v>858.75453000000005</v>
      </c>
      <c r="O280" s="222">
        <v>186.28931920095101</v>
      </c>
      <c r="P280" s="228">
        <v>254.44499999999999</v>
      </c>
      <c r="Q280" s="244">
        <v>0.73213983061545895</v>
      </c>
      <c r="R280" s="227">
        <v>-422.09361887299502</v>
      </c>
      <c r="S280" s="224"/>
      <c r="T280" s="224"/>
      <c r="U280" s="231">
        <v>315</v>
      </c>
      <c r="V280" s="232">
        <v>549</v>
      </c>
      <c r="W280" s="223"/>
      <c r="X280" s="231">
        <v>1691.0319</v>
      </c>
      <c r="Y280" s="222">
        <v>366.834957363299</v>
      </c>
      <c r="Z280" s="233">
        <v>573</v>
      </c>
      <c r="AA280" s="229">
        <v>0.64020062367067898</v>
      </c>
      <c r="AB280" s="230">
        <v>-1193.3870876170699</v>
      </c>
      <c r="AC280" s="224"/>
      <c r="AD280" s="224"/>
      <c r="AE280" s="232">
        <v>951</v>
      </c>
      <c r="AF280" s="232">
        <v>1479</v>
      </c>
      <c r="AG280" s="223"/>
      <c r="AH280" s="236">
        <v>235.7</v>
      </c>
      <c r="AI280" s="222">
        <v>51.130318387565303</v>
      </c>
      <c r="AJ280" s="237" t="s">
        <v>54</v>
      </c>
      <c r="AK280" s="244">
        <v>0.81159235535817997</v>
      </c>
      <c r="AL280" s="227">
        <v>-81.435071936955694</v>
      </c>
      <c r="AM280" s="224"/>
      <c r="AN280" s="224"/>
      <c r="AO280" s="232">
        <v>55</v>
      </c>
      <c r="AP280" s="232">
        <v>113</v>
      </c>
      <c r="AQ280" s="223"/>
      <c r="AR280" s="236">
        <v>12</v>
      </c>
      <c r="AS280" s="222">
        <v>2.6031557940211498</v>
      </c>
      <c r="AT280" s="237" t="s">
        <v>55</v>
      </c>
      <c r="AU280" s="229">
        <v>0.162697237126322</v>
      </c>
      <c r="AV280" s="230">
        <v>-68.542240491925298</v>
      </c>
      <c r="AW280" s="224"/>
      <c r="AX280" s="224"/>
      <c r="AY280" s="232">
        <v>62</v>
      </c>
      <c r="AZ280" s="232">
        <v>77</v>
      </c>
      <c r="BA280" s="223"/>
      <c r="BB280" s="240">
        <v>117.2</v>
      </c>
      <c r="BC280" s="236">
        <v>25.424154921606501</v>
      </c>
      <c r="BD280" s="237" t="s">
        <v>56</v>
      </c>
      <c r="BE280" s="244">
        <v>0.79450484130020405</v>
      </c>
      <c r="BF280" s="227">
        <v>-43.884480983850501</v>
      </c>
      <c r="BG280" s="224"/>
      <c r="BH280" s="224"/>
      <c r="BI280" s="232">
        <v>31</v>
      </c>
      <c r="BJ280" s="232">
        <v>60</v>
      </c>
      <c r="BK280" s="225"/>
      <c r="BL280" s="241">
        <v>0.8</v>
      </c>
      <c r="BM280" s="244">
        <v>0.78</v>
      </c>
      <c r="BN280" s="242"/>
      <c r="BO280" s="243">
        <v>0.95</v>
      </c>
      <c r="BP280" s="234">
        <v>1</v>
      </c>
      <c r="BQ280" s="242">
        <v>2.5000000000000001E-3</v>
      </c>
    </row>
    <row r="281" spans="1:69" s="211" customFormat="1" ht="22.35" customHeight="1" x14ac:dyDescent="0.2">
      <c r="A281" s="221" t="s">
        <v>340</v>
      </c>
      <c r="B281" s="221" t="s">
        <v>341</v>
      </c>
      <c r="C281" s="221" t="s">
        <v>353</v>
      </c>
      <c r="D281" s="222">
        <v>4.6161616162222199</v>
      </c>
      <c r="E281" s="223"/>
      <c r="F281" s="224">
        <v>2.3E-2</v>
      </c>
      <c r="G281" s="224">
        <v>1.0999999999999999E-2</v>
      </c>
      <c r="H281" s="225"/>
      <c r="I281" s="226">
        <v>4</v>
      </c>
      <c r="J281" s="226">
        <v>3</v>
      </c>
      <c r="K281" s="223"/>
      <c r="L281" s="227">
        <v>2390.1131</v>
      </c>
      <c r="M281" s="227">
        <v>2494.7985399999998</v>
      </c>
      <c r="N281" s="227">
        <v>4884.9116400000003</v>
      </c>
      <c r="O281" s="222">
        <v>1058.21937057692</v>
      </c>
      <c r="P281" s="228">
        <v>212.5</v>
      </c>
      <c r="Q281" s="234">
        <v>4.9798558615384501</v>
      </c>
      <c r="R281" s="235">
        <v>3813.73133695563</v>
      </c>
      <c r="S281" s="224">
        <v>0.01</v>
      </c>
      <c r="T281" s="224">
        <v>0.01</v>
      </c>
      <c r="U281" s="231">
        <v>0</v>
      </c>
      <c r="V281" s="232">
        <v>0</v>
      </c>
      <c r="W281" s="223"/>
      <c r="X281" s="231">
        <v>2472.6652250000002</v>
      </c>
      <c r="Y281" s="222">
        <v>535.65395464285803</v>
      </c>
      <c r="Z281" s="233">
        <v>573</v>
      </c>
      <c r="AA281" s="238">
        <v>0.93482365557217795</v>
      </c>
      <c r="AB281" s="239">
        <v>-415.740956856102</v>
      </c>
      <c r="AC281" s="224">
        <v>3.0000000000000001E-3</v>
      </c>
      <c r="AD281" s="224"/>
      <c r="AE281" s="232">
        <v>173</v>
      </c>
      <c r="AF281" s="232">
        <v>702</v>
      </c>
      <c r="AG281" s="223"/>
      <c r="AH281" s="236">
        <v>167.45</v>
      </c>
      <c r="AI281" s="222">
        <v>36.274726476547798</v>
      </c>
      <c r="AJ281" s="237" t="s">
        <v>54</v>
      </c>
      <c r="AK281" s="229">
        <v>0.57578930915155302</v>
      </c>
      <c r="AL281" s="230">
        <v>-150.123454549624</v>
      </c>
      <c r="AM281" s="224"/>
      <c r="AN281" s="224"/>
      <c r="AO281" s="232">
        <v>124</v>
      </c>
      <c r="AP281" s="232">
        <v>182</v>
      </c>
      <c r="AQ281" s="223"/>
      <c r="AR281" s="236">
        <v>35.799999999999997</v>
      </c>
      <c r="AS281" s="222">
        <v>7.7553610502264103</v>
      </c>
      <c r="AT281" s="237" t="s">
        <v>55</v>
      </c>
      <c r="AU281" s="229">
        <v>0.48471006563915098</v>
      </c>
      <c r="AV281" s="230">
        <v>-44.853575758634598</v>
      </c>
      <c r="AW281" s="224"/>
      <c r="AX281" s="224"/>
      <c r="AY281" s="232">
        <v>39</v>
      </c>
      <c r="AZ281" s="232">
        <v>53</v>
      </c>
      <c r="BA281" s="223"/>
      <c r="BB281" s="240">
        <v>148.19999999999999</v>
      </c>
      <c r="BC281" s="236">
        <v>32.104595185574098</v>
      </c>
      <c r="BD281" s="237" t="s">
        <v>56</v>
      </c>
      <c r="BE281" s="238">
        <v>1.0032685995491899</v>
      </c>
      <c r="BF281" s="239">
        <v>-13.1071515172692</v>
      </c>
      <c r="BG281" s="224">
        <v>0.01</v>
      </c>
      <c r="BH281" s="224">
        <v>1E-3</v>
      </c>
      <c r="BI281" s="232">
        <v>0</v>
      </c>
      <c r="BJ281" s="232">
        <v>30</v>
      </c>
      <c r="BK281" s="225"/>
      <c r="BL281" s="241">
        <v>0.8</v>
      </c>
      <c r="BM281" s="244">
        <v>0.76</v>
      </c>
      <c r="BN281" s="242"/>
      <c r="BO281" s="243">
        <v>0.95</v>
      </c>
      <c r="BP281" s="234">
        <v>1</v>
      </c>
      <c r="BQ281" s="242">
        <v>2.5000000000000001E-3</v>
      </c>
    </row>
    <row r="282" spans="1:69" s="211" customFormat="1" ht="22.35" customHeight="1" x14ac:dyDescent="0.2">
      <c r="A282" s="221" t="s">
        <v>340</v>
      </c>
      <c r="B282" s="221" t="s">
        <v>341</v>
      </c>
      <c r="C282" s="221" t="s">
        <v>354</v>
      </c>
      <c r="D282" s="222">
        <v>6.3981030344444401</v>
      </c>
      <c r="E282" s="223"/>
      <c r="F282" s="224">
        <v>0.03</v>
      </c>
      <c r="G282" s="224">
        <v>2.3E-2</v>
      </c>
      <c r="H282" s="225"/>
      <c r="I282" s="226">
        <v>3</v>
      </c>
      <c r="J282" s="226">
        <v>3</v>
      </c>
      <c r="K282" s="223"/>
      <c r="L282" s="227">
        <v>2133.5116899999998</v>
      </c>
      <c r="M282" s="227">
        <v>3248.40218</v>
      </c>
      <c r="N282" s="227">
        <v>5381.9138700000003</v>
      </c>
      <c r="O282" s="222">
        <v>841.17336670357599</v>
      </c>
      <c r="P282" s="228">
        <v>250.489</v>
      </c>
      <c r="Q282" s="234">
        <v>3.3581249743644501</v>
      </c>
      <c r="R282" s="235">
        <v>3631.8152313535102</v>
      </c>
      <c r="S282" s="224">
        <v>0.01</v>
      </c>
      <c r="T282" s="224">
        <v>0.01</v>
      </c>
      <c r="U282" s="231">
        <v>0</v>
      </c>
      <c r="V282" s="232">
        <v>0</v>
      </c>
      <c r="W282" s="223"/>
      <c r="X282" s="231">
        <v>2489.0162500000001</v>
      </c>
      <c r="Y282" s="222">
        <v>389.024096142291</v>
      </c>
      <c r="Z282" s="233">
        <v>573</v>
      </c>
      <c r="AA282" s="229">
        <v>0.678925124157576</v>
      </c>
      <c r="AB282" s="230">
        <v>-1514.3791883004401</v>
      </c>
      <c r="AC282" s="224"/>
      <c r="AD282" s="224"/>
      <c r="AE282" s="232">
        <v>1178</v>
      </c>
      <c r="AF282" s="232">
        <v>1911</v>
      </c>
      <c r="AG282" s="223"/>
      <c r="AH282" s="236">
        <v>240.4</v>
      </c>
      <c r="AI282" s="222">
        <v>37.573636858580898</v>
      </c>
      <c r="AJ282" s="237" t="s">
        <v>54</v>
      </c>
      <c r="AK282" s="229">
        <v>0.59640693426318903</v>
      </c>
      <c r="AL282" s="230">
        <v>-199.76389635763999</v>
      </c>
      <c r="AM282" s="224"/>
      <c r="AN282" s="224"/>
      <c r="AO282" s="232">
        <v>163</v>
      </c>
      <c r="AP282" s="232">
        <v>244</v>
      </c>
      <c r="AQ282" s="223"/>
      <c r="AR282" s="236">
        <v>46.4</v>
      </c>
      <c r="AS282" s="222">
        <v>7.2521495434199403</v>
      </c>
      <c r="AT282" s="237" t="s">
        <v>55</v>
      </c>
      <c r="AU282" s="229">
        <v>0.45325934646374599</v>
      </c>
      <c r="AV282" s="230">
        <v>-65.387656217813301</v>
      </c>
      <c r="AW282" s="224"/>
      <c r="AX282" s="224"/>
      <c r="AY282" s="232">
        <v>56</v>
      </c>
      <c r="AZ282" s="232">
        <v>77</v>
      </c>
      <c r="BA282" s="223"/>
      <c r="BB282" s="240">
        <v>230.8</v>
      </c>
      <c r="BC282" s="236">
        <v>36.073192125459499</v>
      </c>
      <c r="BD282" s="237" t="s">
        <v>56</v>
      </c>
      <c r="BE282" s="234">
        <v>1.12728725392061</v>
      </c>
      <c r="BF282" s="235">
        <v>7.2246875643734798</v>
      </c>
      <c r="BG282" s="224">
        <v>0.02</v>
      </c>
      <c r="BH282" s="224">
        <v>1.2999999999999999E-2</v>
      </c>
      <c r="BI282" s="232">
        <v>0</v>
      </c>
      <c r="BJ282" s="232">
        <v>15</v>
      </c>
      <c r="BK282" s="225"/>
      <c r="BL282" s="241">
        <v>0.8</v>
      </c>
      <c r="BM282" s="244">
        <v>0.77</v>
      </c>
      <c r="BN282" s="242"/>
      <c r="BO282" s="243">
        <v>0.95</v>
      </c>
      <c r="BP282" s="234">
        <v>1</v>
      </c>
      <c r="BQ282" s="242">
        <v>2.5000000000000001E-3</v>
      </c>
    </row>
    <row r="283" spans="1:69" s="211" customFormat="1" ht="22.35" customHeight="1" x14ac:dyDescent="0.2">
      <c r="A283" s="221" t="s">
        <v>340</v>
      </c>
      <c r="B283" s="221" t="s">
        <v>341</v>
      </c>
      <c r="C283" s="221" t="s">
        <v>355</v>
      </c>
      <c r="D283" s="222">
        <v>5.0444772765555603</v>
      </c>
      <c r="E283" s="223"/>
      <c r="F283" s="224">
        <v>4.5999999999999999E-2</v>
      </c>
      <c r="G283" s="224">
        <v>2.7E-2</v>
      </c>
      <c r="H283" s="225"/>
      <c r="I283" s="226">
        <v>4</v>
      </c>
      <c r="J283" s="226">
        <v>4</v>
      </c>
      <c r="K283" s="223"/>
      <c r="L283" s="227">
        <v>1628.31556</v>
      </c>
      <c r="M283" s="227">
        <v>1035.5816299999999</v>
      </c>
      <c r="N283" s="227">
        <v>2663.8971900000001</v>
      </c>
      <c r="O283" s="222">
        <v>528.08190897807901</v>
      </c>
      <c r="P283" s="228">
        <v>216.363</v>
      </c>
      <c r="Q283" s="234">
        <v>2.4407218839546498</v>
      </c>
      <c r="R283" s="235">
        <v>1472.0466352097701</v>
      </c>
      <c r="S283" s="224">
        <v>0.01</v>
      </c>
      <c r="T283" s="224">
        <v>0.01</v>
      </c>
      <c r="U283" s="231">
        <v>0</v>
      </c>
      <c r="V283" s="232">
        <v>0</v>
      </c>
      <c r="W283" s="223"/>
      <c r="X283" s="231">
        <v>3040.14626</v>
      </c>
      <c r="Y283" s="222">
        <v>602.66824357188</v>
      </c>
      <c r="Z283" s="233">
        <v>573</v>
      </c>
      <c r="AA283" s="238">
        <v>1.0517770393924599</v>
      </c>
      <c r="AB283" s="239">
        <v>-116.263883577239</v>
      </c>
      <c r="AC283" s="224">
        <v>1.6E-2</v>
      </c>
      <c r="AD283" s="224">
        <v>5.0000000000000001E-3</v>
      </c>
      <c r="AE283" s="232">
        <v>0</v>
      </c>
      <c r="AF283" s="232">
        <v>429</v>
      </c>
      <c r="AG283" s="223"/>
      <c r="AH283" s="236">
        <v>189.6</v>
      </c>
      <c r="AI283" s="222">
        <v>37.585658454875997</v>
      </c>
      <c r="AJ283" s="237" t="s">
        <v>54</v>
      </c>
      <c r="AK283" s="229">
        <v>0.59659775325199904</v>
      </c>
      <c r="AL283" s="230">
        <v>-157.439858717916</v>
      </c>
      <c r="AM283" s="224"/>
      <c r="AN283" s="224"/>
      <c r="AO283" s="232">
        <v>129</v>
      </c>
      <c r="AP283" s="232">
        <v>192</v>
      </c>
      <c r="AQ283" s="223"/>
      <c r="AR283" s="236">
        <v>26.8</v>
      </c>
      <c r="AS283" s="222">
        <v>5.3127407520605301</v>
      </c>
      <c r="AT283" s="237" t="s">
        <v>55</v>
      </c>
      <c r="AU283" s="229">
        <v>0.33204629700378302</v>
      </c>
      <c r="AV283" s="230">
        <v>-61.337106975978699</v>
      </c>
      <c r="AW283" s="224"/>
      <c r="AX283" s="224"/>
      <c r="AY283" s="232">
        <v>54</v>
      </c>
      <c r="AZ283" s="232">
        <v>71</v>
      </c>
      <c r="BA283" s="223"/>
      <c r="BB283" s="240">
        <v>180.2</v>
      </c>
      <c r="BC283" s="236">
        <v>35.722234459750197</v>
      </c>
      <c r="BD283" s="237" t="s">
        <v>56</v>
      </c>
      <c r="BE283" s="234">
        <v>1.1163198268672001</v>
      </c>
      <c r="BF283" s="235">
        <v>3.9257860480425402</v>
      </c>
      <c r="BG283" s="224">
        <v>0.02</v>
      </c>
      <c r="BH283" s="224">
        <v>1.2E-2</v>
      </c>
      <c r="BI283" s="232">
        <v>0</v>
      </c>
      <c r="BJ283" s="232">
        <v>14</v>
      </c>
      <c r="BK283" s="225"/>
      <c r="BL283" s="241">
        <v>0.8</v>
      </c>
      <c r="BM283" s="244">
        <v>0.79</v>
      </c>
      <c r="BN283" s="242"/>
      <c r="BO283" s="243">
        <v>0.95</v>
      </c>
      <c r="BP283" s="234">
        <v>1</v>
      </c>
      <c r="BQ283" s="242">
        <v>2.5000000000000001E-3</v>
      </c>
    </row>
    <row r="284" spans="1:69" s="211" customFormat="1" ht="22.35" customHeight="1" x14ac:dyDescent="0.2">
      <c r="A284" s="221" t="s">
        <v>340</v>
      </c>
      <c r="B284" s="221" t="s">
        <v>341</v>
      </c>
      <c r="C284" s="221" t="s">
        <v>356</v>
      </c>
      <c r="D284" s="222">
        <v>3.2630691803333298</v>
      </c>
      <c r="E284" s="223"/>
      <c r="F284" s="224">
        <v>4.2999999999999997E-2</v>
      </c>
      <c r="G284" s="224">
        <v>2.4E-2</v>
      </c>
      <c r="H284" s="225"/>
      <c r="I284" s="226">
        <v>6</v>
      </c>
      <c r="J284" s="226">
        <v>4</v>
      </c>
      <c r="K284" s="223"/>
      <c r="L284" s="227">
        <v>2012.2664299999999</v>
      </c>
      <c r="M284" s="227">
        <v>740.51541999999995</v>
      </c>
      <c r="N284" s="227">
        <v>2752.7818499999998</v>
      </c>
      <c r="O284" s="222">
        <v>843.61737305207703</v>
      </c>
      <c r="P284" s="228">
        <v>249.714</v>
      </c>
      <c r="Q284" s="234">
        <v>3.3783343066551201</v>
      </c>
      <c r="R284" s="235">
        <v>1862.9830594308501</v>
      </c>
      <c r="S284" s="224">
        <v>0.01</v>
      </c>
      <c r="T284" s="224">
        <v>0.01</v>
      </c>
      <c r="U284" s="231">
        <v>0</v>
      </c>
      <c r="V284" s="232">
        <v>0</v>
      </c>
      <c r="W284" s="223"/>
      <c r="X284" s="231">
        <v>1762.0960600000001</v>
      </c>
      <c r="Y284" s="222">
        <v>540.01186080277796</v>
      </c>
      <c r="Z284" s="233">
        <v>573</v>
      </c>
      <c r="AA284" s="238">
        <v>0.94242907644463902</v>
      </c>
      <c r="AB284" s="239">
        <v>-279.65853524145001</v>
      </c>
      <c r="AC284" s="224">
        <v>4.0000000000000001E-3</v>
      </c>
      <c r="AD284" s="224"/>
      <c r="AE284" s="232">
        <v>108</v>
      </c>
      <c r="AF284" s="232">
        <v>482</v>
      </c>
      <c r="AG284" s="223"/>
      <c r="AH284" s="236">
        <v>204.3</v>
      </c>
      <c r="AI284" s="222">
        <v>62.609766667322098</v>
      </c>
      <c r="AJ284" s="237" t="s">
        <v>54</v>
      </c>
      <c r="AK284" s="238">
        <v>0.99380582011622398</v>
      </c>
      <c r="AL284" s="239">
        <v>-20.186107330211801</v>
      </c>
      <c r="AM284" s="224">
        <v>8.9999999999999993E-3</v>
      </c>
      <c r="AN284" s="224"/>
      <c r="AO284" s="232">
        <v>2</v>
      </c>
      <c r="AP284" s="232">
        <v>43</v>
      </c>
      <c r="AQ284" s="223"/>
      <c r="AR284" s="236">
        <v>12.3</v>
      </c>
      <c r="AS284" s="222">
        <v>3.7694573177095498</v>
      </c>
      <c r="AT284" s="237" t="s">
        <v>55</v>
      </c>
      <c r="AU284" s="229">
        <v>0.235591082356847</v>
      </c>
      <c r="AV284" s="230">
        <v>-44.712344718783903</v>
      </c>
      <c r="AW284" s="224"/>
      <c r="AX284" s="224"/>
      <c r="AY284" s="232">
        <v>40</v>
      </c>
      <c r="AZ284" s="232">
        <v>51</v>
      </c>
      <c r="BA284" s="223"/>
      <c r="BB284" s="240">
        <v>119.2</v>
      </c>
      <c r="BC284" s="236">
        <v>36.5300253878844</v>
      </c>
      <c r="BD284" s="237" t="s">
        <v>56</v>
      </c>
      <c r="BE284" s="234">
        <v>1.14156329337139</v>
      </c>
      <c r="BF284" s="235">
        <v>5.1753105624321201</v>
      </c>
      <c r="BG284" s="224">
        <v>0.02</v>
      </c>
      <c r="BH284" s="224">
        <v>1.4E-2</v>
      </c>
      <c r="BI284" s="232">
        <v>0</v>
      </c>
      <c r="BJ284" s="232">
        <v>7</v>
      </c>
      <c r="BK284" s="225"/>
      <c r="BL284" s="241">
        <v>0.8</v>
      </c>
      <c r="BM284" s="238">
        <v>0.84</v>
      </c>
      <c r="BN284" s="242">
        <v>1.5E-3</v>
      </c>
      <c r="BO284" s="243">
        <v>0.95</v>
      </c>
      <c r="BP284" s="234">
        <v>1</v>
      </c>
      <c r="BQ284" s="242">
        <v>2.5000000000000001E-3</v>
      </c>
    </row>
    <row r="285" spans="1:69" s="211" customFormat="1" ht="22.35" customHeight="1" x14ac:dyDescent="0.2">
      <c r="A285" s="221" t="s">
        <v>340</v>
      </c>
      <c r="B285" s="221" t="s">
        <v>341</v>
      </c>
      <c r="C285" s="221" t="s">
        <v>357</v>
      </c>
      <c r="D285" s="222">
        <v>2.6091871092222201</v>
      </c>
      <c r="E285" s="223"/>
      <c r="F285" s="224">
        <v>5.5E-2</v>
      </c>
      <c r="G285" s="224">
        <v>0.05</v>
      </c>
      <c r="H285" s="225"/>
      <c r="I285" s="226">
        <v>6</v>
      </c>
      <c r="J285" s="226">
        <v>5</v>
      </c>
      <c r="K285" s="223"/>
      <c r="L285" s="227">
        <v>770.84589000000005</v>
      </c>
      <c r="M285" s="227">
        <v>213.54956999999999</v>
      </c>
      <c r="N285" s="227">
        <v>984.39545999999996</v>
      </c>
      <c r="O285" s="222">
        <v>377.28051641855598</v>
      </c>
      <c r="P285" s="228">
        <v>212.5</v>
      </c>
      <c r="Q285" s="234">
        <v>1.77543772432262</v>
      </c>
      <c r="R285" s="235">
        <v>378.93359130498402</v>
      </c>
      <c r="S285" s="224">
        <v>0.01</v>
      </c>
      <c r="T285" s="224">
        <v>0.01</v>
      </c>
      <c r="U285" s="231">
        <v>0</v>
      </c>
      <c r="V285" s="232">
        <v>0</v>
      </c>
      <c r="W285" s="223"/>
      <c r="X285" s="231">
        <v>1832.7377650000001</v>
      </c>
      <c r="Y285" s="222">
        <v>702.41714690454899</v>
      </c>
      <c r="Z285" s="233">
        <v>573</v>
      </c>
      <c r="AA285" s="234">
        <v>1.22585889512138</v>
      </c>
      <c r="AB285" s="235">
        <v>200.127643765909</v>
      </c>
      <c r="AC285" s="224">
        <v>0.02</v>
      </c>
      <c r="AD285" s="224">
        <v>0.02</v>
      </c>
      <c r="AE285" s="232">
        <v>0</v>
      </c>
      <c r="AF285" s="232">
        <v>0</v>
      </c>
      <c r="AG285" s="223"/>
      <c r="AH285" s="236">
        <v>156.4</v>
      </c>
      <c r="AI285" s="222">
        <v>59.942040740275502</v>
      </c>
      <c r="AJ285" s="237" t="s">
        <v>54</v>
      </c>
      <c r="AK285" s="238">
        <v>0.95146096413135595</v>
      </c>
      <c r="AL285" s="239">
        <v>-23.101636366051899</v>
      </c>
      <c r="AM285" s="224">
        <v>5.0000000000000001E-3</v>
      </c>
      <c r="AN285" s="224"/>
      <c r="AO285" s="232">
        <v>8</v>
      </c>
      <c r="AP285" s="232">
        <v>41</v>
      </c>
      <c r="AQ285" s="223"/>
      <c r="AR285" s="236">
        <v>12.2</v>
      </c>
      <c r="AS285" s="222">
        <v>4.6757857866455304</v>
      </c>
      <c r="AT285" s="237" t="s">
        <v>55</v>
      </c>
      <c r="AU285" s="229">
        <v>0.29223661166534598</v>
      </c>
      <c r="AV285" s="230">
        <v>-33.387717172330603</v>
      </c>
      <c r="AW285" s="224"/>
      <c r="AX285" s="224"/>
      <c r="AY285" s="232">
        <v>30</v>
      </c>
      <c r="AZ285" s="232">
        <v>38</v>
      </c>
      <c r="BA285" s="223"/>
      <c r="BB285" s="240">
        <v>117</v>
      </c>
      <c r="BC285" s="236">
        <v>44.841552216190699</v>
      </c>
      <c r="BD285" s="237" t="s">
        <v>56</v>
      </c>
      <c r="BE285" s="234">
        <v>1.40129850675596</v>
      </c>
      <c r="BF285" s="235">
        <v>25.824565655338699</v>
      </c>
      <c r="BG285" s="224">
        <v>0.02</v>
      </c>
      <c r="BH285" s="224">
        <v>0.02</v>
      </c>
      <c r="BI285" s="232">
        <v>0</v>
      </c>
      <c r="BJ285" s="232">
        <v>0</v>
      </c>
      <c r="BK285" s="225"/>
      <c r="BL285" s="241">
        <v>0.8</v>
      </c>
      <c r="BM285" s="238">
        <v>0.85</v>
      </c>
      <c r="BN285" s="242">
        <v>1.8749999999999999E-3</v>
      </c>
      <c r="BO285" s="243">
        <v>0.95</v>
      </c>
      <c r="BP285" s="234">
        <v>1</v>
      </c>
      <c r="BQ285" s="242">
        <v>2.5000000000000001E-3</v>
      </c>
    </row>
    <row r="286" spans="1:69" s="211" customFormat="1" ht="22.35" customHeight="1" x14ac:dyDescent="0.2">
      <c r="A286" s="221" t="s">
        <v>340</v>
      </c>
      <c r="B286" s="221" t="s">
        <v>358</v>
      </c>
      <c r="C286" s="221" t="s">
        <v>359</v>
      </c>
      <c r="D286" s="222">
        <v>2.5673660413333299</v>
      </c>
      <c r="E286" s="223"/>
      <c r="F286" s="224">
        <v>7.0000000000000007E-2</v>
      </c>
      <c r="G286" s="224">
        <v>7.0000000000000007E-2</v>
      </c>
      <c r="H286" s="225"/>
      <c r="I286" s="226">
        <v>6</v>
      </c>
      <c r="J286" s="226">
        <v>6</v>
      </c>
      <c r="K286" s="223"/>
      <c r="L286" s="227">
        <v>2034.1059399999999</v>
      </c>
      <c r="M286" s="227">
        <v>1152.6286</v>
      </c>
      <c r="N286" s="227">
        <v>3186.7345399999999</v>
      </c>
      <c r="O286" s="222">
        <v>1241.2466663090299</v>
      </c>
      <c r="P286" s="228">
        <v>212.5</v>
      </c>
      <c r="Q286" s="234">
        <v>5.8411607826307304</v>
      </c>
      <c r="R286" s="235">
        <v>2590.9772501085999</v>
      </c>
      <c r="S286" s="224">
        <v>0.01</v>
      </c>
      <c r="T286" s="224">
        <v>0.01</v>
      </c>
      <c r="U286" s="231">
        <v>0</v>
      </c>
      <c r="V286" s="232">
        <v>0</v>
      </c>
      <c r="W286" s="223"/>
      <c r="X286" s="231">
        <v>2154.8023699999999</v>
      </c>
      <c r="Y286" s="222">
        <v>839.30469411402203</v>
      </c>
      <c r="Z286" s="233">
        <v>573</v>
      </c>
      <c r="AA286" s="234">
        <v>1.46475513806985</v>
      </c>
      <c r="AB286" s="235">
        <v>548.36036008107499</v>
      </c>
      <c r="AC286" s="224">
        <v>0.02</v>
      </c>
      <c r="AD286" s="224">
        <v>0.02</v>
      </c>
      <c r="AE286" s="232">
        <v>0</v>
      </c>
      <c r="AF286" s="232">
        <v>0</v>
      </c>
      <c r="AG286" s="223"/>
      <c r="AH286" s="236">
        <v>210.8</v>
      </c>
      <c r="AI286" s="222">
        <v>82.1074971804657</v>
      </c>
      <c r="AJ286" s="237" t="s">
        <v>54</v>
      </c>
      <c r="AK286" s="234">
        <v>1.30329360603914</v>
      </c>
      <c r="AL286" s="235">
        <v>34.175485820432201</v>
      </c>
      <c r="AM286" s="224">
        <v>0.02</v>
      </c>
      <c r="AN286" s="224">
        <v>0.02</v>
      </c>
      <c r="AO286" s="232">
        <v>0</v>
      </c>
      <c r="AP286" s="232">
        <v>0</v>
      </c>
      <c r="AQ286" s="223"/>
      <c r="AR286" s="236">
        <v>22.4</v>
      </c>
      <c r="AS286" s="222">
        <v>8.7248953360646606</v>
      </c>
      <c r="AT286" s="237" t="s">
        <v>55</v>
      </c>
      <c r="AU286" s="229">
        <v>0.54530595850404096</v>
      </c>
      <c r="AV286" s="230">
        <v>-22.457019474175901</v>
      </c>
      <c r="AW286" s="224"/>
      <c r="AX286" s="224"/>
      <c r="AY286" s="232">
        <v>19</v>
      </c>
      <c r="AZ286" s="232">
        <v>27</v>
      </c>
      <c r="BA286" s="223"/>
      <c r="BB286" s="240">
        <v>130.4</v>
      </c>
      <c r="BC286" s="236">
        <v>50.791354992090703</v>
      </c>
      <c r="BD286" s="237" t="s">
        <v>56</v>
      </c>
      <c r="BE286" s="234">
        <v>1.58722984350283</v>
      </c>
      <c r="BF286" s="235">
        <v>40.6859610516481</v>
      </c>
      <c r="BG286" s="224">
        <v>0.02</v>
      </c>
      <c r="BH286" s="224">
        <v>0.02</v>
      </c>
      <c r="BI286" s="232">
        <v>0</v>
      </c>
      <c r="BJ286" s="232">
        <v>0</v>
      </c>
      <c r="BK286" s="225"/>
      <c r="BL286" s="241">
        <v>0.8</v>
      </c>
      <c r="BM286" s="238">
        <v>0.81</v>
      </c>
      <c r="BN286" s="242">
        <v>3.7500000000000001E-4</v>
      </c>
      <c r="BO286" s="243">
        <v>0.95</v>
      </c>
      <c r="BP286" s="234">
        <v>1</v>
      </c>
      <c r="BQ286" s="242">
        <v>2.5000000000000001E-3</v>
      </c>
    </row>
    <row r="287" spans="1:69" s="211" customFormat="1" ht="22.35" customHeight="1" x14ac:dyDescent="0.2">
      <c r="A287" s="221" t="s">
        <v>340</v>
      </c>
      <c r="B287" s="221" t="s">
        <v>358</v>
      </c>
      <c r="C287" s="221" t="s">
        <v>360</v>
      </c>
      <c r="D287" s="222">
        <v>2.9278143756666699</v>
      </c>
      <c r="E287" s="223"/>
      <c r="F287" s="224">
        <v>6.6000000000000003E-2</v>
      </c>
      <c r="G287" s="224">
        <v>5.0999999999999997E-2</v>
      </c>
      <c r="H287" s="225"/>
      <c r="I287" s="226">
        <v>6</v>
      </c>
      <c r="J287" s="226">
        <v>6</v>
      </c>
      <c r="K287" s="223"/>
      <c r="L287" s="227">
        <v>1753.98982</v>
      </c>
      <c r="M287" s="227">
        <v>973.01892999999995</v>
      </c>
      <c r="N287" s="227">
        <v>2727.00875</v>
      </c>
      <c r="O287" s="222">
        <v>931.41449562664195</v>
      </c>
      <c r="P287" s="228">
        <v>220.75700000000001</v>
      </c>
      <c r="Q287" s="234">
        <v>4.2191844228116997</v>
      </c>
      <c r="R287" s="235">
        <v>2021.21036420308</v>
      </c>
      <c r="S287" s="224">
        <v>0.01</v>
      </c>
      <c r="T287" s="224">
        <v>0.01</v>
      </c>
      <c r="U287" s="231">
        <v>0</v>
      </c>
      <c r="V287" s="232">
        <v>0</v>
      </c>
      <c r="W287" s="223"/>
      <c r="X287" s="231">
        <v>1927.3906050000001</v>
      </c>
      <c r="Y287" s="222">
        <v>658.303552649621</v>
      </c>
      <c r="Z287" s="233">
        <v>573</v>
      </c>
      <c r="AA287" s="234">
        <v>1.14887181963285</v>
      </c>
      <c r="AB287" s="235">
        <v>95.410305115354006</v>
      </c>
      <c r="AC287" s="224">
        <v>0.02</v>
      </c>
      <c r="AD287" s="224">
        <v>1.4999999999999999E-2</v>
      </c>
      <c r="AE287" s="232">
        <v>0</v>
      </c>
      <c r="AF287" s="232">
        <v>86</v>
      </c>
      <c r="AG287" s="223"/>
      <c r="AH287" s="236">
        <v>195.4</v>
      </c>
      <c r="AI287" s="222">
        <v>66.739203695421196</v>
      </c>
      <c r="AJ287" s="237" t="s">
        <v>54</v>
      </c>
      <c r="AK287" s="238">
        <v>1.0593524396098599</v>
      </c>
      <c r="AL287" s="239">
        <v>-6.0219177883642496</v>
      </c>
      <c r="AM287" s="224">
        <v>1.6E-2</v>
      </c>
      <c r="AN287" s="224">
        <v>6.0000000000000001E-3</v>
      </c>
      <c r="AO287" s="232">
        <v>0</v>
      </c>
      <c r="AP287" s="232">
        <v>26</v>
      </c>
      <c r="AQ287" s="223"/>
      <c r="AR287" s="236">
        <v>11</v>
      </c>
      <c r="AS287" s="222">
        <v>3.7570687853103002</v>
      </c>
      <c r="AT287" s="237" t="s">
        <v>55</v>
      </c>
      <c r="AU287" s="229">
        <v>0.23481679908189401</v>
      </c>
      <c r="AV287" s="230">
        <v>-40.154772771648098</v>
      </c>
      <c r="AW287" s="224"/>
      <c r="AX287" s="224"/>
      <c r="AY287" s="232">
        <v>36</v>
      </c>
      <c r="AZ287" s="232">
        <v>46</v>
      </c>
      <c r="BA287" s="223"/>
      <c r="BB287" s="240">
        <v>115.8</v>
      </c>
      <c r="BC287" s="236">
        <v>39.551687758084803</v>
      </c>
      <c r="BD287" s="237" t="s">
        <v>56</v>
      </c>
      <c r="BE287" s="234">
        <v>1.2359902424401501</v>
      </c>
      <c r="BF287" s="235">
        <v>13.490454456703899</v>
      </c>
      <c r="BG287" s="224">
        <v>0.02</v>
      </c>
      <c r="BH287" s="224">
        <v>0.02</v>
      </c>
      <c r="BI287" s="232">
        <v>0</v>
      </c>
      <c r="BJ287" s="232">
        <v>0</v>
      </c>
      <c r="BK287" s="225"/>
      <c r="BL287" s="241">
        <v>0.8</v>
      </c>
      <c r="BM287" s="238">
        <v>0.87</v>
      </c>
      <c r="BN287" s="242">
        <v>2.6250000000000002E-3</v>
      </c>
      <c r="BO287" s="243">
        <v>0.95</v>
      </c>
      <c r="BP287" s="234">
        <v>1</v>
      </c>
      <c r="BQ287" s="242">
        <v>2.5000000000000001E-3</v>
      </c>
    </row>
    <row r="288" spans="1:69" s="211" customFormat="1" ht="22.35" customHeight="1" x14ac:dyDescent="0.2">
      <c r="A288" s="221" t="s">
        <v>340</v>
      </c>
      <c r="B288" s="221" t="s">
        <v>358</v>
      </c>
      <c r="C288" s="221" t="s">
        <v>361</v>
      </c>
      <c r="D288" s="222">
        <v>3.9837235643333302</v>
      </c>
      <c r="E288" s="223"/>
      <c r="F288" s="224">
        <v>3.3000000000000002E-2</v>
      </c>
      <c r="G288" s="224">
        <v>1.4999999999999999E-2</v>
      </c>
      <c r="H288" s="225"/>
      <c r="I288" s="226">
        <v>5</v>
      </c>
      <c r="J288" s="226">
        <v>4</v>
      </c>
      <c r="K288" s="223"/>
      <c r="L288" s="227">
        <v>1836.29216</v>
      </c>
      <c r="M288" s="227">
        <v>307.35566</v>
      </c>
      <c r="N288" s="227">
        <v>2143.6478200000001</v>
      </c>
      <c r="O288" s="222">
        <v>538.101548810336</v>
      </c>
      <c r="P288" s="228">
        <v>222.58099999999999</v>
      </c>
      <c r="Q288" s="234">
        <v>2.4175538289896101</v>
      </c>
      <c r="R288" s="235">
        <v>1175.37013725722</v>
      </c>
      <c r="S288" s="224">
        <v>0.01</v>
      </c>
      <c r="T288" s="224">
        <v>0.01</v>
      </c>
      <c r="U288" s="231">
        <v>0</v>
      </c>
      <c r="V288" s="232">
        <v>0</v>
      </c>
      <c r="W288" s="223"/>
      <c r="X288" s="231">
        <v>2239.0603099999998</v>
      </c>
      <c r="Y288" s="222">
        <v>562.05212882905005</v>
      </c>
      <c r="Z288" s="233">
        <v>573</v>
      </c>
      <c r="AA288" s="238">
        <v>0.98089376758996405</v>
      </c>
      <c r="AB288" s="239">
        <v>-253.61926378039399</v>
      </c>
      <c r="AC288" s="224">
        <v>8.0000000000000002E-3</v>
      </c>
      <c r="AD288" s="224"/>
      <c r="AE288" s="232">
        <v>44</v>
      </c>
      <c r="AF288" s="232">
        <v>501</v>
      </c>
      <c r="AG288" s="223"/>
      <c r="AH288" s="236">
        <v>191.45</v>
      </c>
      <c r="AI288" s="222">
        <v>48.058053453826602</v>
      </c>
      <c r="AJ288" s="237" t="s">
        <v>54</v>
      </c>
      <c r="AK288" s="244">
        <v>0.76282624529883503</v>
      </c>
      <c r="AL288" s="227">
        <v>-82.614246331875805</v>
      </c>
      <c r="AM288" s="224"/>
      <c r="AN288" s="224"/>
      <c r="AO288" s="232">
        <v>60</v>
      </c>
      <c r="AP288" s="232">
        <v>110</v>
      </c>
      <c r="AQ288" s="223"/>
      <c r="AR288" s="236">
        <v>12.8</v>
      </c>
      <c r="AS288" s="222">
        <v>3.2130743494853999</v>
      </c>
      <c r="AT288" s="237" t="s">
        <v>55</v>
      </c>
      <c r="AU288" s="229">
        <v>0.200817146842837</v>
      </c>
      <c r="AV288" s="230">
        <v>-56.803618116031899</v>
      </c>
      <c r="AW288" s="224"/>
      <c r="AX288" s="224"/>
      <c r="AY288" s="232">
        <v>51</v>
      </c>
      <c r="AZ288" s="232">
        <v>64</v>
      </c>
      <c r="BA288" s="223"/>
      <c r="BB288" s="240">
        <v>133.6</v>
      </c>
      <c r="BC288" s="236">
        <v>33.536463522753898</v>
      </c>
      <c r="BD288" s="237" t="s">
        <v>56</v>
      </c>
      <c r="BE288" s="238">
        <v>1.04801448508606</v>
      </c>
      <c r="BF288" s="239">
        <v>-5.6072362320638804</v>
      </c>
      <c r="BG288" s="224">
        <v>1.4999999999999999E-2</v>
      </c>
      <c r="BH288" s="224">
        <v>5.0000000000000001E-3</v>
      </c>
      <c r="BI288" s="232">
        <v>0</v>
      </c>
      <c r="BJ288" s="232">
        <v>20</v>
      </c>
      <c r="BK288" s="225"/>
      <c r="BL288" s="241">
        <v>0.8</v>
      </c>
      <c r="BM288" s="238">
        <v>0.82</v>
      </c>
      <c r="BN288" s="242">
        <v>7.5000000000000002E-4</v>
      </c>
      <c r="BO288" s="243">
        <v>0.95</v>
      </c>
      <c r="BP288" s="234">
        <v>1</v>
      </c>
      <c r="BQ288" s="242">
        <v>2.5000000000000001E-3</v>
      </c>
    </row>
    <row r="289" spans="1:69" s="211" customFormat="1" ht="22.35" customHeight="1" x14ac:dyDescent="0.2">
      <c r="A289" s="221" t="s">
        <v>340</v>
      </c>
      <c r="B289" s="221" t="s">
        <v>358</v>
      </c>
      <c r="C289" s="221" t="s">
        <v>362</v>
      </c>
      <c r="D289" s="222">
        <v>5.0138817773333297</v>
      </c>
      <c r="E289" s="223"/>
      <c r="F289" s="224">
        <v>0.05</v>
      </c>
      <c r="G289" s="224">
        <v>3.3000000000000002E-2</v>
      </c>
      <c r="H289" s="225"/>
      <c r="I289" s="226">
        <v>6</v>
      </c>
      <c r="J289" s="226">
        <v>5</v>
      </c>
      <c r="K289" s="223"/>
      <c r="L289" s="227">
        <v>4991.2485999999999</v>
      </c>
      <c r="M289" s="227">
        <v>4309.3116399999999</v>
      </c>
      <c r="N289" s="227">
        <v>9300.5602400000007</v>
      </c>
      <c r="O289" s="222">
        <v>1854.96201407177</v>
      </c>
      <c r="P289" s="228">
        <v>268.01799999999997</v>
      </c>
      <c r="Q289" s="234">
        <v>6.92103520685838</v>
      </c>
      <c r="R289" s="235">
        <v>7833.1191017125202</v>
      </c>
      <c r="S289" s="224">
        <v>0.01</v>
      </c>
      <c r="T289" s="224">
        <v>0.01</v>
      </c>
      <c r="U289" s="231">
        <v>0</v>
      </c>
      <c r="V289" s="232">
        <v>0</v>
      </c>
      <c r="W289" s="223"/>
      <c r="X289" s="231">
        <v>3096.300835</v>
      </c>
      <c r="Y289" s="222">
        <v>617.545640784292</v>
      </c>
      <c r="Z289" s="233">
        <v>573</v>
      </c>
      <c r="AA289" s="238">
        <v>1.07774108339318</v>
      </c>
      <c r="AB289" s="239">
        <v>-40.965215185901798</v>
      </c>
      <c r="AC289" s="224">
        <v>1.7999999999999999E-2</v>
      </c>
      <c r="AD289" s="224">
        <v>8.0000000000000002E-3</v>
      </c>
      <c r="AE289" s="232">
        <v>0</v>
      </c>
      <c r="AF289" s="232">
        <v>352</v>
      </c>
      <c r="AG289" s="223"/>
      <c r="AH289" s="236">
        <v>292.14999999999998</v>
      </c>
      <c r="AI289" s="222">
        <v>58.2682266902954</v>
      </c>
      <c r="AJ289" s="237" t="s">
        <v>54</v>
      </c>
      <c r="AK289" s="238">
        <v>0.92489248714754602</v>
      </c>
      <c r="AL289" s="239">
        <v>-52.785010753423798</v>
      </c>
      <c r="AM289" s="224">
        <v>2E-3</v>
      </c>
      <c r="AN289" s="224"/>
      <c r="AO289" s="232">
        <v>24</v>
      </c>
      <c r="AP289" s="232">
        <v>87</v>
      </c>
      <c r="AQ289" s="223"/>
      <c r="AR289" s="236">
        <v>52.5</v>
      </c>
      <c r="AS289" s="222">
        <v>10.4709289790878</v>
      </c>
      <c r="AT289" s="237" t="s">
        <v>55</v>
      </c>
      <c r="AU289" s="229">
        <v>0.65443306119298905</v>
      </c>
      <c r="AV289" s="230">
        <v>-35.102542413567903</v>
      </c>
      <c r="AW289" s="224"/>
      <c r="AX289" s="224"/>
      <c r="AY289" s="232">
        <v>28</v>
      </c>
      <c r="AZ289" s="232">
        <v>44</v>
      </c>
      <c r="BA289" s="223"/>
      <c r="BB289" s="240">
        <v>184.2</v>
      </c>
      <c r="BC289" s="236">
        <v>36.738002246628199</v>
      </c>
      <c r="BD289" s="237" t="s">
        <v>56</v>
      </c>
      <c r="BE289" s="234">
        <v>1.1480625702071301</v>
      </c>
      <c r="BF289" s="235">
        <v>8.9949151728641308</v>
      </c>
      <c r="BG289" s="224">
        <v>0.02</v>
      </c>
      <c r="BH289" s="224">
        <v>1.4999999999999999E-2</v>
      </c>
      <c r="BI289" s="232">
        <v>0</v>
      </c>
      <c r="BJ289" s="232">
        <v>9</v>
      </c>
      <c r="BK289" s="225"/>
      <c r="BL289" s="241">
        <v>0.8</v>
      </c>
      <c r="BM289" s="238">
        <v>0.82</v>
      </c>
      <c r="BN289" s="242">
        <v>7.5000000000000002E-4</v>
      </c>
      <c r="BO289" s="243">
        <v>0.95</v>
      </c>
      <c r="BP289" s="234">
        <v>1</v>
      </c>
      <c r="BQ289" s="242">
        <v>2.5000000000000001E-3</v>
      </c>
    </row>
    <row r="290" spans="1:69" s="211" customFormat="1" ht="22.35" customHeight="1" x14ac:dyDescent="0.2">
      <c r="A290" s="221" t="s">
        <v>340</v>
      </c>
      <c r="B290" s="221" t="s">
        <v>358</v>
      </c>
      <c r="C290" s="221" t="s">
        <v>363</v>
      </c>
      <c r="D290" s="222">
        <v>1.8723945526666701</v>
      </c>
      <c r="E290" s="223"/>
      <c r="F290" s="224">
        <v>7.0000000000000007E-2</v>
      </c>
      <c r="G290" s="224">
        <v>6.8500000000000005E-2</v>
      </c>
      <c r="H290" s="225"/>
      <c r="I290" s="226">
        <v>6</v>
      </c>
      <c r="J290" s="226">
        <v>6</v>
      </c>
      <c r="K290" s="223"/>
      <c r="L290" s="227">
        <v>261.03483999999997</v>
      </c>
      <c r="M290" s="227">
        <v>216.99044000000001</v>
      </c>
      <c r="N290" s="227">
        <v>478.02528000000001</v>
      </c>
      <c r="O290" s="222">
        <v>255.30157589873099</v>
      </c>
      <c r="P290" s="228">
        <v>218.47</v>
      </c>
      <c r="Q290" s="234">
        <v>1.1685887119454901</v>
      </c>
      <c r="R290" s="235">
        <v>31.329534590172599</v>
      </c>
      <c r="S290" s="224">
        <v>0.01</v>
      </c>
      <c r="T290" s="224">
        <v>8.5000000000000006E-3</v>
      </c>
      <c r="U290" s="231">
        <v>0</v>
      </c>
      <c r="V290" s="232">
        <v>13</v>
      </c>
      <c r="W290" s="223"/>
      <c r="X290" s="231">
        <v>1861.2276099999999</v>
      </c>
      <c r="Y290" s="222">
        <v>994.03600985125502</v>
      </c>
      <c r="Z290" s="233">
        <v>573</v>
      </c>
      <c r="AA290" s="234">
        <v>1.73479233830935</v>
      </c>
      <c r="AB290" s="235">
        <v>689.64038008362195</v>
      </c>
      <c r="AC290" s="224">
        <v>0.02</v>
      </c>
      <c r="AD290" s="224">
        <v>0.02</v>
      </c>
      <c r="AE290" s="232">
        <v>0</v>
      </c>
      <c r="AF290" s="232">
        <v>0</v>
      </c>
      <c r="AG290" s="223"/>
      <c r="AH290" s="236">
        <v>173</v>
      </c>
      <c r="AI290" s="222">
        <v>92.395056241545404</v>
      </c>
      <c r="AJ290" s="237" t="s">
        <v>54</v>
      </c>
      <c r="AK290" s="234">
        <v>1.4665881943102499</v>
      </c>
      <c r="AL290" s="235">
        <v>44.186744354743801</v>
      </c>
      <c r="AM290" s="224">
        <v>0.02</v>
      </c>
      <c r="AN290" s="224">
        <v>0.02</v>
      </c>
      <c r="AO290" s="232">
        <v>0</v>
      </c>
      <c r="AP290" s="232">
        <v>0</v>
      </c>
      <c r="AQ290" s="223"/>
      <c r="AR290" s="236">
        <v>8</v>
      </c>
      <c r="AS290" s="222">
        <v>4.2726037568344699</v>
      </c>
      <c r="AT290" s="237" t="s">
        <v>55</v>
      </c>
      <c r="AU290" s="229">
        <v>0.26703773480215398</v>
      </c>
      <c r="AV290" s="230">
        <v>-24.714477624192099</v>
      </c>
      <c r="AW290" s="224"/>
      <c r="AX290" s="224"/>
      <c r="AY290" s="232">
        <v>22</v>
      </c>
      <c r="AZ290" s="232">
        <v>28</v>
      </c>
      <c r="BA290" s="223"/>
      <c r="BB290" s="240">
        <v>85.4</v>
      </c>
      <c r="BC290" s="236">
        <v>45.610045104207998</v>
      </c>
      <c r="BD290" s="237" t="s">
        <v>56</v>
      </c>
      <c r="BE290" s="234">
        <v>1.4253139095064999</v>
      </c>
      <c r="BF290" s="235">
        <v>19.971044751615899</v>
      </c>
      <c r="BG290" s="224">
        <v>0.02</v>
      </c>
      <c r="BH290" s="224">
        <v>0.02</v>
      </c>
      <c r="BI290" s="232">
        <v>0</v>
      </c>
      <c r="BJ290" s="232">
        <v>0</v>
      </c>
      <c r="BK290" s="225"/>
      <c r="BL290" s="241">
        <v>0.8</v>
      </c>
      <c r="BM290" s="238">
        <v>0.84</v>
      </c>
      <c r="BN290" s="242">
        <v>1.5E-3</v>
      </c>
      <c r="BO290" s="243">
        <v>0.95</v>
      </c>
      <c r="BP290" s="234">
        <v>1</v>
      </c>
      <c r="BQ290" s="242">
        <v>2.5000000000000001E-3</v>
      </c>
    </row>
    <row r="291" spans="1:69" s="211" customFormat="1" ht="22.35" customHeight="1" x14ac:dyDescent="0.2">
      <c r="A291" s="221" t="s">
        <v>340</v>
      </c>
      <c r="B291" s="221" t="s">
        <v>358</v>
      </c>
      <c r="C291" s="221" t="s">
        <v>364</v>
      </c>
      <c r="D291" s="222">
        <v>2.0195966231111102</v>
      </c>
      <c r="E291" s="223"/>
      <c r="F291" s="224">
        <v>0.01</v>
      </c>
      <c r="G291" s="224">
        <v>0.01</v>
      </c>
      <c r="H291" s="225"/>
      <c r="I291" s="226">
        <v>2</v>
      </c>
      <c r="J291" s="226">
        <v>2</v>
      </c>
      <c r="K291" s="223"/>
      <c r="L291" s="227">
        <v>1181.7398499999999</v>
      </c>
      <c r="M291" s="227">
        <v>-154.14221000000001</v>
      </c>
      <c r="N291" s="227">
        <v>1027.59764</v>
      </c>
      <c r="O291" s="222">
        <v>508.81330867795998</v>
      </c>
      <c r="P291" s="228">
        <v>212.5</v>
      </c>
      <c r="Q291" s="234">
        <v>2.3944155702492198</v>
      </c>
      <c r="R291" s="235">
        <v>558.95024360706702</v>
      </c>
      <c r="S291" s="224">
        <v>0.01</v>
      </c>
      <c r="T291" s="224">
        <v>0.01</v>
      </c>
      <c r="U291" s="231">
        <v>0</v>
      </c>
      <c r="V291" s="232">
        <v>0</v>
      </c>
      <c r="W291" s="223"/>
      <c r="X291" s="231">
        <v>946.11016500000005</v>
      </c>
      <c r="Y291" s="222">
        <v>468.46491728756899</v>
      </c>
      <c r="Z291" s="233">
        <v>573</v>
      </c>
      <c r="AA291" s="244">
        <v>0.817565300676385</v>
      </c>
      <c r="AB291" s="227">
        <v>-317.58375562659103</v>
      </c>
      <c r="AC291" s="224"/>
      <c r="AD291" s="224"/>
      <c r="AE291" s="232">
        <v>212</v>
      </c>
      <c r="AF291" s="232">
        <v>443</v>
      </c>
      <c r="AG291" s="223"/>
      <c r="AH291" s="236">
        <v>76.7</v>
      </c>
      <c r="AI291" s="222">
        <v>37.977880890812003</v>
      </c>
      <c r="AJ291" s="237" t="s">
        <v>54</v>
      </c>
      <c r="AK291" s="229">
        <v>0.602823506203366</v>
      </c>
      <c r="AL291" s="230">
        <v>-62.2401692835519</v>
      </c>
      <c r="AM291" s="224"/>
      <c r="AN291" s="224"/>
      <c r="AO291" s="232">
        <v>51</v>
      </c>
      <c r="AP291" s="232">
        <v>76</v>
      </c>
      <c r="AQ291" s="223"/>
      <c r="AR291" s="236">
        <v>6</v>
      </c>
      <c r="AS291" s="222">
        <v>2.9708902913281898</v>
      </c>
      <c r="AT291" s="237" t="s">
        <v>55</v>
      </c>
      <c r="AU291" s="229">
        <v>0.185680643208012</v>
      </c>
      <c r="AV291" s="230">
        <v>-29.286392198997302</v>
      </c>
      <c r="AW291" s="224"/>
      <c r="AX291" s="224"/>
      <c r="AY291" s="232">
        <v>27</v>
      </c>
      <c r="AZ291" s="232">
        <v>33</v>
      </c>
      <c r="BA291" s="223"/>
      <c r="BB291" s="240">
        <v>55</v>
      </c>
      <c r="BC291" s="236">
        <v>27.233161003841701</v>
      </c>
      <c r="BD291" s="237" t="s">
        <v>56</v>
      </c>
      <c r="BE291" s="244">
        <v>0.85103628137005505</v>
      </c>
      <c r="BF291" s="227">
        <v>-15.572784397994599</v>
      </c>
      <c r="BG291" s="224"/>
      <c r="BH291" s="224"/>
      <c r="BI291" s="232">
        <v>10</v>
      </c>
      <c r="BJ291" s="232">
        <v>23</v>
      </c>
      <c r="BK291" s="225"/>
      <c r="BL291" s="241">
        <v>0.8</v>
      </c>
      <c r="BM291" s="244">
        <v>0.75</v>
      </c>
      <c r="BN291" s="242"/>
      <c r="BO291" s="243">
        <v>0.95</v>
      </c>
      <c r="BP291" s="234">
        <v>1</v>
      </c>
      <c r="BQ291" s="242">
        <v>2.5000000000000001E-3</v>
      </c>
    </row>
    <row r="292" spans="1:69" s="211" customFormat="1" ht="22.35" customHeight="1" x14ac:dyDescent="0.2">
      <c r="A292" s="221" t="s">
        <v>340</v>
      </c>
      <c r="B292" s="221" t="s">
        <v>358</v>
      </c>
      <c r="C292" s="221" t="s">
        <v>365</v>
      </c>
      <c r="D292" s="222">
        <v>2.89402288477778</v>
      </c>
      <c r="E292" s="223"/>
      <c r="F292" s="224">
        <v>0.01</v>
      </c>
      <c r="G292" s="224">
        <v>0.01</v>
      </c>
      <c r="H292" s="225"/>
      <c r="I292" s="226">
        <v>3</v>
      </c>
      <c r="J292" s="226">
        <v>3</v>
      </c>
      <c r="K292" s="223"/>
      <c r="L292" s="227">
        <v>1071.0959399999999</v>
      </c>
      <c r="M292" s="227">
        <v>476.12682999999998</v>
      </c>
      <c r="N292" s="227">
        <v>1547.2227700000001</v>
      </c>
      <c r="O292" s="222">
        <v>534.62699902554698</v>
      </c>
      <c r="P292" s="228">
        <v>212.5</v>
      </c>
      <c r="Q292" s="234">
        <v>2.51589176012022</v>
      </c>
      <c r="R292" s="235">
        <v>875.66475958731598</v>
      </c>
      <c r="S292" s="224">
        <v>0.01</v>
      </c>
      <c r="T292" s="224">
        <v>0.01</v>
      </c>
      <c r="U292" s="231">
        <v>0</v>
      </c>
      <c r="V292" s="232">
        <v>0</v>
      </c>
      <c r="W292" s="223"/>
      <c r="X292" s="231">
        <v>1361.614865</v>
      </c>
      <c r="Y292" s="222">
        <v>470.49208634870701</v>
      </c>
      <c r="Z292" s="233">
        <v>573</v>
      </c>
      <c r="AA292" s="244">
        <v>0.82110311753701004</v>
      </c>
      <c r="AB292" s="227">
        <v>-449.22155837161301</v>
      </c>
      <c r="AC292" s="224"/>
      <c r="AD292" s="224"/>
      <c r="AE292" s="232">
        <v>297</v>
      </c>
      <c r="AF292" s="232">
        <v>629</v>
      </c>
      <c r="AG292" s="223"/>
      <c r="AH292" s="236">
        <v>93.9</v>
      </c>
      <c r="AI292" s="222">
        <v>32.446184338728997</v>
      </c>
      <c r="AJ292" s="237" t="s">
        <v>54</v>
      </c>
      <c r="AK292" s="229">
        <v>0.51501879902744396</v>
      </c>
      <c r="AL292" s="230">
        <v>-105.197198381172</v>
      </c>
      <c r="AM292" s="224"/>
      <c r="AN292" s="224"/>
      <c r="AO292" s="232">
        <v>89</v>
      </c>
      <c r="AP292" s="232">
        <v>125</v>
      </c>
      <c r="AQ292" s="223"/>
      <c r="AR292" s="236">
        <v>1</v>
      </c>
      <c r="AS292" s="222">
        <v>0.34553976931553798</v>
      </c>
      <c r="AT292" s="237" t="s">
        <v>55</v>
      </c>
      <c r="AU292" s="229">
        <v>2.15962355822211E-2</v>
      </c>
      <c r="AV292" s="230">
        <v>-49.564367842837399</v>
      </c>
      <c r="AW292" s="224"/>
      <c r="AX292" s="224"/>
      <c r="AY292" s="232">
        <v>46</v>
      </c>
      <c r="AZ292" s="232">
        <v>55</v>
      </c>
      <c r="BA292" s="223"/>
      <c r="BB292" s="240">
        <v>63.2</v>
      </c>
      <c r="BC292" s="236">
        <v>21.838113420742001</v>
      </c>
      <c r="BD292" s="237" t="s">
        <v>56</v>
      </c>
      <c r="BE292" s="229">
        <v>0.68244104439818698</v>
      </c>
      <c r="BF292" s="230">
        <v>-37.928735685674802</v>
      </c>
      <c r="BG292" s="224"/>
      <c r="BH292" s="224"/>
      <c r="BI292" s="232">
        <v>30</v>
      </c>
      <c r="BJ292" s="232">
        <v>48</v>
      </c>
      <c r="BK292" s="225"/>
      <c r="BL292" s="241">
        <v>0.8</v>
      </c>
      <c r="BM292" s="238">
        <v>0.85</v>
      </c>
      <c r="BN292" s="242">
        <v>1.8749999999999999E-3</v>
      </c>
      <c r="BO292" s="243">
        <v>0.95</v>
      </c>
      <c r="BP292" s="234">
        <v>1</v>
      </c>
      <c r="BQ292" s="242">
        <v>2.5000000000000001E-3</v>
      </c>
    </row>
    <row r="293" spans="1:69" s="211" customFormat="1" ht="22.35" customHeight="1" x14ac:dyDescent="0.2">
      <c r="A293" s="221" t="s">
        <v>340</v>
      </c>
      <c r="B293" s="221" t="s">
        <v>358</v>
      </c>
      <c r="C293" s="221" t="s">
        <v>366</v>
      </c>
      <c r="D293" s="222">
        <v>3.7017378756666699</v>
      </c>
      <c r="E293" s="223"/>
      <c r="F293" s="224">
        <v>0.04</v>
      </c>
      <c r="G293" s="224">
        <v>2.1000000000000001E-2</v>
      </c>
      <c r="H293" s="225"/>
      <c r="I293" s="226">
        <v>4</v>
      </c>
      <c r="J293" s="226">
        <v>4</v>
      </c>
      <c r="K293" s="223"/>
      <c r="L293" s="227">
        <v>2120.3780499999998</v>
      </c>
      <c r="M293" s="227">
        <v>-388.98426000000001</v>
      </c>
      <c r="N293" s="227">
        <v>1731.3937900000001</v>
      </c>
      <c r="O293" s="222">
        <v>467.724579144649</v>
      </c>
      <c r="P293" s="228">
        <v>229.78899999999999</v>
      </c>
      <c r="Q293" s="234">
        <v>2.0354524330783899</v>
      </c>
      <c r="R293" s="235">
        <v>802.51822997496697</v>
      </c>
      <c r="S293" s="224">
        <v>0.01</v>
      </c>
      <c r="T293" s="224">
        <v>0.01</v>
      </c>
      <c r="U293" s="231">
        <v>0</v>
      </c>
      <c r="V293" s="232">
        <v>0</v>
      </c>
      <c r="W293" s="223"/>
      <c r="X293" s="231">
        <v>2122.18291</v>
      </c>
      <c r="Y293" s="222">
        <v>573.29367483044803</v>
      </c>
      <c r="Z293" s="233">
        <v>573</v>
      </c>
      <c r="AA293" s="238">
        <v>1.00051252151911</v>
      </c>
      <c r="AB293" s="239">
        <v>-194.053706610646</v>
      </c>
      <c r="AC293" s="224">
        <v>0.01</v>
      </c>
      <c r="AD293" s="224">
        <v>1E-3</v>
      </c>
      <c r="AE293" s="232">
        <v>0</v>
      </c>
      <c r="AF293" s="232">
        <v>424</v>
      </c>
      <c r="AG293" s="223"/>
      <c r="AH293" s="236">
        <v>161.19999999999999</v>
      </c>
      <c r="AI293" s="222">
        <v>43.547113656978901</v>
      </c>
      <c r="AJ293" s="237" t="s">
        <v>54</v>
      </c>
      <c r="AK293" s="229">
        <v>0.69122402630125201</v>
      </c>
      <c r="AL293" s="230">
        <v>-93.464758894364195</v>
      </c>
      <c r="AM293" s="224"/>
      <c r="AN293" s="224"/>
      <c r="AO293" s="232">
        <v>73</v>
      </c>
      <c r="AP293" s="232">
        <v>119</v>
      </c>
      <c r="AQ293" s="223"/>
      <c r="AR293" s="236">
        <v>18</v>
      </c>
      <c r="AS293" s="222">
        <v>4.8625809294393303</v>
      </c>
      <c r="AT293" s="237" t="s">
        <v>55</v>
      </c>
      <c r="AU293" s="229">
        <v>0.30391130808995798</v>
      </c>
      <c r="AV293" s="230">
        <v>-46.676764163648102</v>
      </c>
      <c r="AW293" s="224"/>
      <c r="AX293" s="224"/>
      <c r="AY293" s="232">
        <v>42</v>
      </c>
      <c r="AZ293" s="232">
        <v>54</v>
      </c>
      <c r="BA293" s="223"/>
      <c r="BB293" s="240">
        <v>130.80000000000001</v>
      </c>
      <c r="BC293" s="236">
        <v>35.3347547539258</v>
      </c>
      <c r="BD293" s="237" t="s">
        <v>56</v>
      </c>
      <c r="BE293" s="234">
        <v>1.1042110860601799</v>
      </c>
      <c r="BF293" s="235">
        <v>1.44647167270389</v>
      </c>
      <c r="BG293" s="224">
        <v>0.02</v>
      </c>
      <c r="BH293" s="224">
        <v>0.01</v>
      </c>
      <c r="BI293" s="232">
        <v>0</v>
      </c>
      <c r="BJ293" s="232">
        <v>12</v>
      </c>
      <c r="BK293" s="225"/>
      <c r="BL293" s="241">
        <v>0.8</v>
      </c>
      <c r="BM293" s="244">
        <v>0.76</v>
      </c>
      <c r="BN293" s="242"/>
      <c r="BO293" s="243">
        <v>0.95</v>
      </c>
      <c r="BP293" s="234">
        <v>1</v>
      </c>
      <c r="BQ293" s="242">
        <v>2.5000000000000001E-3</v>
      </c>
    </row>
    <row r="294" spans="1:69" s="211" customFormat="1" ht="22.35" customHeight="1" x14ac:dyDescent="0.2">
      <c r="A294" s="221" t="s">
        <v>340</v>
      </c>
      <c r="B294" s="221" t="s">
        <v>358</v>
      </c>
      <c r="C294" s="221" t="s">
        <v>367</v>
      </c>
      <c r="D294" s="222">
        <v>3.4620816407777801</v>
      </c>
      <c r="E294" s="223"/>
      <c r="F294" s="224">
        <v>0.05</v>
      </c>
      <c r="G294" s="224">
        <v>4.3999999999999997E-2</v>
      </c>
      <c r="H294" s="225"/>
      <c r="I294" s="226">
        <v>5</v>
      </c>
      <c r="J294" s="226">
        <v>5</v>
      </c>
      <c r="K294" s="223"/>
      <c r="L294" s="227">
        <v>1295.2341899999999</v>
      </c>
      <c r="M294" s="227">
        <v>-89.063180000000003</v>
      </c>
      <c r="N294" s="227">
        <v>1206.17101</v>
      </c>
      <c r="O294" s="222">
        <v>348.39473332842198</v>
      </c>
      <c r="P294" s="228">
        <v>212.5</v>
      </c>
      <c r="Q294" s="234">
        <v>1.63950462742787</v>
      </c>
      <c r="R294" s="235">
        <v>402.79496525751603</v>
      </c>
      <c r="S294" s="224">
        <v>0.01</v>
      </c>
      <c r="T294" s="224">
        <v>0.01</v>
      </c>
      <c r="U294" s="231">
        <v>0</v>
      </c>
      <c r="V294" s="232">
        <v>0</v>
      </c>
      <c r="W294" s="223"/>
      <c r="X294" s="231">
        <v>2255.766455</v>
      </c>
      <c r="Y294" s="222">
        <v>651.563622426081</v>
      </c>
      <c r="Z294" s="233">
        <v>573</v>
      </c>
      <c r="AA294" s="234">
        <v>1.13710928870171</v>
      </c>
      <c r="AB294" s="235">
        <v>89.486579059090701</v>
      </c>
      <c r="AC294" s="224">
        <v>0.02</v>
      </c>
      <c r="AD294" s="224">
        <v>1.4E-2</v>
      </c>
      <c r="AE294" s="232">
        <v>0</v>
      </c>
      <c r="AF294" s="232">
        <v>125</v>
      </c>
      <c r="AG294" s="223"/>
      <c r="AH294" s="236">
        <v>184.8</v>
      </c>
      <c r="AI294" s="222">
        <v>53.3782906282024</v>
      </c>
      <c r="AJ294" s="237" t="s">
        <v>54</v>
      </c>
      <c r="AK294" s="244">
        <v>0.84727445441591098</v>
      </c>
      <c r="AL294" s="227">
        <v>-53.377368558948199</v>
      </c>
      <c r="AM294" s="224"/>
      <c r="AN294" s="224"/>
      <c r="AO294" s="232">
        <v>34</v>
      </c>
      <c r="AP294" s="232">
        <v>77</v>
      </c>
      <c r="AQ294" s="223"/>
      <c r="AR294" s="236">
        <v>34.9</v>
      </c>
      <c r="AS294" s="222">
        <v>10.0806403837893</v>
      </c>
      <c r="AT294" s="237" t="s">
        <v>55</v>
      </c>
      <c r="AU294" s="229">
        <v>0.63004002398683101</v>
      </c>
      <c r="AV294" s="230">
        <v>-25.5894904276694</v>
      </c>
      <c r="AW294" s="224"/>
      <c r="AX294" s="224"/>
      <c r="AY294" s="232">
        <v>21</v>
      </c>
      <c r="AZ294" s="232">
        <v>32</v>
      </c>
      <c r="BA294" s="223"/>
      <c r="BB294" s="240">
        <v>132.80000000000001</v>
      </c>
      <c r="BC294" s="236">
        <v>38.358425299920299</v>
      </c>
      <c r="BD294" s="237" t="s">
        <v>56</v>
      </c>
      <c r="BE294" s="234">
        <v>1.19870079062251</v>
      </c>
      <c r="BF294" s="235">
        <v>11.8210191446612</v>
      </c>
      <c r="BG294" s="224">
        <v>0.02</v>
      </c>
      <c r="BH294" s="224">
        <v>0.02</v>
      </c>
      <c r="BI294" s="232">
        <v>0</v>
      </c>
      <c r="BJ294" s="232">
        <v>1</v>
      </c>
      <c r="BK294" s="225"/>
      <c r="BL294" s="241">
        <v>0.8</v>
      </c>
      <c r="BM294" s="238">
        <v>0.81</v>
      </c>
      <c r="BN294" s="242">
        <v>3.7500000000000001E-4</v>
      </c>
      <c r="BO294" s="243">
        <v>0.95</v>
      </c>
      <c r="BP294" s="234">
        <v>1</v>
      </c>
      <c r="BQ294" s="242">
        <v>2.5000000000000001E-3</v>
      </c>
    </row>
    <row r="295" spans="1:69" s="211" customFormat="1" ht="22.35" customHeight="1" x14ac:dyDescent="0.2">
      <c r="A295" s="221" t="s">
        <v>340</v>
      </c>
      <c r="B295" s="221" t="s">
        <v>358</v>
      </c>
      <c r="C295" s="221" t="s">
        <v>358</v>
      </c>
      <c r="D295" s="222">
        <v>10.277247066999999</v>
      </c>
      <c r="E295" s="223"/>
      <c r="F295" s="224">
        <v>0.03</v>
      </c>
      <c r="G295" s="224">
        <v>2.1999999999999999E-2</v>
      </c>
      <c r="H295" s="225"/>
      <c r="I295" s="226">
        <v>3</v>
      </c>
      <c r="J295" s="226">
        <v>3</v>
      </c>
      <c r="K295" s="223"/>
      <c r="L295" s="227">
        <v>6960.7571600000001</v>
      </c>
      <c r="M295" s="227">
        <v>3613.2378899999999</v>
      </c>
      <c r="N295" s="227">
        <v>10573.99505</v>
      </c>
      <c r="O295" s="222">
        <v>1028.87426769693</v>
      </c>
      <c r="P295" s="228">
        <v>263.10899999999998</v>
      </c>
      <c r="Q295" s="234">
        <v>3.9104487786313999</v>
      </c>
      <c r="R295" s="235">
        <v>7621.1875211819797</v>
      </c>
      <c r="S295" s="224">
        <v>0.01</v>
      </c>
      <c r="T295" s="224">
        <v>0.01</v>
      </c>
      <c r="U295" s="231">
        <v>0</v>
      </c>
      <c r="V295" s="232">
        <v>0</v>
      </c>
      <c r="W295" s="223"/>
      <c r="X295" s="231">
        <v>4640.4485500000001</v>
      </c>
      <c r="Y295" s="222">
        <v>451.526417507308</v>
      </c>
      <c r="Z295" s="233">
        <v>573</v>
      </c>
      <c r="AA295" s="244">
        <v>0.78800421903544204</v>
      </c>
      <c r="AB295" s="227">
        <v>-1790.1893757749699</v>
      </c>
      <c r="AC295" s="224"/>
      <c r="AD295" s="224"/>
      <c r="AE295" s="232">
        <v>1249</v>
      </c>
      <c r="AF295" s="232">
        <v>2427</v>
      </c>
      <c r="AG295" s="223"/>
      <c r="AH295" s="236">
        <v>431.45</v>
      </c>
      <c r="AI295" s="222">
        <v>41.981086684718903</v>
      </c>
      <c r="AJ295" s="237" t="s">
        <v>54</v>
      </c>
      <c r="AK295" s="229">
        <v>0.66636645531299799</v>
      </c>
      <c r="AL295" s="230">
        <v>-275.583489221332</v>
      </c>
      <c r="AM295" s="224"/>
      <c r="AN295" s="224"/>
      <c r="AO295" s="232">
        <v>217</v>
      </c>
      <c r="AP295" s="232">
        <v>346</v>
      </c>
      <c r="AQ295" s="223"/>
      <c r="AR295" s="236">
        <v>46.1</v>
      </c>
      <c r="AS295" s="222">
        <v>4.4856370290080898</v>
      </c>
      <c r="AT295" s="237" t="s">
        <v>55</v>
      </c>
      <c r="AU295" s="229">
        <v>0.280352314313006</v>
      </c>
      <c r="AV295" s="230">
        <v>-133.464060754624</v>
      </c>
      <c r="AW295" s="224"/>
      <c r="AX295" s="224"/>
      <c r="AY295" s="232">
        <v>119</v>
      </c>
      <c r="AZ295" s="232">
        <v>152</v>
      </c>
      <c r="BA295" s="223"/>
      <c r="BB295" s="240">
        <v>367.2</v>
      </c>
      <c r="BC295" s="236">
        <v>35.729412517391999</v>
      </c>
      <c r="BD295" s="237" t="s">
        <v>56</v>
      </c>
      <c r="BE295" s="234">
        <v>1.1165441411685</v>
      </c>
      <c r="BF295" s="235">
        <v>8.0718784907520007</v>
      </c>
      <c r="BG295" s="224">
        <v>0.02</v>
      </c>
      <c r="BH295" s="224">
        <v>1.2E-2</v>
      </c>
      <c r="BI295" s="232">
        <v>0</v>
      </c>
      <c r="BJ295" s="232">
        <v>28</v>
      </c>
      <c r="BK295" s="225"/>
      <c r="BL295" s="241">
        <v>0.8</v>
      </c>
      <c r="BM295" s="244">
        <v>0.79</v>
      </c>
      <c r="BN295" s="242"/>
      <c r="BO295" s="243">
        <v>0.95</v>
      </c>
      <c r="BP295" s="234">
        <v>1</v>
      </c>
      <c r="BQ295" s="242">
        <v>2.5000000000000001E-3</v>
      </c>
    </row>
    <row r="296" spans="1:69" s="211" customFormat="1" ht="22.35" customHeight="1" x14ac:dyDescent="0.2">
      <c r="A296" s="221" t="s">
        <v>340</v>
      </c>
      <c r="B296" s="221" t="s">
        <v>358</v>
      </c>
      <c r="C296" s="221" t="s">
        <v>368</v>
      </c>
      <c r="D296" s="222">
        <v>3.9912457913333301</v>
      </c>
      <c r="E296" s="223"/>
      <c r="F296" s="224">
        <v>2.5999999999999999E-2</v>
      </c>
      <c r="G296" s="224">
        <v>1.6E-2</v>
      </c>
      <c r="H296" s="225"/>
      <c r="I296" s="226">
        <v>4</v>
      </c>
      <c r="J296" s="226">
        <v>4</v>
      </c>
      <c r="K296" s="223"/>
      <c r="L296" s="227">
        <v>1524.0484200000001</v>
      </c>
      <c r="M296" s="227">
        <v>597.09825000000001</v>
      </c>
      <c r="N296" s="227">
        <v>2121.1466700000001</v>
      </c>
      <c r="O296" s="222">
        <v>531.44977305228804</v>
      </c>
      <c r="P296" s="228">
        <v>212.5</v>
      </c>
      <c r="Q296" s="234">
        <v>2.5009401084813598</v>
      </c>
      <c r="R296" s="235">
        <v>1194.9780841211</v>
      </c>
      <c r="S296" s="224">
        <v>0.01</v>
      </c>
      <c r="T296" s="224">
        <v>0.01</v>
      </c>
      <c r="U296" s="231">
        <v>0</v>
      </c>
      <c r="V296" s="232">
        <v>0</v>
      </c>
      <c r="W296" s="223"/>
      <c r="X296" s="231">
        <v>2412.8723049999999</v>
      </c>
      <c r="Y296" s="222">
        <v>604.54114608510395</v>
      </c>
      <c r="Z296" s="233">
        <v>573</v>
      </c>
      <c r="AA296" s="238">
        <v>1.0550456301659801</v>
      </c>
      <c r="AB296" s="239">
        <v>-84.514046569925497</v>
      </c>
      <c r="AC296" s="224">
        <v>1.6E-2</v>
      </c>
      <c r="AD296" s="224">
        <v>6.0000000000000001E-3</v>
      </c>
      <c r="AE296" s="232">
        <v>0</v>
      </c>
      <c r="AF296" s="232">
        <v>332</v>
      </c>
      <c r="AG296" s="223"/>
      <c r="AH296" s="236">
        <v>211.55</v>
      </c>
      <c r="AI296" s="222">
        <v>53.003500926794203</v>
      </c>
      <c r="AJ296" s="237" t="s">
        <v>54</v>
      </c>
      <c r="AK296" s="244">
        <v>0.84132541153641704</v>
      </c>
      <c r="AL296" s="227">
        <v>-63.031745460567798</v>
      </c>
      <c r="AM296" s="224"/>
      <c r="AN296" s="224"/>
      <c r="AO296" s="232">
        <v>40</v>
      </c>
      <c r="AP296" s="232">
        <v>91</v>
      </c>
      <c r="AQ296" s="223"/>
      <c r="AR296" s="236">
        <v>15.8</v>
      </c>
      <c r="AS296" s="222">
        <v>3.9586637421098998</v>
      </c>
      <c r="AT296" s="237" t="s">
        <v>55</v>
      </c>
      <c r="AU296" s="229">
        <v>0.24741648388186899</v>
      </c>
      <c r="AV296" s="230">
        <v>-53.935046466175997</v>
      </c>
      <c r="AW296" s="224"/>
      <c r="AX296" s="224"/>
      <c r="AY296" s="232">
        <v>49</v>
      </c>
      <c r="AZ296" s="232">
        <v>61</v>
      </c>
      <c r="BA296" s="223"/>
      <c r="BB296" s="240">
        <v>97.6</v>
      </c>
      <c r="BC296" s="236">
        <v>24.453517799362402</v>
      </c>
      <c r="BD296" s="237" t="s">
        <v>56</v>
      </c>
      <c r="BE296" s="244">
        <v>0.76417243123007506</v>
      </c>
      <c r="BF296" s="227">
        <v>-41.870092932351902</v>
      </c>
      <c r="BG296" s="224"/>
      <c r="BH296" s="224"/>
      <c r="BI296" s="232">
        <v>31</v>
      </c>
      <c r="BJ296" s="232">
        <v>56</v>
      </c>
      <c r="BK296" s="225"/>
      <c r="BL296" s="241">
        <v>0.8</v>
      </c>
      <c r="BM296" s="238">
        <v>0.82</v>
      </c>
      <c r="BN296" s="242">
        <v>7.5000000000000002E-4</v>
      </c>
      <c r="BO296" s="243">
        <v>0.95</v>
      </c>
      <c r="BP296" s="234">
        <v>1</v>
      </c>
      <c r="BQ296" s="242">
        <v>2.5000000000000001E-3</v>
      </c>
    </row>
    <row r="297" spans="1:69" s="211" customFormat="1" ht="22.35" customHeight="1" x14ac:dyDescent="0.2">
      <c r="A297" s="221" t="s">
        <v>340</v>
      </c>
      <c r="B297" s="221" t="s">
        <v>358</v>
      </c>
      <c r="C297" s="221" t="s">
        <v>369</v>
      </c>
      <c r="D297" s="222">
        <v>1.8887926887777799</v>
      </c>
      <c r="E297" s="223"/>
      <c r="F297" s="224">
        <v>5.8999999999999997E-2</v>
      </c>
      <c r="G297" s="224">
        <v>4.8000000000000001E-2</v>
      </c>
      <c r="H297" s="225"/>
      <c r="I297" s="226">
        <v>4</v>
      </c>
      <c r="J297" s="226">
        <v>4</v>
      </c>
      <c r="K297" s="223"/>
      <c r="L297" s="227">
        <v>224.49773999999999</v>
      </c>
      <c r="M297" s="227">
        <v>58.663069999999998</v>
      </c>
      <c r="N297" s="227">
        <v>283.16081000000003</v>
      </c>
      <c r="O297" s="222">
        <v>149.916299275402</v>
      </c>
      <c r="P297" s="228">
        <v>212.5</v>
      </c>
      <c r="Q297" s="229">
        <v>0.705488467178361</v>
      </c>
      <c r="R297" s="230">
        <v>-155.133533430884</v>
      </c>
      <c r="S297" s="224"/>
      <c r="T297" s="224"/>
      <c r="U297" s="231">
        <v>119</v>
      </c>
      <c r="V297" s="232">
        <v>199</v>
      </c>
      <c r="W297" s="223"/>
      <c r="X297" s="231">
        <v>1442.42831</v>
      </c>
      <c r="Y297" s="222">
        <v>763.67741074505295</v>
      </c>
      <c r="Z297" s="233">
        <v>573</v>
      </c>
      <c r="AA297" s="234">
        <v>1.33277035034041</v>
      </c>
      <c r="AB297" s="235">
        <v>260.58050394872299</v>
      </c>
      <c r="AC297" s="224">
        <v>0.02</v>
      </c>
      <c r="AD297" s="224">
        <v>0.02</v>
      </c>
      <c r="AE297" s="232">
        <v>0</v>
      </c>
      <c r="AF297" s="232">
        <v>0</v>
      </c>
      <c r="AG297" s="223"/>
      <c r="AH297" s="236">
        <v>170.25</v>
      </c>
      <c r="AI297" s="222">
        <v>90.136943567992802</v>
      </c>
      <c r="AJ297" s="237" t="s">
        <v>54</v>
      </c>
      <c r="AK297" s="234">
        <v>1.4307451359998899</v>
      </c>
      <c r="AL297" s="235">
        <v>40.308618182843801</v>
      </c>
      <c r="AM297" s="224">
        <v>0.02</v>
      </c>
      <c r="AN297" s="224">
        <v>0.02</v>
      </c>
      <c r="AO297" s="232">
        <v>0</v>
      </c>
      <c r="AP297" s="232">
        <v>0</v>
      </c>
      <c r="AQ297" s="223"/>
      <c r="AR297" s="236">
        <v>13.6</v>
      </c>
      <c r="AS297" s="222">
        <v>7.2003667108646301</v>
      </c>
      <c r="AT297" s="237" t="s">
        <v>55</v>
      </c>
      <c r="AU297" s="229">
        <v>0.45002291942903899</v>
      </c>
      <c r="AV297" s="230">
        <v>-19.400985858325399</v>
      </c>
      <c r="AW297" s="224"/>
      <c r="AX297" s="224"/>
      <c r="AY297" s="232">
        <v>17</v>
      </c>
      <c r="AZ297" s="232">
        <v>23</v>
      </c>
      <c r="BA297" s="223"/>
      <c r="BB297" s="240">
        <v>65.400000000000006</v>
      </c>
      <c r="BC297" s="236">
        <v>34.625292859599</v>
      </c>
      <c r="BD297" s="237" t="s">
        <v>56</v>
      </c>
      <c r="BE297" s="238">
        <v>1.0820404018624701</v>
      </c>
      <c r="BF297" s="239">
        <v>-0.60197171665073801</v>
      </c>
      <c r="BG297" s="224">
        <v>1.9E-2</v>
      </c>
      <c r="BH297" s="224">
        <v>8.0000000000000002E-3</v>
      </c>
      <c r="BI297" s="232">
        <v>0</v>
      </c>
      <c r="BJ297" s="232">
        <v>8</v>
      </c>
      <c r="BK297" s="225"/>
      <c r="BL297" s="241">
        <v>0.8</v>
      </c>
      <c r="BM297" s="244">
        <v>0.78</v>
      </c>
      <c r="BN297" s="242"/>
      <c r="BO297" s="243">
        <v>0.95</v>
      </c>
      <c r="BP297" s="234">
        <v>1</v>
      </c>
      <c r="BQ297" s="242">
        <v>2.5000000000000001E-3</v>
      </c>
    </row>
    <row r="298" spans="1:69" s="211" customFormat="1" ht="22.35" customHeight="1" x14ac:dyDescent="0.2">
      <c r="A298" s="221" t="s">
        <v>340</v>
      </c>
      <c r="B298" s="221" t="s">
        <v>358</v>
      </c>
      <c r="C298" s="221" t="s">
        <v>370</v>
      </c>
      <c r="D298" s="222">
        <v>3.20739114933333</v>
      </c>
      <c r="E298" s="223"/>
      <c r="F298" s="224">
        <v>3.5000000000000003E-2</v>
      </c>
      <c r="G298" s="224">
        <v>2.1999999999999999E-2</v>
      </c>
      <c r="H298" s="225"/>
      <c r="I298" s="226">
        <v>5</v>
      </c>
      <c r="J298" s="226">
        <v>4</v>
      </c>
      <c r="K298" s="223"/>
      <c r="L298" s="227">
        <v>2220.4430000000002</v>
      </c>
      <c r="M298" s="227">
        <v>203.83557999999999</v>
      </c>
      <c r="N298" s="227">
        <v>2424.2785800000001</v>
      </c>
      <c r="O298" s="222">
        <v>755.84126385828995</v>
      </c>
      <c r="P298" s="228">
        <v>236.798</v>
      </c>
      <c r="Q298" s="234">
        <v>3.1919241879504501</v>
      </c>
      <c r="R298" s="235">
        <v>1594.90042015722</v>
      </c>
      <c r="S298" s="224">
        <v>0.01</v>
      </c>
      <c r="T298" s="224">
        <v>0.01</v>
      </c>
      <c r="U298" s="231">
        <v>0</v>
      </c>
      <c r="V298" s="232">
        <v>0</v>
      </c>
      <c r="W298" s="223"/>
      <c r="X298" s="231">
        <v>1754.3235199999999</v>
      </c>
      <c r="Y298" s="222">
        <v>546.96276142204897</v>
      </c>
      <c r="Z298" s="233">
        <v>573</v>
      </c>
      <c r="AA298" s="238">
        <v>0.95455979305767702</v>
      </c>
      <c r="AB298" s="239">
        <v>-252.59244039625401</v>
      </c>
      <c r="AC298" s="224">
        <v>5.0000000000000001E-3</v>
      </c>
      <c r="AD298" s="224"/>
      <c r="AE298" s="232">
        <v>84</v>
      </c>
      <c r="AF298" s="232">
        <v>452</v>
      </c>
      <c r="AG298" s="223"/>
      <c r="AH298" s="236">
        <v>115.75</v>
      </c>
      <c r="AI298" s="222">
        <v>36.0885201120727</v>
      </c>
      <c r="AJ298" s="237" t="s">
        <v>54</v>
      </c>
      <c r="AK298" s="229">
        <v>0.57283365257258201</v>
      </c>
      <c r="AL298" s="230">
        <v>-104.905681509536</v>
      </c>
      <c r="AM298" s="224"/>
      <c r="AN298" s="224"/>
      <c r="AO298" s="232">
        <v>87</v>
      </c>
      <c r="AP298" s="232">
        <v>127</v>
      </c>
      <c r="AQ298" s="223"/>
      <c r="AR298" s="236">
        <v>11</v>
      </c>
      <c r="AS298" s="222">
        <v>3.4295785851645801</v>
      </c>
      <c r="AT298" s="237" t="s">
        <v>55</v>
      </c>
      <c r="AU298" s="229">
        <v>0.21434866157278601</v>
      </c>
      <c r="AV298" s="230">
        <v>-45.039538161151903</v>
      </c>
      <c r="AW298" s="224"/>
      <c r="AX298" s="224"/>
      <c r="AY298" s="232">
        <v>41</v>
      </c>
      <c r="AZ298" s="232">
        <v>51</v>
      </c>
      <c r="BA298" s="223"/>
      <c r="BB298" s="240">
        <v>115.2</v>
      </c>
      <c r="BC298" s="236">
        <v>35.917041182814501</v>
      </c>
      <c r="BD298" s="237" t="s">
        <v>56</v>
      </c>
      <c r="BE298" s="234">
        <v>1.12240753696295</v>
      </c>
      <c r="BF298" s="235">
        <v>3.1209236776961098</v>
      </c>
      <c r="BG298" s="224">
        <v>0.02</v>
      </c>
      <c r="BH298" s="224">
        <v>1.2E-2</v>
      </c>
      <c r="BI298" s="232">
        <v>0</v>
      </c>
      <c r="BJ298" s="232">
        <v>8</v>
      </c>
      <c r="BK298" s="225"/>
      <c r="BL298" s="241">
        <v>0.8</v>
      </c>
      <c r="BM298" s="238">
        <v>0.85</v>
      </c>
      <c r="BN298" s="242">
        <v>1.8749999999999999E-3</v>
      </c>
      <c r="BO298" s="243">
        <v>0.95</v>
      </c>
      <c r="BP298" s="234">
        <v>1</v>
      </c>
      <c r="BQ298" s="242">
        <v>2.5000000000000001E-3</v>
      </c>
    </row>
    <row r="299" spans="1:69" s="211" customFormat="1" ht="21.95" customHeight="1" x14ac:dyDescent="0.2">
      <c r="A299" s="245"/>
      <c r="B299" s="245"/>
      <c r="C299" s="246" t="s">
        <v>371</v>
      </c>
      <c r="D299" s="247">
        <v>1158.2086281173299</v>
      </c>
      <c r="E299" s="248"/>
      <c r="F299" s="245"/>
      <c r="G299" s="245"/>
      <c r="H299" s="249"/>
      <c r="I299" s="245"/>
      <c r="J299" s="245"/>
      <c r="K299" s="248"/>
      <c r="L299" s="250">
        <v>659617.61583999998</v>
      </c>
      <c r="M299" s="250">
        <v>339244.02548000001</v>
      </c>
      <c r="N299" s="250">
        <v>998861.64132000005</v>
      </c>
      <c r="O299" s="247">
        <v>862.41944419258004</v>
      </c>
      <c r="P299" s="251"/>
      <c r="Q299" s="245"/>
      <c r="R299" s="245"/>
      <c r="S299" s="245"/>
      <c r="T299" s="245"/>
      <c r="U299" s="252">
        <v>41622</v>
      </c>
      <c r="V299" s="252">
        <v>46172</v>
      </c>
      <c r="W299" s="248"/>
      <c r="X299" s="253">
        <v>635162.85507000005</v>
      </c>
      <c r="Y299" s="254">
        <v>548.401073563453</v>
      </c>
      <c r="Z299" s="255"/>
      <c r="AA299" s="256"/>
      <c r="AB299" s="256"/>
      <c r="AC299" s="256"/>
      <c r="AD299" s="256"/>
      <c r="AE299" s="257">
        <v>79177</v>
      </c>
      <c r="AF299" s="257">
        <v>181246</v>
      </c>
      <c r="AG299" s="248"/>
      <c r="AH299" s="254">
        <v>59385.35</v>
      </c>
      <c r="AI299" s="258">
        <v>51.273448114896901</v>
      </c>
      <c r="AJ299" s="255"/>
      <c r="AK299" s="256"/>
      <c r="AL299" s="256"/>
      <c r="AM299" s="256"/>
      <c r="AN299" s="256"/>
      <c r="AO299" s="257">
        <v>16922</v>
      </c>
      <c r="AP299" s="257">
        <v>30073</v>
      </c>
      <c r="AQ299" s="248"/>
      <c r="AR299" s="254">
        <v>11064.4</v>
      </c>
      <c r="AS299" s="258">
        <v>9.5530284712048505</v>
      </c>
      <c r="AT299" s="255"/>
      <c r="AU299" s="256"/>
      <c r="AV299" s="256"/>
      <c r="AW299" s="256"/>
      <c r="AX299" s="259"/>
      <c r="AY299" s="257">
        <v>8932</v>
      </c>
      <c r="AZ299" s="257">
        <v>12265</v>
      </c>
      <c r="BA299" s="248"/>
      <c r="BB299" s="256">
        <v>43655.6</v>
      </c>
      <c r="BC299" s="258">
        <v>37.6923456967871</v>
      </c>
      <c r="BD299" s="255"/>
      <c r="BE299" s="256"/>
      <c r="BF299" s="256"/>
      <c r="BG299" s="256"/>
      <c r="BH299" s="256"/>
      <c r="BI299" s="257">
        <v>1810</v>
      </c>
      <c r="BJ299" s="257">
        <v>5462</v>
      </c>
      <c r="BK299" s="256"/>
      <c r="BL299" s="256"/>
      <c r="BM299" s="256"/>
      <c r="BN299" s="256"/>
      <c r="BO299" s="256"/>
      <c r="BP299" s="256"/>
      <c r="BQ299" s="256"/>
    </row>
    <row r="300" spans="1:69" s="211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78" bestFit="1" customWidth="1"/>
    <col min="2" max="2" width="23.5703125" style="178" bestFit="1" customWidth="1"/>
    <col min="3" max="3" width="31.5703125" style="178" bestFit="1" customWidth="1"/>
    <col min="4" max="4" width="7" style="178" bestFit="1" customWidth="1"/>
    <col min="5" max="5" width="16.140625" style="181" bestFit="1" customWidth="1"/>
    <col min="6" max="6" width="17.42578125" style="184" bestFit="1" customWidth="1"/>
    <col min="7" max="7" width="17.140625" style="181" bestFit="1" customWidth="1"/>
  </cols>
  <sheetData>
    <row r="1" spans="1:7" x14ac:dyDescent="0.25">
      <c r="A1" s="175" t="s">
        <v>1</v>
      </c>
      <c r="B1" s="175" t="s">
        <v>2</v>
      </c>
      <c r="C1" s="175" t="s">
        <v>3</v>
      </c>
      <c r="D1" s="175" t="s">
        <v>424</v>
      </c>
      <c r="E1" s="180" t="s">
        <v>611</v>
      </c>
      <c r="F1" s="183" t="s">
        <v>610</v>
      </c>
      <c r="G1" s="180" t="s">
        <v>612</v>
      </c>
    </row>
    <row r="2" spans="1:7" x14ac:dyDescent="0.25">
      <c r="A2" s="176" t="s">
        <v>4</v>
      </c>
      <c r="B2" s="176" t="s">
        <v>0</v>
      </c>
      <c r="C2" s="176" t="s">
        <v>5</v>
      </c>
      <c r="D2" s="177">
        <v>410560</v>
      </c>
      <c r="E2" s="181">
        <v>5.2632911394150597</v>
      </c>
      <c r="F2" s="184">
        <v>42527.3924064737</v>
      </c>
      <c r="G2" s="181">
        <v>2.6316455697075298</v>
      </c>
    </row>
    <row r="3" spans="1:7" x14ac:dyDescent="0.25">
      <c r="A3" s="176" t="s">
        <v>4</v>
      </c>
      <c r="B3" s="176" t="s">
        <v>0</v>
      </c>
      <c r="C3" s="176" t="s">
        <v>57</v>
      </c>
      <c r="D3" s="177">
        <v>410566</v>
      </c>
      <c r="E3" s="181">
        <v>3.6446746822547502</v>
      </c>
      <c r="F3" s="184">
        <v>23162.723577672699</v>
      </c>
      <c r="G3" s="181">
        <v>2.1759251834356701</v>
      </c>
    </row>
    <row r="4" spans="1:7" x14ac:dyDescent="0.25">
      <c r="A4" s="176" t="s">
        <v>4</v>
      </c>
      <c r="B4" s="176" t="s">
        <v>0</v>
      </c>
      <c r="C4" s="176" t="s">
        <v>58</v>
      </c>
      <c r="D4" s="177">
        <v>510590</v>
      </c>
      <c r="E4" s="181">
        <v>4.7644637340036198</v>
      </c>
      <c r="F4" s="184">
        <v>39772.914649073697</v>
      </c>
      <c r="G4" s="181">
        <v>3.31440955408948</v>
      </c>
    </row>
    <row r="5" spans="1:7" x14ac:dyDescent="0.25">
      <c r="A5" s="176" t="s">
        <v>4</v>
      </c>
      <c r="B5" s="176" t="s">
        <v>0</v>
      </c>
      <c r="C5" s="176" t="s">
        <v>59</v>
      </c>
      <c r="D5" s="177">
        <v>451154</v>
      </c>
      <c r="E5" s="181">
        <v>2.1312617292509302</v>
      </c>
      <c r="F5" s="184">
        <v>29660.059065408699</v>
      </c>
      <c r="G5" s="181">
        <v>2.4864720174594099</v>
      </c>
    </row>
    <row r="6" spans="1:7" x14ac:dyDescent="0.25">
      <c r="A6" s="176" t="s">
        <v>4</v>
      </c>
      <c r="B6" s="176" t="s">
        <v>0</v>
      </c>
      <c r="C6" s="176" t="s">
        <v>60</v>
      </c>
      <c r="D6" s="177">
        <v>410541</v>
      </c>
      <c r="E6" s="181">
        <v>4.1184010078155602</v>
      </c>
      <c r="F6" s="184">
        <v>32378.1199232627</v>
      </c>
      <c r="G6" s="181">
        <v>2.99520073295677</v>
      </c>
    </row>
    <row r="7" spans="1:7" x14ac:dyDescent="0.25">
      <c r="A7" s="176" t="s">
        <v>4</v>
      </c>
      <c r="B7" s="176" t="s">
        <v>0</v>
      </c>
      <c r="C7" s="176" t="s">
        <v>61</v>
      </c>
      <c r="D7" s="177">
        <v>410582</v>
      </c>
      <c r="E7" s="181">
        <v>4.8101265822243704</v>
      </c>
      <c r="F7" s="184">
        <v>77443.037973812301</v>
      </c>
      <c r="G7" s="181">
        <v>2.4050632911121799</v>
      </c>
    </row>
    <row r="8" spans="1:7" x14ac:dyDescent="0.25">
      <c r="A8" s="176" t="s">
        <v>4</v>
      </c>
      <c r="B8" s="176" t="s">
        <v>0</v>
      </c>
      <c r="C8" s="176" t="s">
        <v>62</v>
      </c>
      <c r="D8" s="177">
        <v>451156</v>
      </c>
      <c r="E8" s="181">
        <v>2.86169975415689</v>
      </c>
      <c r="F8" s="184">
        <v>34525.022840473503</v>
      </c>
      <c r="G8" s="181">
        <v>4.4310189741784196</v>
      </c>
    </row>
    <row r="9" spans="1:7" x14ac:dyDescent="0.25">
      <c r="A9" s="176" t="s">
        <v>4</v>
      </c>
      <c r="B9" s="176" t="s">
        <v>0</v>
      </c>
      <c r="C9" s="176" t="s">
        <v>63</v>
      </c>
      <c r="D9" s="177">
        <v>551157</v>
      </c>
      <c r="E9" s="181">
        <v>4.9315154042648004</v>
      </c>
      <c r="F9" s="184">
        <v>62926.136558418802</v>
      </c>
      <c r="G9" s="181">
        <v>3.9452123234118401</v>
      </c>
    </row>
    <row r="10" spans="1:7" x14ac:dyDescent="0.25">
      <c r="A10" s="176" t="s">
        <v>4</v>
      </c>
      <c r="B10" s="176" t="s">
        <v>0</v>
      </c>
      <c r="C10" s="176" t="s">
        <v>64</v>
      </c>
      <c r="D10" s="177">
        <v>451151</v>
      </c>
      <c r="E10" s="181">
        <v>5.6769291521488601</v>
      </c>
      <c r="F10" s="184">
        <v>48431.301829269898</v>
      </c>
      <c r="G10" s="181">
        <v>2.1288484320558201</v>
      </c>
    </row>
    <row r="11" spans="1:7" x14ac:dyDescent="0.25">
      <c r="A11" s="176" t="s">
        <v>4</v>
      </c>
      <c r="B11" s="176" t="s">
        <v>65</v>
      </c>
      <c r="C11" s="176" t="s">
        <v>66</v>
      </c>
      <c r="D11" s="177">
        <v>510530</v>
      </c>
      <c r="E11" s="181">
        <v>4.2061194682713499</v>
      </c>
      <c r="F11" s="184">
        <v>39038.215916485002</v>
      </c>
      <c r="G11" s="181">
        <v>3.25635055608105</v>
      </c>
    </row>
    <row r="12" spans="1:7" x14ac:dyDescent="0.25">
      <c r="A12" s="176" t="s">
        <v>4</v>
      </c>
      <c r="B12" s="176" t="s">
        <v>65</v>
      </c>
      <c r="C12" s="176" t="s">
        <v>67</v>
      </c>
      <c r="D12" s="177">
        <v>410550</v>
      </c>
      <c r="E12" s="181">
        <v>3.5139573882492598</v>
      </c>
      <c r="F12" s="184">
        <v>56675.112733334499</v>
      </c>
      <c r="G12" s="181">
        <v>2.67730086723753</v>
      </c>
    </row>
    <row r="13" spans="1:7" x14ac:dyDescent="0.25">
      <c r="A13" s="176" t="s">
        <v>4</v>
      </c>
      <c r="B13" s="176" t="s">
        <v>65</v>
      </c>
      <c r="C13" s="176" t="s">
        <v>68</v>
      </c>
      <c r="D13" s="177">
        <v>510556</v>
      </c>
      <c r="E13" s="181">
        <v>4.0194208455429496</v>
      </c>
      <c r="F13" s="184">
        <v>48045.477173723397</v>
      </c>
      <c r="G13" s="181">
        <v>4.2873822352458202</v>
      </c>
    </row>
    <row r="14" spans="1:7" x14ac:dyDescent="0.25">
      <c r="A14" s="176" t="s">
        <v>4</v>
      </c>
      <c r="B14" s="176" t="s">
        <v>65</v>
      </c>
      <c r="C14" s="176" t="s">
        <v>69</v>
      </c>
      <c r="D14" s="177">
        <v>410551</v>
      </c>
      <c r="E14" s="181">
        <v>3.3146560153494402</v>
      </c>
      <c r="F14" s="184">
        <v>51625.767439067502</v>
      </c>
      <c r="G14" s="181">
        <v>3.3146560153494402</v>
      </c>
    </row>
    <row r="15" spans="1:7" x14ac:dyDescent="0.25">
      <c r="A15" s="176" t="s">
        <v>4</v>
      </c>
      <c r="B15" s="176" t="s">
        <v>65</v>
      </c>
      <c r="C15" s="176" t="s">
        <v>70</v>
      </c>
      <c r="D15" s="177">
        <v>510523</v>
      </c>
      <c r="E15" s="181">
        <v>3.2162513275884601</v>
      </c>
      <c r="F15" s="184">
        <v>29380.8905060783</v>
      </c>
      <c r="G15" s="181">
        <v>1.7385142311288999</v>
      </c>
    </row>
    <row r="16" spans="1:7" x14ac:dyDescent="0.25">
      <c r="A16" s="176" t="s">
        <v>4</v>
      </c>
      <c r="B16" s="176" t="s">
        <v>65</v>
      </c>
      <c r="C16" s="176" t="s">
        <v>71</v>
      </c>
      <c r="D16" s="177">
        <v>510570</v>
      </c>
      <c r="E16" s="181">
        <v>3.9037123902883901</v>
      </c>
      <c r="F16" s="184">
        <v>42806.225521093402</v>
      </c>
      <c r="G16" s="181">
        <v>2.6922154415781998</v>
      </c>
    </row>
    <row r="17" spans="1:7" x14ac:dyDescent="0.25">
      <c r="A17" s="176" t="s">
        <v>4</v>
      </c>
      <c r="B17" s="176" t="s">
        <v>65</v>
      </c>
      <c r="C17" s="176" t="s">
        <v>72</v>
      </c>
      <c r="D17" s="177">
        <v>410571</v>
      </c>
      <c r="E17" s="181">
        <v>2.4128473355700701</v>
      </c>
      <c r="F17" s="184">
        <v>41395.412100873997</v>
      </c>
      <c r="G17" s="181">
        <v>2.11124141862381</v>
      </c>
    </row>
    <row r="18" spans="1:7" x14ac:dyDescent="0.25">
      <c r="A18" s="176" t="s">
        <v>4</v>
      </c>
      <c r="B18" s="176" t="s">
        <v>65</v>
      </c>
      <c r="C18" s="176" t="s">
        <v>73</v>
      </c>
      <c r="D18" s="177">
        <v>510520</v>
      </c>
      <c r="E18" s="181">
        <v>3.7062717881003402</v>
      </c>
      <c r="F18" s="184">
        <v>42367.319377722</v>
      </c>
      <c r="G18" s="181">
        <v>3.24298781458779</v>
      </c>
    </row>
    <row r="19" spans="1:7" x14ac:dyDescent="0.25">
      <c r="A19" s="176" t="s">
        <v>4</v>
      </c>
      <c r="B19" s="176" t="s">
        <v>65</v>
      </c>
      <c r="C19" s="176" t="s">
        <v>74</v>
      </c>
      <c r="D19" s="177">
        <v>410521</v>
      </c>
      <c r="E19" s="181">
        <v>2.0106836013973899</v>
      </c>
      <c r="F19" s="184">
        <v>30830.4818880934</v>
      </c>
      <c r="G19" s="181">
        <v>1.78727431235324</v>
      </c>
    </row>
    <row r="20" spans="1:7" x14ac:dyDescent="0.25">
      <c r="A20" s="176" t="s">
        <v>4</v>
      </c>
      <c r="B20" s="176" t="s">
        <v>65</v>
      </c>
      <c r="C20" s="176" t="s">
        <v>75</v>
      </c>
      <c r="D20" s="177">
        <v>410524</v>
      </c>
      <c r="E20" s="181">
        <v>3.3389659256884499</v>
      </c>
      <c r="F20" s="184">
        <v>33868.943965760503</v>
      </c>
      <c r="G20" s="181">
        <v>2.2895766347577999</v>
      </c>
    </row>
    <row r="21" spans="1:7" x14ac:dyDescent="0.25">
      <c r="A21" s="176" t="s">
        <v>4</v>
      </c>
      <c r="B21" s="176" t="s">
        <v>65</v>
      </c>
      <c r="C21" s="176" t="s">
        <v>76</v>
      </c>
      <c r="D21" s="177">
        <v>510513</v>
      </c>
      <c r="E21" s="181">
        <v>3.1972036144613698</v>
      </c>
      <c r="F21" s="184">
        <v>47958.0542169205</v>
      </c>
      <c r="G21" s="181">
        <v>2.1314690763075799</v>
      </c>
    </row>
    <row r="22" spans="1:7" x14ac:dyDescent="0.25">
      <c r="A22" s="176" t="s">
        <v>4</v>
      </c>
      <c r="B22" s="176" t="s">
        <v>65</v>
      </c>
      <c r="C22" s="176" t="s">
        <v>77</v>
      </c>
      <c r="D22" s="177">
        <v>510511</v>
      </c>
      <c r="E22" s="181">
        <v>4.4669250011707602</v>
      </c>
      <c r="F22" s="184">
        <v>27109.613800208699</v>
      </c>
      <c r="G22" s="181">
        <v>3.0806379318418999</v>
      </c>
    </row>
    <row r="23" spans="1:7" x14ac:dyDescent="0.25">
      <c r="A23" s="176" t="s">
        <v>4</v>
      </c>
      <c r="B23" s="176" t="s">
        <v>65</v>
      </c>
      <c r="C23" s="176" t="s">
        <v>78</v>
      </c>
      <c r="D23" s="177">
        <v>510522</v>
      </c>
      <c r="E23" s="181">
        <v>3.1003976241178299</v>
      </c>
      <c r="F23" s="184">
        <v>45420.8251933262</v>
      </c>
      <c r="G23" s="181">
        <v>2.3252982180883701</v>
      </c>
    </row>
    <row r="24" spans="1:7" x14ac:dyDescent="0.25">
      <c r="A24" s="176" t="s">
        <v>4</v>
      </c>
      <c r="B24" s="176" t="s">
        <v>65</v>
      </c>
      <c r="C24" s="176" t="s">
        <v>79</v>
      </c>
      <c r="D24" s="177">
        <v>410510</v>
      </c>
      <c r="E24" s="181">
        <v>3.2509699437195199</v>
      </c>
      <c r="F24" s="184">
        <v>162029.89007590699</v>
      </c>
      <c r="G24" s="181">
        <v>2.9929564561227302</v>
      </c>
    </row>
    <row r="25" spans="1:7" x14ac:dyDescent="0.25">
      <c r="A25" s="176" t="s">
        <v>4</v>
      </c>
      <c r="B25" s="176" t="s">
        <v>65</v>
      </c>
      <c r="C25" s="176" t="s">
        <v>80</v>
      </c>
      <c r="D25" s="177">
        <v>410512</v>
      </c>
      <c r="E25" s="181">
        <v>3.38739155805871</v>
      </c>
      <c r="F25" s="184">
        <v>40422.872592833897</v>
      </c>
      <c r="G25" s="181">
        <v>3.6132176619292902</v>
      </c>
    </row>
    <row r="26" spans="1:7" x14ac:dyDescent="0.25">
      <c r="A26" s="176" t="s">
        <v>431</v>
      </c>
      <c r="B26" s="176" t="s">
        <v>607</v>
      </c>
      <c r="C26" s="176" t="s">
        <v>608</v>
      </c>
      <c r="D26" s="177">
        <v>405705</v>
      </c>
      <c r="E26" s="181" t="e">
        <v>#N/A</v>
      </c>
      <c r="F26" s="184" t="e">
        <v>#N/A</v>
      </c>
      <c r="G26" s="181">
        <v>0</v>
      </c>
    </row>
    <row r="27" spans="1:7" x14ac:dyDescent="0.25">
      <c r="A27" s="176" t="s">
        <v>431</v>
      </c>
      <c r="B27" s="176" t="s">
        <v>609</v>
      </c>
      <c r="C27" s="176" t="s">
        <v>609</v>
      </c>
      <c r="D27" s="177">
        <v>405800</v>
      </c>
      <c r="E27" s="181">
        <v>0</v>
      </c>
      <c r="F27" s="184">
        <v>0</v>
      </c>
      <c r="G27" s="181">
        <v>0</v>
      </c>
    </row>
    <row r="28" spans="1:7" x14ac:dyDescent="0.25">
      <c r="A28" s="176" t="s">
        <v>431</v>
      </c>
      <c r="B28" s="176" t="s">
        <v>433</v>
      </c>
      <c r="C28" s="176" t="s">
        <v>433</v>
      </c>
      <c r="D28" s="177">
        <v>4017</v>
      </c>
      <c r="E28" s="181">
        <v>4.3992624544313301</v>
      </c>
      <c r="F28" s="184">
        <v>23059.366146508099</v>
      </c>
      <c r="G28" s="181">
        <v>2.4678789378517201</v>
      </c>
    </row>
    <row r="29" spans="1:7" x14ac:dyDescent="0.25">
      <c r="A29" s="176" t="s">
        <v>431</v>
      </c>
      <c r="B29" s="176" t="s">
        <v>435</v>
      </c>
      <c r="C29" s="176" t="s">
        <v>435</v>
      </c>
      <c r="D29" s="177">
        <v>4022</v>
      </c>
      <c r="E29" s="181">
        <v>1.6520288072927101</v>
      </c>
      <c r="F29" s="184">
        <v>23348.673809737</v>
      </c>
      <c r="G29" s="181">
        <v>3.08378710694639</v>
      </c>
    </row>
    <row r="30" spans="1:7" x14ac:dyDescent="0.25">
      <c r="A30" s="176" t="s">
        <v>81</v>
      </c>
      <c r="B30" s="176" t="s">
        <v>82</v>
      </c>
      <c r="C30" s="176" t="s">
        <v>83</v>
      </c>
      <c r="D30" s="177">
        <v>4057</v>
      </c>
      <c r="E30" s="181">
        <v>4.3244110133981204</v>
      </c>
      <c r="F30" s="184">
        <v>33201.866780645498</v>
      </c>
      <c r="G30" s="181">
        <v>1.9219604503991601</v>
      </c>
    </row>
    <row r="31" spans="1:7" x14ac:dyDescent="0.25">
      <c r="A31" s="176" t="s">
        <v>81</v>
      </c>
      <c r="B31" s="176" t="s">
        <v>82</v>
      </c>
      <c r="C31" s="176" t="s">
        <v>84</v>
      </c>
      <c r="D31" s="177">
        <v>4082</v>
      </c>
      <c r="E31" s="181">
        <v>3.5208643815070002</v>
      </c>
      <c r="F31" s="184">
        <v>54925.484351509302</v>
      </c>
      <c r="G31" s="181">
        <v>3.5208643815070002</v>
      </c>
    </row>
    <row r="32" spans="1:7" x14ac:dyDescent="0.25">
      <c r="A32" s="176" t="s">
        <v>81</v>
      </c>
      <c r="B32" s="176" t="s">
        <v>82</v>
      </c>
      <c r="C32" s="176" t="s">
        <v>85</v>
      </c>
      <c r="D32" s="177">
        <v>4030</v>
      </c>
      <c r="E32" s="181">
        <v>2.4025724724314599</v>
      </c>
      <c r="F32" s="184">
        <v>51841.662356337998</v>
      </c>
      <c r="G32" s="181">
        <v>2.1356199754946301</v>
      </c>
    </row>
    <row r="33" spans="1:7" x14ac:dyDescent="0.25">
      <c r="A33" s="176" t="s">
        <v>81</v>
      </c>
      <c r="B33" s="176" t="s">
        <v>82</v>
      </c>
      <c r="C33" s="176" t="s">
        <v>86</v>
      </c>
      <c r="D33" s="177">
        <v>4060</v>
      </c>
      <c r="E33" s="181">
        <v>3.0974205752853701</v>
      </c>
      <c r="F33" s="184">
        <v>57612.022700307898</v>
      </c>
      <c r="G33" s="181">
        <v>2.3540396372168799</v>
      </c>
    </row>
    <row r="34" spans="1:7" x14ac:dyDescent="0.25">
      <c r="A34" s="176" t="s">
        <v>81</v>
      </c>
      <c r="B34" s="176" t="s">
        <v>82</v>
      </c>
      <c r="C34" s="176" t="s">
        <v>87</v>
      </c>
      <c r="D34" s="177">
        <v>4064</v>
      </c>
      <c r="E34" s="181">
        <v>2.44350983596033</v>
      </c>
      <c r="F34" s="184">
        <v>60040.527397882499</v>
      </c>
      <c r="G34" s="181">
        <v>2.79258266966895</v>
      </c>
    </row>
    <row r="35" spans="1:7" x14ac:dyDescent="0.25">
      <c r="A35" s="176" t="s">
        <v>81</v>
      </c>
      <c r="B35" s="176" t="s">
        <v>82</v>
      </c>
      <c r="C35" s="176" t="s">
        <v>88</v>
      </c>
      <c r="D35" s="177">
        <v>4092</v>
      </c>
      <c r="E35" s="181">
        <v>4.5468045558166503</v>
      </c>
      <c r="F35" s="184">
        <v>57662.162030998101</v>
      </c>
      <c r="G35" s="181">
        <v>2.89342108097423</v>
      </c>
    </row>
    <row r="36" spans="1:7" x14ac:dyDescent="0.25">
      <c r="A36" s="176" t="s">
        <v>81</v>
      </c>
      <c r="B36" s="176" t="s">
        <v>82</v>
      </c>
      <c r="C36" s="176" t="s">
        <v>89</v>
      </c>
      <c r="D36" s="177">
        <v>4041</v>
      </c>
      <c r="E36" s="181">
        <v>6.5325360474341796</v>
      </c>
      <c r="F36" s="184">
        <v>66958.494486200303</v>
      </c>
      <c r="G36" s="181">
        <v>3.6745515266817201</v>
      </c>
    </row>
    <row r="37" spans="1:7" x14ac:dyDescent="0.25">
      <c r="A37" s="176" t="s">
        <v>81</v>
      </c>
      <c r="B37" s="176" t="s">
        <v>82</v>
      </c>
      <c r="C37" s="176" t="s">
        <v>90</v>
      </c>
      <c r="D37" s="177">
        <v>4085</v>
      </c>
      <c r="E37" s="181">
        <v>3.2012456901594399</v>
      </c>
      <c r="F37" s="184">
        <v>43483.587291332398</v>
      </c>
      <c r="G37" s="181">
        <v>2.13416379343963</v>
      </c>
    </row>
    <row r="38" spans="1:7" x14ac:dyDescent="0.25">
      <c r="A38" s="176" t="s">
        <v>81</v>
      </c>
      <c r="B38" s="176" t="s">
        <v>82</v>
      </c>
      <c r="C38" s="176" t="s">
        <v>91</v>
      </c>
      <c r="D38" s="177">
        <v>4066</v>
      </c>
      <c r="E38" s="181">
        <v>3.0151998978435599</v>
      </c>
      <c r="F38" s="184">
        <v>41713.136872452902</v>
      </c>
      <c r="G38" s="181">
        <v>1.3783770961570501</v>
      </c>
    </row>
    <row r="39" spans="1:7" x14ac:dyDescent="0.25">
      <c r="A39" s="176" t="s">
        <v>81</v>
      </c>
      <c r="B39" s="176" t="s">
        <v>82</v>
      </c>
      <c r="C39" s="176" t="s">
        <v>92</v>
      </c>
      <c r="D39" s="177">
        <v>4067</v>
      </c>
      <c r="E39" s="181">
        <v>4.6222826086454099</v>
      </c>
      <c r="F39" s="184">
        <v>39991.3043473914</v>
      </c>
      <c r="G39" s="181">
        <v>2.3967391304087302</v>
      </c>
    </row>
    <row r="40" spans="1:7" x14ac:dyDescent="0.25">
      <c r="A40" s="176" t="s">
        <v>81</v>
      </c>
      <c r="B40" s="176" t="s">
        <v>82</v>
      </c>
      <c r="C40" s="176" t="s">
        <v>93</v>
      </c>
      <c r="D40" s="177">
        <v>4095</v>
      </c>
      <c r="E40" s="181">
        <v>3.8673641536410899</v>
      </c>
      <c r="F40" s="184">
        <v>59741.107763370797</v>
      </c>
      <c r="G40" s="181">
        <v>1.93368207682055</v>
      </c>
    </row>
    <row r="41" spans="1:7" x14ac:dyDescent="0.25">
      <c r="A41" s="176" t="s">
        <v>81</v>
      </c>
      <c r="B41" s="176" t="s">
        <v>82</v>
      </c>
      <c r="C41" s="176" t="s">
        <v>94</v>
      </c>
      <c r="D41" s="177">
        <v>4087</v>
      </c>
      <c r="E41" s="181">
        <v>3.5162799256535999</v>
      </c>
      <c r="F41" s="184">
        <v>50139.547088023501</v>
      </c>
      <c r="G41" s="181">
        <v>2.2139540272633802</v>
      </c>
    </row>
    <row r="42" spans="1:7" x14ac:dyDescent="0.25">
      <c r="A42" s="176" t="s">
        <v>81</v>
      </c>
      <c r="B42" s="176" t="s">
        <v>82</v>
      </c>
      <c r="C42" s="176" t="s">
        <v>95</v>
      </c>
      <c r="D42" s="177">
        <v>4073</v>
      </c>
      <c r="E42" s="181">
        <v>2.47875030241081</v>
      </c>
      <c r="F42" s="184">
        <v>51268.818754863598</v>
      </c>
      <c r="G42" s="181">
        <v>2.0656252520090099</v>
      </c>
    </row>
    <row r="43" spans="1:7" x14ac:dyDescent="0.25">
      <c r="A43" s="176" t="s">
        <v>81</v>
      </c>
      <c r="B43" s="176" t="s">
        <v>82</v>
      </c>
      <c r="C43" s="176" t="s">
        <v>96</v>
      </c>
      <c r="D43" s="177">
        <v>4074</v>
      </c>
      <c r="E43" s="181">
        <v>5.5701002119259702</v>
      </c>
      <c r="F43" s="184">
        <v>56938.802166354399</v>
      </c>
      <c r="G43" s="181">
        <v>2.4756000941893199</v>
      </c>
    </row>
    <row r="44" spans="1:7" x14ac:dyDescent="0.25">
      <c r="A44" s="176" t="s">
        <v>81</v>
      </c>
      <c r="B44" s="176" t="s">
        <v>82</v>
      </c>
      <c r="C44" s="176" t="s">
        <v>97</v>
      </c>
      <c r="D44" s="177">
        <v>4079</v>
      </c>
      <c r="E44" s="181">
        <v>5.65984094136331</v>
      </c>
      <c r="F44" s="184">
        <v>50198.596675121204</v>
      </c>
      <c r="G44" s="181">
        <v>3.77322729424221</v>
      </c>
    </row>
    <row r="45" spans="1:7" x14ac:dyDescent="0.25">
      <c r="A45" s="176" t="s">
        <v>81</v>
      </c>
      <c r="B45" s="176" t="s">
        <v>82</v>
      </c>
      <c r="C45" s="176" t="s">
        <v>98</v>
      </c>
      <c r="D45" s="177">
        <v>4031</v>
      </c>
      <c r="E45" s="181">
        <v>2.7205318332737098</v>
      </c>
      <c r="F45" s="184">
        <v>57131.168498747997</v>
      </c>
      <c r="G45" s="181">
        <v>3.74073127075135</v>
      </c>
    </row>
    <row r="46" spans="1:7" x14ac:dyDescent="0.25">
      <c r="A46" s="176" t="s">
        <v>81</v>
      </c>
      <c r="B46" s="176" t="s">
        <v>82</v>
      </c>
      <c r="C46" s="176" t="s">
        <v>99</v>
      </c>
      <c r="D46" s="177">
        <v>4071</v>
      </c>
      <c r="E46" s="181">
        <v>3.4052784348240799</v>
      </c>
      <c r="F46" s="184">
        <v>37123.306597946597</v>
      </c>
      <c r="G46" s="181">
        <v>1.7314975092325899</v>
      </c>
    </row>
    <row r="47" spans="1:7" x14ac:dyDescent="0.25">
      <c r="A47" s="176" t="s">
        <v>81</v>
      </c>
      <c r="B47" s="176" t="s">
        <v>82</v>
      </c>
      <c r="C47" s="176" t="s">
        <v>100</v>
      </c>
      <c r="D47" s="177">
        <v>4080</v>
      </c>
      <c r="E47" s="181">
        <v>4.9787438144152301</v>
      </c>
      <c r="F47" s="184">
        <v>44678.814056317598</v>
      </c>
      <c r="G47" s="181">
        <v>3.4634739578540801</v>
      </c>
    </row>
    <row r="48" spans="1:7" x14ac:dyDescent="0.25">
      <c r="A48" s="176" t="s">
        <v>81</v>
      </c>
      <c r="B48" s="176" t="s">
        <v>101</v>
      </c>
      <c r="C48" s="176" t="s">
        <v>102</v>
      </c>
      <c r="D48" s="177">
        <v>4113</v>
      </c>
      <c r="E48" s="181">
        <v>4.3872472783787799</v>
      </c>
      <c r="F48" s="184">
        <v>60915.241057489999</v>
      </c>
      <c r="G48" s="181">
        <v>3.3748055987529102</v>
      </c>
    </row>
    <row r="49" spans="1:7" x14ac:dyDescent="0.25">
      <c r="A49" s="176" t="s">
        <v>81</v>
      </c>
      <c r="B49" s="176" t="s">
        <v>101</v>
      </c>
      <c r="C49" s="176" t="s">
        <v>103</v>
      </c>
      <c r="D49" s="177">
        <v>4111</v>
      </c>
      <c r="E49" s="181">
        <v>2.5936782722293299</v>
      </c>
      <c r="F49" s="184">
        <v>29349.517291016102</v>
      </c>
      <c r="G49" s="181">
        <v>2.73018765497824</v>
      </c>
    </row>
    <row r="50" spans="1:7" x14ac:dyDescent="0.25">
      <c r="A50" s="176" t="s">
        <v>81</v>
      </c>
      <c r="B50" s="176" t="s">
        <v>101</v>
      </c>
      <c r="C50" s="176" t="s">
        <v>104</v>
      </c>
      <c r="D50" s="177">
        <v>4104</v>
      </c>
      <c r="E50" s="181">
        <v>3.4337643973738801</v>
      </c>
      <c r="F50" s="184">
        <v>24595.722078608698</v>
      </c>
      <c r="G50" s="181">
        <v>1.55073230849143</v>
      </c>
    </row>
    <row r="51" spans="1:7" x14ac:dyDescent="0.25">
      <c r="A51" s="176" t="s">
        <v>81</v>
      </c>
      <c r="B51" s="176" t="s">
        <v>101</v>
      </c>
      <c r="C51" s="176" t="s">
        <v>105</v>
      </c>
      <c r="D51" s="177">
        <v>4008</v>
      </c>
      <c r="E51" s="181">
        <v>3.6201777155688699</v>
      </c>
      <c r="F51" s="184">
        <v>43894.654801272598</v>
      </c>
      <c r="G51" s="181">
        <v>3.1676555011227601</v>
      </c>
    </row>
    <row r="52" spans="1:7" x14ac:dyDescent="0.25">
      <c r="A52" s="176" t="s">
        <v>81</v>
      </c>
      <c r="B52" s="176" t="s">
        <v>101</v>
      </c>
      <c r="C52" s="176" t="s">
        <v>106</v>
      </c>
      <c r="D52" s="177">
        <v>4007</v>
      </c>
      <c r="E52" s="181">
        <v>3.4187196815194598</v>
      </c>
      <c r="F52" s="184">
        <v>57795.713861159202</v>
      </c>
      <c r="G52" s="181">
        <v>2.7091740872418399</v>
      </c>
    </row>
    <row r="53" spans="1:7" x14ac:dyDescent="0.25">
      <c r="A53" s="176" t="s">
        <v>81</v>
      </c>
      <c r="B53" s="176" t="s">
        <v>101</v>
      </c>
      <c r="C53" s="176" t="s">
        <v>107</v>
      </c>
      <c r="D53" s="177">
        <v>4015</v>
      </c>
      <c r="E53" s="181">
        <v>2.82433332764024</v>
      </c>
      <c r="F53" s="184">
        <v>53625.721496843398</v>
      </c>
      <c r="G53" s="181">
        <v>2.3013086373365002</v>
      </c>
    </row>
    <row r="54" spans="1:7" x14ac:dyDescent="0.25">
      <c r="A54" s="176" t="s">
        <v>81</v>
      </c>
      <c r="B54" s="176" t="s">
        <v>101</v>
      </c>
      <c r="C54" s="176" t="s">
        <v>108</v>
      </c>
      <c r="D54" s="177">
        <v>4109</v>
      </c>
      <c r="E54" s="181">
        <v>4.7641851311354602</v>
      </c>
      <c r="F54" s="184">
        <v>60941.868135774501</v>
      </c>
      <c r="G54" s="181">
        <v>3.9701542759462201</v>
      </c>
    </row>
    <row r="55" spans="1:7" x14ac:dyDescent="0.25">
      <c r="A55" s="176" t="s">
        <v>81</v>
      </c>
      <c r="B55" s="176" t="s">
        <v>101</v>
      </c>
      <c r="C55" s="176" t="s">
        <v>109</v>
      </c>
      <c r="D55" s="177">
        <v>4129</v>
      </c>
      <c r="E55" s="181">
        <v>2.7240487549582002</v>
      </c>
      <c r="F55" s="184">
        <v>39537.621929107598</v>
      </c>
      <c r="G55" s="181">
        <v>3.1131985770950799</v>
      </c>
    </row>
    <row r="56" spans="1:7" x14ac:dyDescent="0.25">
      <c r="A56" s="176" t="s">
        <v>81</v>
      </c>
      <c r="B56" s="176" t="s">
        <v>101</v>
      </c>
      <c r="C56" s="176" t="s">
        <v>110</v>
      </c>
      <c r="D56" s="177">
        <v>4116</v>
      </c>
      <c r="E56" s="181">
        <v>1.9085786164983201</v>
      </c>
      <c r="F56" s="184">
        <v>41988.729562963003</v>
      </c>
      <c r="G56" s="181">
        <v>2.86286792474748</v>
      </c>
    </row>
    <row r="57" spans="1:7" x14ac:dyDescent="0.25">
      <c r="A57" s="176" t="s">
        <v>81</v>
      </c>
      <c r="B57" s="176" t="s">
        <v>101</v>
      </c>
      <c r="C57" s="176" t="s">
        <v>111</v>
      </c>
      <c r="D57" s="177">
        <v>4126</v>
      </c>
      <c r="E57" s="181">
        <v>3.60497924043485</v>
      </c>
      <c r="F57" s="184">
        <v>45840.157078371602</v>
      </c>
      <c r="G57" s="181">
        <v>3.0357719919451398</v>
      </c>
    </row>
    <row r="58" spans="1:7" x14ac:dyDescent="0.25">
      <c r="A58" s="176" t="s">
        <v>81</v>
      </c>
      <c r="B58" s="176" t="s">
        <v>101</v>
      </c>
      <c r="C58" s="176" t="s">
        <v>112</v>
      </c>
      <c r="D58" s="177">
        <v>4119</v>
      </c>
      <c r="E58" s="181">
        <v>4.0142421002965696</v>
      </c>
      <c r="F58" s="184">
        <v>47256.0314225611</v>
      </c>
      <c r="G58" s="181">
        <v>2.2405072187701802</v>
      </c>
    </row>
    <row r="59" spans="1:7" x14ac:dyDescent="0.25">
      <c r="A59" s="176" t="s">
        <v>81</v>
      </c>
      <c r="B59" s="176" t="s">
        <v>101</v>
      </c>
      <c r="C59" s="176" t="s">
        <v>113</v>
      </c>
      <c r="D59" s="177">
        <v>4127</v>
      </c>
      <c r="E59" s="181">
        <v>4.7006387357442998</v>
      </c>
      <c r="F59" s="184">
        <v>76656.570152137807</v>
      </c>
      <c r="G59" s="181">
        <v>2.1695255703435201</v>
      </c>
    </row>
    <row r="60" spans="1:7" x14ac:dyDescent="0.25">
      <c r="A60" s="176" t="s">
        <v>81</v>
      </c>
      <c r="B60" s="176" t="s">
        <v>101</v>
      </c>
      <c r="C60" s="176" t="s">
        <v>114</v>
      </c>
      <c r="D60" s="177">
        <v>4121</v>
      </c>
      <c r="E60" s="181">
        <v>3.49688909920325</v>
      </c>
      <c r="F60" s="184">
        <v>45626.4098552328</v>
      </c>
      <c r="G60" s="181">
        <v>2.6642964565358098</v>
      </c>
    </row>
    <row r="61" spans="1:7" x14ac:dyDescent="0.25">
      <c r="A61" s="176" t="s">
        <v>81</v>
      </c>
      <c r="B61" s="176" t="s">
        <v>101</v>
      </c>
      <c r="C61" s="176" t="s">
        <v>115</v>
      </c>
      <c r="D61" s="177">
        <v>4101</v>
      </c>
      <c r="E61" s="181">
        <v>3.2110888495452801</v>
      </c>
      <c r="F61" s="184">
        <v>51747.931844595099</v>
      </c>
      <c r="G61" s="181">
        <v>2.9640820149648701</v>
      </c>
    </row>
    <row r="62" spans="1:7" x14ac:dyDescent="0.25">
      <c r="A62" s="176" t="s">
        <v>81</v>
      </c>
      <c r="B62" s="176" t="s">
        <v>101</v>
      </c>
      <c r="C62" s="176" t="s">
        <v>116</v>
      </c>
      <c r="D62" s="177">
        <v>4110</v>
      </c>
      <c r="E62" s="181">
        <v>4.7482870539944102</v>
      </c>
      <c r="F62" s="184">
        <v>34293.184278848501</v>
      </c>
      <c r="G62" s="181">
        <v>3.6931121531067599</v>
      </c>
    </row>
    <row r="63" spans="1:7" x14ac:dyDescent="0.25">
      <c r="A63" s="176" t="s">
        <v>81</v>
      </c>
      <c r="B63" s="176" t="s">
        <v>101</v>
      </c>
      <c r="C63" s="176" t="s">
        <v>117</v>
      </c>
      <c r="D63" s="177">
        <v>4107</v>
      </c>
      <c r="E63" s="181">
        <v>5.1876577231546301</v>
      </c>
      <c r="F63" s="184">
        <v>66166.216232599501</v>
      </c>
      <c r="G63" s="181">
        <v>3.7728419804760902</v>
      </c>
    </row>
    <row r="64" spans="1:7" x14ac:dyDescent="0.25">
      <c r="A64" s="176" t="s">
        <v>81</v>
      </c>
      <c r="B64" s="176" t="s">
        <v>101</v>
      </c>
      <c r="C64" s="176" t="s">
        <v>118</v>
      </c>
      <c r="D64" s="177">
        <v>4120</v>
      </c>
      <c r="E64" s="181">
        <v>3.3326226898081801</v>
      </c>
      <c r="F64" s="184">
        <v>63515.867735167703</v>
      </c>
      <c r="G64" s="181">
        <v>3.13658606099593</v>
      </c>
    </row>
    <row r="65" spans="1:7" x14ac:dyDescent="0.25">
      <c r="A65" s="176" t="s">
        <v>81</v>
      </c>
      <c r="B65" s="176" t="s">
        <v>119</v>
      </c>
      <c r="C65" s="176" t="s">
        <v>120</v>
      </c>
      <c r="D65" s="177">
        <v>4028</v>
      </c>
      <c r="E65" s="181">
        <v>3.39857359556754</v>
      </c>
      <c r="F65" s="184">
        <v>51694.0931115274</v>
      </c>
      <c r="G65" s="181">
        <v>3.2197013010639899</v>
      </c>
    </row>
    <row r="66" spans="1:7" x14ac:dyDescent="0.25">
      <c r="A66" s="176" t="s">
        <v>81</v>
      </c>
      <c r="B66" s="176" t="s">
        <v>119</v>
      </c>
      <c r="C66" s="176" t="s">
        <v>121</v>
      </c>
      <c r="D66" s="177">
        <v>4033</v>
      </c>
      <c r="E66" s="181">
        <v>7.0368615320346004</v>
      </c>
      <c r="F66" s="184">
        <v>106256.609133722</v>
      </c>
      <c r="G66" s="181">
        <v>2.8147446128138398</v>
      </c>
    </row>
    <row r="67" spans="1:7" x14ac:dyDescent="0.25">
      <c r="A67" s="176" t="s">
        <v>81</v>
      </c>
      <c r="B67" s="176" t="s">
        <v>119</v>
      </c>
      <c r="C67" s="176" t="s">
        <v>122</v>
      </c>
      <c r="D67" s="177">
        <v>4037</v>
      </c>
      <c r="E67" s="181">
        <v>3.5578291690253701</v>
      </c>
      <c r="F67" s="184">
        <v>36840.747201843398</v>
      </c>
      <c r="G67" s="181">
        <v>2.5249110231793002</v>
      </c>
    </row>
    <row r="68" spans="1:7" x14ac:dyDescent="0.25">
      <c r="A68" s="176" t="s">
        <v>81</v>
      </c>
      <c r="B68" s="176" t="s">
        <v>119</v>
      </c>
      <c r="C68" s="176" t="s">
        <v>123</v>
      </c>
      <c r="D68" s="177">
        <v>4038</v>
      </c>
      <c r="E68" s="181">
        <v>3.6287714574085501</v>
      </c>
      <c r="F68" s="184">
        <v>34550.302785386797</v>
      </c>
      <c r="G68" s="181">
        <v>2.8590320573521901</v>
      </c>
    </row>
    <row r="69" spans="1:7" x14ac:dyDescent="0.25">
      <c r="A69" s="176" t="s">
        <v>81</v>
      </c>
      <c r="B69" s="176" t="s">
        <v>119</v>
      </c>
      <c r="C69" s="176" t="s">
        <v>124</v>
      </c>
      <c r="D69" s="177">
        <v>4039</v>
      </c>
      <c r="E69" s="181">
        <v>4.30372108246892</v>
      </c>
      <c r="F69" s="184">
        <v>46480.187690664403</v>
      </c>
      <c r="G69" s="181">
        <v>3.9726656145866999</v>
      </c>
    </row>
    <row r="70" spans="1:7" x14ac:dyDescent="0.25">
      <c r="A70" s="176" t="s">
        <v>81</v>
      </c>
      <c r="B70" s="176" t="s">
        <v>119</v>
      </c>
      <c r="C70" s="176" t="s">
        <v>125</v>
      </c>
      <c r="D70" s="177">
        <v>4027</v>
      </c>
      <c r="E70" s="181">
        <v>4.0934024487281597</v>
      </c>
      <c r="F70" s="184">
        <v>52068.079147822202</v>
      </c>
      <c r="G70" s="181">
        <v>4.5846107425755402</v>
      </c>
    </row>
    <row r="71" spans="1:7" x14ac:dyDescent="0.25">
      <c r="A71" s="176" t="s">
        <v>81</v>
      </c>
      <c r="B71" s="176" t="s">
        <v>119</v>
      </c>
      <c r="C71" s="176" t="s">
        <v>126</v>
      </c>
      <c r="D71" s="177">
        <v>4029</v>
      </c>
      <c r="E71" s="181">
        <v>5.4699488653590702</v>
      </c>
      <c r="F71" s="184">
        <v>34278.346222916902</v>
      </c>
      <c r="G71" s="181">
        <v>4.5582907211325603</v>
      </c>
    </row>
    <row r="72" spans="1:7" x14ac:dyDescent="0.25">
      <c r="A72" s="176" t="s">
        <v>81</v>
      </c>
      <c r="B72" s="176" t="s">
        <v>119</v>
      </c>
      <c r="C72" s="176" t="s">
        <v>127</v>
      </c>
      <c r="D72" s="177">
        <v>4019</v>
      </c>
      <c r="E72" s="181">
        <v>4.7910402434681298</v>
      </c>
      <c r="F72" s="184">
        <v>59452.453930308999</v>
      </c>
      <c r="G72" s="181">
        <v>3.91994201738301</v>
      </c>
    </row>
    <row r="73" spans="1:7" x14ac:dyDescent="0.25">
      <c r="A73" s="176" t="s">
        <v>81</v>
      </c>
      <c r="B73" s="176" t="s">
        <v>119</v>
      </c>
      <c r="C73" s="176" t="s">
        <v>128</v>
      </c>
      <c r="D73" s="177">
        <v>4024</v>
      </c>
      <c r="E73" s="181">
        <v>3.62230826902911</v>
      </c>
      <c r="F73" s="184">
        <v>69185.7909091779</v>
      </c>
      <c r="G73" s="181">
        <v>3.9845390959320199</v>
      </c>
    </row>
    <row r="74" spans="1:7" x14ac:dyDescent="0.25">
      <c r="A74" s="176" t="s">
        <v>81</v>
      </c>
      <c r="B74" s="176" t="s">
        <v>119</v>
      </c>
      <c r="C74" s="176" t="s">
        <v>129</v>
      </c>
      <c r="D74" s="177">
        <v>4047</v>
      </c>
      <c r="E74" s="181">
        <v>3.8416183658424399</v>
      </c>
      <c r="F74" s="184">
        <v>38684.560904261401</v>
      </c>
      <c r="G74" s="181">
        <v>4.6456780238094604</v>
      </c>
    </row>
    <row r="75" spans="1:7" x14ac:dyDescent="0.25">
      <c r="A75" s="176" t="s">
        <v>81</v>
      </c>
      <c r="B75" s="176" t="s">
        <v>119</v>
      </c>
      <c r="C75" s="176" t="s">
        <v>130</v>
      </c>
      <c r="D75" s="177">
        <v>4026</v>
      </c>
      <c r="E75" s="181">
        <v>3.14913937081492</v>
      </c>
      <c r="F75" s="184">
        <v>48053.534102805497</v>
      </c>
      <c r="G75" s="181">
        <v>2.0994262472099501</v>
      </c>
    </row>
    <row r="76" spans="1:7" x14ac:dyDescent="0.25">
      <c r="A76" s="176" t="s">
        <v>81</v>
      </c>
      <c r="B76" s="176" t="s">
        <v>119</v>
      </c>
      <c r="C76" s="176" t="s">
        <v>131</v>
      </c>
      <c r="D76" s="177">
        <v>4045</v>
      </c>
      <c r="E76" s="181">
        <v>4.02691028766165</v>
      </c>
      <c r="F76" s="184">
        <v>35403.252945692002</v>
      </c>
      <c r="G76" s="181">
        <v>3.85912235900908</v>
      </c>
    </row>
    <row r="77" spans="1:7" x14ac:dyDescent="0.25">
      <c r="A77" s="176" t="s">
        <v>81</v>
      </c>
      <c r="B77" s="176" t="s">
        <v>119</v>
      </c>
      <c r="C77" s="176" t="s">
        <v>132</v>
      </c>
      <c r="D77" s="177">
        <v>4043</v>
      </c>
      <c r="E77" s="181">
        <v>4.0123955715794102</v>
      </c>
      <c r="F77" s="184">
        <v>52125.738940194802</v>
      </c>
      <c r="G77" s="181">
        <v>3.65836066820476</v>
      </c>
    </row>
    <row r="78" spans="1:7" x14ac:dyDescent="0.25">
      <c r="A78" s="176" t="s">
        <v>81</v>
      </c>
      <c r="B78" s="176" t="s">
        <v>119</v>
      </c>
      <c r="C78" s="176" t="s">
        <v>133</v>
      </c>
      <c r="D78" s="177">
        <v>4048</v>
      </c>
      <c r="E78" s="181">
        <v>3.2255082156767898</v>
      </c>
      <c r="F78" s="184">
        <v>35147.287856824703</v>
      </c>
      <c r="G78" s="181">
        <v>4.6590674226442497</v>
      </c>
    </row>
    <row r="79" spans="1:7" x14ac:dyDescent="0.25">
      <c r="A79" s="176" t="s">
        <v>81</v>
      </c>
      <c r="B79" s="176" t="s">
        <v>119</v>
      </c>
      <c r="C79" s="176" t="s">
        <v>134</v>
      </c>
      <c r="D79" s="177">
        <v>4010</v>
      </c>
      <c r="E79" s="181">
        <v>5.1022377559934897</v>
      </c>
      <c r="F79" s="184">
        <v>67349.538379114107</v>
      </c>
      <c r="G79" s="181">
        <v>3.6736111843153099</v>
      </c>
    </row>
    <row r="80" spans="1:7" x14ac:dyDescent="0.25">
      <c r="A80" s="176" t="s">
        <v>81</v>
      </c>
      <c r="B80" s="176" t="s">
        <v>119</v>
      </c>
      <c r="C80" s="176" t="s">
        <v>135</v>
      </c>
      <c r="D80" s="177">
        <v>4054</v>
      </c>
      <c r="E80" s="181">
        <v>4.8553105311006099</v>
      </c>
      <c r="F80" s="184">
        <v>40149.6832379474</v>
      </c>
      <c r="G80" s="181">
        <v>3.7348542546927801</v>
      </c>
    </row>
    <row r="81" spans="1:7" x14ac:dyDescent="0.25">
      <c r="A81" s="176" t="s">
        <v>81</v>
      </c>
      <c r="B81" s="176" t="s">
        <v>119</v>
      </c>
      <c r="C81" s="176" t="s">
        <v>136</v>
      </c>
      <c r="D81" s="177">
        <v>4006</v>
      </c>
      <c r="E81" s="181">
        <v>4.2255968297315203</v>
      </c>
      <c r="F81" s="184">
        <v>50293.5929053578</v>
      </c>
      <c r="G81" s="181">
        <v>3.4164399899957001</v>
      </c>
    </row>
    <row r="82" spans="1:7" x14ac:dyDescent="0.25">
      <c r="A82" s="176" t="s">
        <v>81</v>
      </c>
      <c r="B82" s="176" t="s">
        <v>119</v>
      </c>
      <c r="C82" s="176" t="s">
        <v>137</v>
      </c>
      <c r="D82" s="177">
        <v>4020</v>
      </c>
      <c r="E82" s="181">
        <v>3.3107694983423599</v>
      </c>
      <c r="F82" s="184">
        <v>69614.174670317705</v>
      </c>
      <c r="G82" s="181">
        <v>2.5631763858134402</v>
      </c>
    </row>
    <row r="83" spans="1:7" x14ac:dyDescent="0.25">
      <c r="A83" s="176" t="s">
        <v>81</v>
      </c>
      <c r="B83" s="176" t="s">
        <v>119</v>
      </c>
      <c r="C83" s="176" t="s">
        <v>138</v>
      </c>
      <c r="D83" s="177">
        <v>4012</v>
      </c>
      <c r="E83" s="181">
        <v>2.6248674308954101</v>
      </c>
      <c r="F83" s="184">
        <v>20473.965960984198</v>
      </c>
      <c r="G83" s="181">
        <v>3.1498409170745001</v>
      </c>
    </row>
    <row r="84" spans="1:7" x14ac:dyDescent="0.25">
      <c r="A84" s="176" t="s">
        <v>81</v>
      </c>
      <c r="B84" s="176" t="s">
        <v>119</v>
      </c>
      <c r="C84" s="176" t="s">
        <v>139</v>
      </c>
      <c r="D84" s="177">
        <v>4023</v>
      </c>
      <c r="E84" s="181">
        <v>2.6086953655510201</v>
      </c>
      <c r="F84" s="184">
        <v>44347.821214367301</v>
      </c>
      <c r="G84" s="181">
        <v>1.8414320227419001</v>
      </c>
    </row>
    <row r="85" spans="1:7" x14ac:dyDescent="0.25">
      <c r="A85" s="176" t="s">
        <v>140</v>
      </c>
      <c r="B85" s="176" t="s">
        <v>141</v>
      </c>
      <c r="C85" s="176" t="s">
        <v>142</v>
      </c>
      <c r="D85" s="177">
        <v>4132</v>
      </c>
      <c r="E85" s="181">
        <v>4.4367801318092699</v>
      </c>
      <c r="F85" s="184">
        <v>38989.886006808701</v>
      </c>
      <c r="G85" s="181">
        <v>1.8822703589493901</v>
      </c>
    </row>
    <row r="86" spans="1:7" x14ac:dyDescent="0.25">
      <c r="A86" s="176" t="s">
        <v>140</v>
      </c>
      <c r="B86" s="176" t="s">
        <v>141</v>
      </c>
      <c r="C86" s="176" t="s">
        <v>143</v>
      </c>
      <c r="D86" s="177">
        <v>4130</v>
      </c>
      <c r="E86" s="181">
        <v>4.8381867202578697</v>
      </c>
      <c r="F86" s="184">
        <v>30021.568879548799</v>
      </c>
      <c r="G86" s="181">
        <v>2.2330092555036298</v>
      </c>
    </row>
    <row r="87" spans="1:7" x14ac:dyDescent="0.25">
      <c r="A87" s="176" t="s">
        <v>140</v>
      </c>
      <c r="B87" s="176" t="s">
        <v>141</v>
      </c>
      <c r="C87" s="176" t="s">
        <v>144</v>
      </c>
      <c r="D87" s="177">
        <v>4135</v>
      </c>
      <c r="E87" s="181">
        <v>4.3956845341284696</v>
      </c>
      <c r="F87" s="184">
        <v>29102.463122505698</v>
      </c>
      <c r="G87" s="181">
        <v>2.4252052602088101</v>
      </c>
    </row>
    <row r="88" spans="1:7" x14ac:dyDescent="0.25">
      <c r="A88" s="176" t="s">
        <v>140</v>
      </c>
      <c r="B88" s="176" t="s">
        <v>141</v>
      </c>
      <c r="C88" s="176" t="s">
        <v>145</v>
      </c>
      <c r="D88" s="177">
        <v>4134</v>
      </c>
      <c r="E88" s="181">
        <v>2.97350444819884</v>
      </c>
      <c r="F88" s="184">
        <v>37664.389677185303</v>
      </c>
      <c r="G88" s="181">
        <v>15.8586903903938</v>
      </c>
    </row>
    <row r="89" spans="1:7" x14ac:dyDescent="0.25">
      <c r="A89" s="176" t="s">
        <v>140</v>
      </c>
      <c r="B89" s="176" t="s">
        <v>141</v>
      </c>
      <c r="C89" s="176" t="s">
        <v>147</v>
      </c>
      <c r="D89" s="177">
        <v>4133</v>
      </c>
      <c r="E89" s="181">
        <v>3.9871747895046599</v>
      </c>
      <c r="F89" s="184">
        <v>92625.137417723599</v>
      </c>
      <c r="G89" s="181">
        <v>2.4536460243105598</v>
      </c>
    </row>
    <row r="90" spans="1:7" x14ac:dyDescent="0.25">
      <c r="A90" s="176" t="s">
        <v>140</v>
      </c>
      <c r="B90" s="176" t="s">
        <v>141</v>
      </c>
      <c r="C90" s="176" t="s">
        <v>148</v>
      </c>
      <c r="D90" s="177">
        <v>4162</v>
      </c>
      <c r="E90" s="181">
        <v>6.5229495324163098</v>
      </c>
      <c r="F90" s="184">
        <v>34897.779998427301</v>
      </c>
      <c r="G90" s="181">
        <v>2.8266114640470699</v>
      </c>
    </row>
    <row r="91" spans="1:7" x14ac:dyDescent="0.25">
      <c r="A91" s="176" t="s">
        <v>140</v>
      </c>
      <c r="B91" s="176" t="s">
        <v>141</v>
      </c>
      <c r="C91" s="176" t="s">
        <v>149</v>
      </c>
      <c r="D91" s="177">
        <v>4147</v>
      </c>
      <c r="E91" s="181">
        <v>5.3765551656966402</v>
      </c>
      <c r="F91" s="184">
        <v>31917.962412230801</v>
      </c>
      <c r="G91" s="181">
        <v>4.9498444382604001</v>
      </c>
    </row>
    <row r="92" spans="1:7" x14ac:dyDescent="0.25">
      <c r="A92" s="176" t="s">
        <v>140</v>
      </c>
      <c r="B92" s="176" t="s">
        <v>141</v>
      </c>
      <c r="C92" s="176" t="s">
        <v>150</v>
      </c>
      <c r="D92" s="177">
        <v>4141</v>
      </c>
      <c r="E92" s="181">
        <v>6.6238684946862003</v>
      </c>
      <c r="F92" s="184">
        <v>53175.800101527297</v>
      </c>
      <c r="G92" s="181">
        <v>5.8536512278622199</v>
      </c>
    </row>
    <row r="93" spans="1:7" x14ac:dyDescent="0.25">
      <c r="A93" s="176" t="s">
        <v>140</v>
      </c>
      <c r="B93" s="176" t="s">
        <v>141</v>
      </c>
      <c r="C93" s="176" t="s">
        <v>151</v>
      </c>
      <c r="D93" s="177">
        <v>4139</v>
      </c>
      <c r="E93" s="181">
        <v>3.68288804061419</v>
      </c>
      <c r="F93" s="184">
        <v>20540.471026516399</v>
      </c>
      <c r="G93" s="181">
        <v>1.67404001846099</v>
      </c>
    </row>
    <row r="94" spans="1:7" x14ac:dyDescent="0.25">
      <c r="A94" s="176" t="s">
        <v>140</v>
      </c>
      <c r="B94" s="176" t="s">
        <v>141</v>
      </c>
      <c r="C94" s="176" t="s">
        <v>152</v>
      </c>
      <c r="D94" s="177">
        <v>4143</v>
      </c>
      <c r="E94" s="181">
        <v>9.4440356632337306</v>
      </c>
      <c r="F94" s="184">
        <v>33063.475351677698</v>
      </c>
      <c r="G94" s="181">
        <v>4.6752651798186804</v>
      </c>
    </row>
    <row r="95" spans="1:7" x14ac:dyDescent="0.25">
      <c r="A95" s="176" t="s">
        <v>140</v>
      </c>
      <c r="B95" s="176" t="s">
        <v>141</v>
      </c>
      <c r="C95" s="176" t="s">
        <v>153</v>
      </c>
      <c r="D95" s="177">
        <v>4159</v>
      </c>
      <c r="E95" s="181">
        <v>4.84477026738542</v>
      </c>
      <c r="F95" s="184">
        <v>49524.318288828697</v>
      </c>
      <c r="G95" s="181">
        <v>4.3064624598981496</v>
      </c>
    </row>
    <row r="96" spans="1:7" x14ac:dyDescent="0.25">
      <c r="A96" s="176" t="s">
        <v>140</v>
      </c>
      <c r="B96" s="176" t="s">
        <v>141</v>
      </c>
      <c r="C96" s="176" t="s">
        <v>154</v>
      </c>
      <c r="D96" s="177">
        <v>4157</v>
      </c>
      <c r="E96" s="181">
        <v>3.62810944684185</v>
      </c>
      <c r="F96" s="184">
        <v>44141.9982699092</v>
      </c>
      <c r="G96" s="181">
        <v>3.62810944684185</v>
      </c>
    </row>
    <row r="97" spans="1:7" x14ac:dyDescent="0.25">
      <c r="A97" s="176" t="s">
        <v>140</v>
      </c>
      <c r="B97" s="176" t="s">
        <v>141</v>
      </c>
      <c r="C97" s="176" t="s">
        <v>155</v>
      </c>
      <c r="D97" s="177">
        <v>4148</v>
      </c>
      <c r="E97" s="181">
        <v>4.41929004017046</v>
      </c>
      <c r="F97" s="184">
        <v>31753.417325669299</v>
      </c>
      <c r="G97" s="181">
        <v>2.2914837245328301</v>
      </c>
    </row>
    <row r="98" spans="1:7" x14ac:dyDescent="0.25">
      <c r="A98" s="176" t="s">
        <v>140</v>
      </c>
      <c r="B98" s="176" t="s">
        <v>141</v>
      </c>
      <c r="C98" s="176" t="s">
        <v>156</v>
      </c>
      <c r="D98" s="177">
        <v>4144</v>
      </c>
      <c r="E98" s="181">
        <v>6.1926477019679602</v>
      </c>
      <c r="F98" s="184">
        <v>23313.497230938199</v>
      </c>
      <c r="G98" s="181">
        <v>3.6427339423340999</v>
      </c>
    </row>
    <row r="99" spans="1:7" x14ac:dyDescent="0.25">
      <c r="A99" s="176" t="s">
        <v>140</v>
      </c>
      <c r="B99" s="176" t="s">
        <v>141</v>
      </c>
      <c r="C99" s="176" t="s">
        <v>157</v>
      </c>
      <c r="D99" s="177">
        <v>4153</v>
      </c>
      <c r="E99" s="181">
        <v>5.5903047687268002</v>
      </c>
      <c r="F99" s="184">
        <v>26021.537673478299</v>
      </c>
      <c r="G99" s="181">
        <v>2.3958449008829099</v>
      </c>
    </row>
    <row r="100" spans="1:7" x14ac:dyDescent="0.25">
      <c r="A100" s="176" t="s">
        <v>140</v>
      </c>
      <c r="B100" s="176" t="s">
        <v>141</v>
      </c>
      <c r="C100" s="176" t="s">
        <v>158</v>
      </c>
      <c r="D100" s="177">
        <v>4164</v>
      </c>
      <c r="E100" s="181">
        <v>4.0423535378988902</v>
      </c>
      <c r="F100" s="184">
        <v>28577.6819679287</v>
      </c>
      <c r="G100" s="181">
        <v>1.7575450164777799</v>
      </c>
    </row>
    <row r="101" spans="1:7" x14ac:dyDescent="0.25">
      <c r="A101" s="176" t="s">
        <v>140</v>
      </c>
      <c r="B101" s="176" t="s">
        <v>141</v>
      </c>
      <c r="C101" s="176" t="s">
        <v>159</v>
      </c>
      <c r="D101" s="177">
        <v>4140</v>
      </c>
      <c r="E101" s="181">
        <v>5.08820819743491</v>
      </c>
      <c r="F101" s="184">
        <v>32564.5324635834</v>
      </c>
      <c r="G101" s="181">
        <v>2.8493965905635501</v>
      </c>
    </row>
    <row r="102" spans="1:7" x14ac:dyDescent="0.25">
      <c r="A102" s="176" t="s">
        <v>140</v>
      </c>
      <c r="B102" s="176" t="s">
        <v>160</v>
      </c>
      <c r="C102" s="176" t="s">
        <v>161</v>
      </c>
      <c r="D102" s="177">
        <v>4189</v>
      </c>
      <c r="E102" s="181">
        <v>3.5027355801524398</v>
      </c>
      <c r="F102" s="184">
        <v>34026.574207195103</v>
      </c>
      <c r="G102" s="181">
        <v>2.0015631886585399</v>
      </c>
    </row>
    <row r="103" spans="1:7" x14ac:dyDescent="0.25">
      <c r="A103" s="176" t="s">
        <v>140</v>
      </c>
      <c r="B103" s="176" t="s">
        <v>160</v>
      </c>
      <c r="C103" s="176" t="s">
        <v>162</v>
      </c>
      <c r="D103" s="177">
        <v>4195</v>
      </c>
      <c r="E103" s="181">
        <v>3.20819674157068</v>
      </c>
      <c r="F103" s="184">
        <v>34648.524808963397</v>
      </c>
      <c r="G103" s="181">
        <v>2.56655739325655</v>
      </c>
    </row>
    <row r="104" spans="1:7" x14ac:dyDescent="0.25">
      <c r="A104" s="176" t="s">
        <v>140</v>
      </c>
      <c r="B104" s="176" t="s">
        <v>160</v>
      </c>
      <c r="C104" s="176" t="s">
        <v>163</v>
      </c>
      <c r="D104" s="177">
        <v>4193</v>
      </c>
      <c r="E104" s="181">
        <v>4.9731346251786297</v>
      </c>
      <c r="F104" s="184">
        <v>42967.883161543403</v>
      </c>
      <c r="G104" s="181">
        <v>1.9892538500714501</v>
      </c>
    </row>
    <row r="105" spans="1:7" x14ac:dyDescent="0.25">
      <c r="A105" s="176" t="s">
        <v>140</v>
      </c>
      <c r="B105" s="176" t="s">
        <v>160</v>
      </c>
      <c r="C105" s="176" t="s">
        <v>164</v>
      </c>
      <c r="D105" s="177">
        <v>4184</v>
      </c>
      <c r="E105" s="181">
        <v>4.5776028163758502</v>
      </c>
      <c r="F105" s="184">
        <v>47454.482529763001</v>
      </c>
      <c r="G105" s="181">
        <v>3.0517352109172302</v>
      </c>
    </row>
    <row r="106" spans="1:7" x14ac:dyDescent="0.25">
      <c r="A106" s="176" t="s">
        <v>140</v>
      </c>
      <c r="B106" s="176" t="s">
        <v>160</v>
      </c>
      <c r="C106" s="176" t="s">
        <v>165</v>
      </c>
      <c r="D106" s="177">
        <v>4196</v>
      </c>
      <c r="E106" s="181">
        <v>4.1625589932528699</v>
      </c>
      <c r="F106" s="184">
        <v>26957.524908685202</v>
      </c>
      <c r="G106" s="181">
        <v>1.58573675933443</v>
      </c>
    </row>
    <row r="107" spans="1:7" x14ac:dyDescent="0.25">
      <c r="A107" s="176" t="s">
        <v>140</v>
      </c>
      <c r="B107" s="176" t="s">
        <v>160</v>
      </c>
      <c r="C107" s="176" t="s">
        <v>166</v>
      </c>
      <c r="D107" s="177">
        <v>4174</v>
      </c>
      <c r="E107" s="181">
        <v>2.5277426199791</v>
      </c>
      <c r="F107" s="184">
        <v>17910.8619929948</v>
      </c>
      <c r="G107" s="181">
        <v>3.79161392996865</v>
      </c>
    </row>
    <row r="108" spans="1:7" x14ac:dyDescent="0.25">
      <c r="A108" s="176" t="s">
        <v>140</v>
      </c>
      <c r="B108" s="176" t="s">
        <v>160</v>
      </c>
      <c r="C108" s="176" t="s">
        <v>167</v>
      </c>
      <c r="D108" s="177">
        <v>4170</v>
      </c>
      <c r="E108" s="181">
        <v>4.3185030179352797</v>
      </c>
      <c r="F108" s="184">
        <v>33600.060066374499</v>
      </c>
      <c r="G108" s="181">
        <v>2.1065868380172099</v>
      </c>
    </row>
    <row r="109" spans="1:7" x14ac:dyDescent="0.25">
      <c r="A109" s="176" t="s">
        <v>140</v>
      </c>
      <c r="B109" s="176" t="s">
        <v>160</v>
      </c>
      <c r="C109" s="176" t="s">
        <v>168</v>
      </c>
      <c r="D109" s="177">
        <v>4169</v>
      </c>
      <c r="E109" s="181">
        <v>4.8923070374419098</v>
      </c>
      <c r="F109" s="184">
        <v>38966.796403484703</v>
      </c>
      <c r="G109" s="181">
        <v>2.2315786486577198</v>
      </c>
    </row>
    <row r="110" spans="1:7" x14ac:dyDescent="0.25">
      <c r="A110" s="176" t="s">
        <v>140</v>
      </c>
      <c r="B110" s="176" t="s">
        <v>160</v>
      </c>
      <c r="C110" s="176" t="s">
        <v>169</v>
      </c>
      <c r="D110" s="177">
        <v>4188</v>
      </c>
      <c r="E110" s="181">
        <v>4.00281557484176</v>
      </c>
      <c r="F110" s="184">
        <v>48177.221122866198</v>
      </c>
      <c r="G110" s="181">
        <v>2.00140778742088</v>
      </c>
    </row>
    <row r="111" spans="1:7" x14ac:dyDescent="0.25">
      <c r="A111" s="176" t="s">
        <v>140</v>
      </c>
      <c r="B111" s="176" t="s">
        <v>160</v>
      </c>
      <c r="C111" s="176" t="s">
        <v>170</v>
      </c>
      <c r="D111" s="177">
        <v>4180</v>
      </c>
      <c r="E111" s="181">
        <v>4.1215852393533101</v>
      </c>
      <c r="F111" s="184">
        <v>40960.029861435301</v>
      </c>
      <c r="G111" s="181">
        <v>2.8424725788643501</v>
      </c>
    </row>
    <row r="112" spans="1:7" x14ac:dyDescent="0.25">
      <c r="A112" s="176" t="s">
        <v>140</v>
      </c>
      <c r="B112" s="176" t="s">
        <v>160</v>
      </c>
      <c r="C112" s="176" t="s">
        <v>171</v>
      </c>
      <c r="D112" s="177">
        <v>4185</v>
      </c>
      <c r="E112" s="181">
        <v>2.10173827346456</v>
      </c>
      <c r="F112" s="184">
        <v>39032.282221484798</v>
      </c>
      <c r="G112" s="181">
        <v>2.7022349230258702</v>
      </c>
    </row>
    <row r="113" spans="1:7" x14ac:dyDescent="0.25">
      <c r="A113" s="176" t="s">
        <v>140</v>
      </c>
      <c r="B113" s="176" t="s">
        <v>160</v>
      </c>
      <c r="C113" s="176" t="s">
        <v>172</v>
      </c>
      <c r="D113" s="177">
        <v>4178</v>
      </c>
      <c r="E113" s="181">
        <v>3.5973938356722801</v>
      </c>
      <c r="F113" s="184">
        <v>28465.196314264998</v>
      </c>
      <c r="G113" s="181">
        <v>1.56977185556609</v>
      </c>
    </row>
    <row r="114" spans="1:7" x14ac:dyDescent="0.25">
      <c r="A114" s="176" t="s">
        <v>140</v>
      </c>
      <c r="B114" s="176" t="s">
        <v>160</v>
      </c>
      <c r="C114" s="176" t="s">
        <v>173</v>
      </c>
      <c r="D114" s="177">
        <v>4194</v>
      </c>
      <c r="E114" s="181">
        <v>2.4814751955576102</v>
      </c>
      <c r="F114" s="184">
        <v>88257.801121998898</v>
      </c>
      <c r="G114" s="181">
        <v>2.8123385549652902</v>
      </c>
    </row>
    <row r="115" spans="1:7" x14ac:dyDescent="0.25">
      <c r="A115" s="176" t="s">
        <v>140</v>
      </c>
      <c r="B115" s="176" t="s">
        <v>160</v>
      </c>
      <c r="C115" s="176" t="s">
        <v>174</v>
      </c>
      <c r="D115" s="177">
        <v>4181</v>
      </c>
      <c r="E115" s="181">
        <v>3.8650048858635002</v>
      </c>
      <c r="F115" s="184">
        <v>45656.928683974598</v>
      </c>
      <c r="G115" s="181">
        <v>1.9948412314134201</v>
      </c>
    </row>
    <row r="116" spans="1:7" x14ac:dyDescent="0.25">
      <c r="A116" s="176" t="s">
        <v>140</v>
      </c>
      <c r="B116" s="176" t="s">
        <v>160</v>
      </c>
      <c r="C116" s="176" t="s">
        <v>175</v>
      </c>
      <c r="D116" s="177">
        <v>4183</v>
      </c>
      <c r="E116" s="181">
        <v>4.66862783681119</v>
      </c>
      <c r="F116" s="184">
        <v>32043.763789022199</v>
      </c>
      <c r="G116" s="181">
        <v>2.54652427462428</v>
      </c>
    </row>
    <row r="117" spans="1:7" x14ac:dyDescent="0.25">
      <c r="A117" s="176" t="s">
        <v>176</v>
      </c>
      <c r="B117" s="176" t="s">
        <v>177</v>
      </c>
      <c r="C117" s="176" t="s">
        <v>178</v>
      </c>
      <c r="D117" s="177">
        <v>551110</v>
      </c>
      <c r="E117" s="181">
        <v>4.3833883868203296</v>
      </c>
      <c r="F117" s="184">
        <v>29807.041030378299</v>
      </c>
      <c r="G117" s="181">
        <v>3.7305433079322001</v>
      </c>
    </row>
    <row r="118" spans="1:7" x14ac:dyDescent="0.25">
      <c r="A118" s="176" t="s">
        <v>176</v>
      </c>
      <c r="B118" s="176" t="s">
        <v>177</v>
      </c>
      <c r="C118" s="176" t="s">
        <v>179</v>
      </c>
      <c r="D118" s="177">
        <v>451101</v>
      </c>
      <c r="E118" s="181">
        <v>8.02918427862949</v>
      </c>
      <c r="F118" s="184">
        <v>99510.4159250144</v>
      </c>
      <c r="G118" s="181">
        <v>3.6028390993850299</v>
      </c>
    </row>
    <row r="119" spans="1:7" x14ac:dyDescent="0.25">
      <c r="A119" s="176" t="s">
        <v>176</v>
      </c>
      <c r="B119" s="176" t="s">
        <v>177</v>
      </c>
      <c r="C119" s="176" t="s">
        <v>180</v>
      </c>
      <c r="D119" s="177">
        <v>551103</v>
      </c>
      <c r="E119" s="181">
        <v>6.2261957190900699</v>
      </c>
      <c r="F119" s="184">
        <v>35965.4364479203</v>
      </c>
      <c r="G119" s="181">
        <v>3.6624680700529799</v>
      </c>
    </row>
    <row r="120" spans="1:7" x14ac:dyDescent="0.25">
      <c r="A120" s="176" t="s">
        <v>176</v>
      </c>
      <c r="B120" s="176" t="s">
        <v>177</v>
      </c>
      <c r="C120" s="176" t="s">
        <v>181</v>
      </c>
      <c r="D120" s="177">
        <v>551330</v>
      </c>
      <c r="E120" s="181">
        <v>6.3734326077967296</v>
      </c>
      <c r="F120" s="184">
        <v>38686.735929326198</v>
      </c>
      <c r="G120" s="181">
        <v>2.2307014127288598</v>
      </c>
    </row>
    <row r="121" spans="1:7" x14ac:dyDescent="0.25">
      <c r="A121" s="176" t="s">
        <v>176</v>
      </c>
      <c r="B121" s="176" t="s">
        <v>177</v>
      </c>
      <c r="C121" s="176" t="s">
        <v>182</v>
      </c>
      <c r="D121" s="177">
        <v>451115</v>
      </c>
      <c r="E121" s="181">
        <v>9.7821980651561393</v>
      </c>
      <c r="F121" s="184">
        <v>50665.0396340156</v>
      </c>
      <c r="G121" s="181">
        <v>6.0717091438900201</v>
      </c>
    </row>
    <row r="122" spans="1:7" x14ac:dyDescent="0.25">
      <c r="A122" s="176" t="s">
        <v>176</v>
      </c>
      <c r="B122" s="176" t="s">
        <v>177</v>
      </c>
      <c r="C122" s="176" t="s">
        <v>183</v>
      </c>
      <c r="D122" s="177">
        <v>551128</v>
      </c>
      <c r="E122" s="181">
        <v>3.6816621911299299</v>
      </c>
      <c r="F122" s="184">
        <v>32214.544172386901</v>
      </c>
      <c r="G122" s="181">
        <v>3.0680518259416099</v>
      </c>
    </row>
    <row r="123" spans="1:7" x14ac:dyDescent="0.25">
      <c r="A123" s="176" t="s">
        <v>176</v>
      </c>
      <c r="B123" s="176" t="s">
        <v>177</v>
      </c>
      <c r="C123" s="176" t="s">
        <v>184</v>
      </c>
      <c r="D123" s="177">
        <v>451120</v>
      </c>
      <c r="E123" s="181">
        <v>3.8363966658584601</v>
      </c>
      <c r="F123" s="184">
        <v>41554.233359666898</v>
      </c>
      <c r="G123" s="181">
        <v>3.2306498238808099</v>
      </c>
    </row>
    <row r="124" spans="1:7" x14ac:dyDescent="0.25">
      <c r="A124" s="176" t="s">
        <v>176</v>
      </c>
      <c r="B124" s="176" t="s">
        <v>177</v>
      </c>
      <c r="C124" s="176" t="s">
        <v>185</v>
      </c>
      <c r="D124" s="177">
        <v>451381</v>
      </c>
      <c r="E124" s="181">
        <v>4.6981770583290796</v>
      </c>
      <c r="F124" s="184">
        <v>46288.5969189471</v>
      </c>
      <c r="G124" s="181">
        <v>2.4646174732218098</v>
      </c>
    </row>
    <row r="125" spans="1:7" x14ac:dyDescent="0.25">
      <c r="A125" s="176" t="s">
        <v>176</v>
      </c>
      <c r="B125" s="176" t="s">
        <v>177</v>
      </c>
      <c r="C125" s="176" t="s">
        <v>186</v>
      </c>
      <c r="D125" s="177">
        <v>551354</v>
      </c>
      <c r="E125" s="181">
        <v>4.3129585005770901</v>
      </c>
      <c r="F125" s="184">
        <v>42770.171797389499</v>
      </c>
      <c r="G125" s="181">
        <v>2.1564792502885402</v>
      </c>
    </row>
    <row r="126" spans="1:7" x14ac:dyDescent="0.25">
      <c r="A126" s="176" t="s">
        <v>176</v>
      </c>
      <c r="B126" s="176" t="s">
        <v>177</v>
      </c>
      <c r="C126" s="176" t="s">
        <v>187</v>
      </c>
      <c r="D126" s="177">
        <v>451166</v>
      </c>
      <c r="E126" s="181">
        <v>3.9498274129258002</v>
      </c>
      <c r="F126" s="184">
        <v>28053.254217564201</v>
      </c>
      <c r="G126" s="181">
        <v>3.1598619303406399</v>
      </c>
    </row>
    <row r="127" spans="1:7" x14ac:dyDescent="0.25">
      <c r="A127" s="176" t="s">
        <v>176</v>
      </c>
      <c r="B127" s="176" t="s">
        <v>188</v>
      </c>
      <c r="C127" s="176" t="s">
        <v>189</v>
      </c>
      <c r="D127" s="177">
        <v>508815</v>
      </c>
      <c r="E127" s="181">
        <v>4.4499876513070902</v>
      </c>
      <c r="F127" s="184">
        <v>44499.8765130709</v>
      </c>
      <c r="G127" s="181">
        <v>4.4499876513070902</v>
      </c>
    </row>
    <row r="128" spans="1:7" x14ac:dyDescent="0.25">
      <c r="A128" s="176" t="s">
        <v>176</v>
      </c>
      <c r="B128" s="176" t="s">
        <v>188</v>
      </c>
      <c r="C128" s="176" t="s">
        <v>190</v>
      </c>
      <c r="D128" s="177">
        <v>408801</v>
      </c>
      <c r="E128" s="181">
        <v>4.3971907382905</v>
      </c>
      <c r="F128" s="184">
        <v>44710.635426937799</v>
      </c>
      <c r="G128" s="181">
        <v>2.4624268134426801</v>
      </c>
    </row>
    <row r="129" spans="1:7" x14ac:dyDescent="0.25">
      <c r="A129" s="176" t="s">
        <v>176</v>
      </c>
      <c r="B129" s="176" t="s">
        <v>188</v>
      </c>
      <c r="C129" s="176" t="s">
        <v>188</v>
      </c>
      <c r="D129" s="177">
        <v>408822</v>
      </c>
      <c r="E129" s="181">
        <v>7.5827367317516998</v>
      </c>
      <c r="F129" s="184">
        <v>71253.653098365205</v>
      </c>
      <c r="G129" s="181">
        <v>3.1293834131038798</v>
      </c>
    </row>
    <row r="130" spans="1:7" x14ac:dyDescent="0.25">
      <c r="A130" s="176" t="s">
        <v>176</v>
      </c>
      <c r="B130" s="176" t="s">
        <v>188</v>
      </c>
      <c r="C130" s="176" t="s">
        <v>191</v>
      </c>
      <c r="D130" s="177">
        <v>508817</v>
      </c>
      <c r="E130" s="181">
        <v>3.1275205291729802</v>
      </c>
      <c r="F130" s="184">
        <v>50032.8224174977</v>
      </c>
      <c r="G130" s="181">
        <v>3.1275205291729802</v>
      </c>
    </row>
    <row r="131" spans="1:7" x14ac:dyDescent="0.25">
      <c r="A131" s="176" t="s">
        <v>176</v>
      </c>
      <c r="B131" s="176" t="s">
        <v>188</v>
      </c>
      <c r="C131" s="176" t="s">
        <v>192</v>
      </c>
      <c r="D131" s="177">
        <v>508802</v>
      </c>
      <c r="E131" s="181">
        <v>6.2762240180665101</v>
      </c>
      <c r="F131" s="184">
        <v>34328.216585772498</v>
      </c>
      <c r="G131" s="181">
        <v>2.7287930513332701</v>
      </c>
    </row>
    <row r="132" spans="1:7" x14ac:dyDescent="0.25">
      <c r="A132" s="176" t="s">
        <v>176</v>
      </c>
      <c r="B132" s="176" t="s">
        <v>188</v>
      </c>
      <c r="C132" s="176" t="s">
        <v>193</v>
      </c>
      <c r="D132" s="177">
        <v>508839</v>
      </c>
      <c r="E132" s="181">
        <v>8.6861210849868407</v>
      </c>
      <c r="F132" s="184">
        <v>39973.529233109402</v>
      </c>
      <c r="G132" s="181">
        <v>2.4817488814248101</v>
      </c>
    </row>
    <row r="133" spans="1:7" x14ac:dyDescent="0.25">
      <c r="A133" s="176" t="s">
        <v>176</v>
      </c>
      <c r="B133" s="176" t="s">
        <v>188</v>
      </c>
      <c r="C133" s="176" t="s">
        <v>194</v>
      </c>
      <c r="D133" s="177">
        <v>508819</v>
      </c>
      <c r="E133" s="181">
        <v>4.0930670505103004</v>
      </c>
      <c r="F133" s="184">
        <v>61779.730793639901</v>
      </c>
      <c r="G133" s="181">
        <v>3.5814336691965201</v>
      </c>
    </row>
    <row r="134" spans="1:7" x14ac:dyDescent="0.25">
      <c r="A134" s="176" t="s">
        <v>176</v>
      </c>
      <c r="B134" s="176" t="s">
        <v>188</v>
      </c>
      <c r="C134" s="176" t="s">
        <v>195</v>
      </c>
      <c r="D134" s="177">
        <v>408840</v>
      </c>
      <c r="E134" s="181">
        <v>5.1749146803762098</v>
      </c>
      <c r="F134" s="184">
        <v>34504.995626895601</v>
      </c>
      <c r="G134" s="181">
        <v>1.8362600478754301</v>
      </c>
    </row>
    <row r="135" spans="1:7" x14ac:dyDescent="0.25">
      <c r="A135" s="176" t="s">
        <v>176</v>
      </c>
      <c r="B135" s="176" t="s">
        <v>188</v>
      </c>
      <c r="C135" s="176" t="s">
        <v>196</v>
      </c>
      <c r="D135" s="177">
        <v>408862</v>
      </c>
      <c r="E135" s="181">
        <v>5.1637322223059403</v>
      </c>
      <c r="F135" s="184">
        <v>48487.4455674528</v>
      </c>
      <c r="G135" s="181">
        <v>3.0982393333835598</v>
      </c>
    </row>
    <row r="136" spans="1:7" x14ac:dyDescent="0.25">
      <c r="A136" s="176" t="s">
        <v>176</v>
      </c>
      <c r="B136" s="176" t="s">
        <v>188</v>
      </c>
      <c r="C136" s="176" t="s">
        <v>197</v>
      </c>
      <c r="D136" s="177">
        <v>508860</v>
      </c>
      <c r="E136" s="181">
        <v>3.7761049361279801</v>
      </c>
      <c r="F136" s="184">
        <v>45313.259233535799</v>
      </c>
      <c r="G136" s="181">
        <v>3.59629041535998</v>
      </c>
    </row>
    <row r="137" spans="1:7" x14ac:dyDescent="0.25">
      <c r="A137" s="176" t="s">
        <v>176</v>
      </c>
      <c r="B137" s="176" t="s">
        <v>188</v>
      </c>
      <c r="C137" s="176" t="s">
        <v>198</v>
      </c>
      <c r="D137" s="177">
        <v>408806</v>
      </c>
      <c r="E137" s="181">
        <v>4.4831826295103001</v>
      </c>
      <c r="F137" s="184">
        <v>70883.025788183601</v>
      </c>
      <c r="G137" s="181">
        <v>2.06916121362014</v>
      </c>
    </row>
    <row r="138" spans="1:7" x14ac:dyDescent="0.25">
      <c r="A138" s="176" t="s">
        <v>176</v>
      </c>
      <c r="B138" s="176" t="s">
        <v>188</v>
      </c>
      <c r="C138" s="176" t="s">
        <v>199</v>
      </c>
      <c r="D138" s="177">
        <v>508833</v>
      </c>
      <c r="E138" s="181">
        <v>6.8350633945877703</v>
      </c>
      <c r="F138" s="184">
        <v>47503.690592384999</v>
      </c>
      <c r="G138" s="181">
        <v>3.0757785275645002</v>
      </c>
    </row>
    <row r="139" spans="1:7" x14ac:dyDescent="0.25">
      <c r="A139" s="176" t="s">
        <v>176</v>
      </c>
      <c r="B139" s="176" t="s">
        <v>188</v>
      </c>
      <c r="C139" s="176" t="s">
        <v>200</v>
      </c>
      <c r="D139" s="177">
        <v>508820</v>
      </c>
      <c r="E139" s="181">
        <v>16.513897861146202</v>
      </c>
      <c r="F139" s="184">
        <v>52703.929344083597</v>
      </c>
      <c r="G139" s="181">
        <v>5.2703929344083598</v>
      </c>
    </row>
    <row r="140" spans="1:7" x14ac:dyDescent="0.25">
      <c r="A140" s="176" t="s">
        <v>176</v>
      </c>
      <c r="B140" s="176" t="s">
        <v>188</v>
      </c>
      <c r="C140" s="176" t="s">
        <v>201</v>
      </c>
      <c r="D140" s="177">
        <v>408814</v>
      </c>
      <c r="E140" s="181">
        <v>14.4098610124466</v>
      </c>
      <c r="F140" s="184">
        <v>119809.988840153</v>
      </c>
      <c r="G140" s="181">
        <v>6.4043826721984898</v>
      </c>
    </row>
    <row r="141" spans="1:7" x14ac:dyDescent="0.25">
      <c r="A141" s="176" t="s">
        <v>176</v>
      </c>
      <c r="B141" s="176" t="s">
        <v>202</v>
      </c>
      <c r="C141" s="176" t="s">
        <v>203</v>
      </c>
      <c r="D141" s="177">
        <v>551367</v>
      </c>
      <c r="E141" s="181">
        <v>9.79061008660406</v>
      </c>
      <c r="F141" s="184">
        <v>60960.402426025299</v>
      </c>
      <c r="G141" s="181">
        <v>3.69456984400153</v>
      </c>
    </row>
    <row r="142" spans="1:7" x14ac:dyDescent="0.25">
      <c r="A142" s="176" t="s">
        <v>176</v>
      </c>
      <c r="B142" s="176" t="s">
        <v>202</v>
      </c>
      <c r="C142" s="176" t="s">
        <v>204</v>
      </c>
      <c r="D142" s="177">
        <v>551340</v>
      </c>
      <c r="E142" s="181">
        <v>5.01769911499985</v>
      </c>
      <c r="F142" s="184">
        <v>37699.6460173655</v>
      </c>
      <c r="G142" s="181">
        <v>3.0106194689999102</v>
      </c>
    </row>
    <row r="143" spans="1:7" x14ac:dyDescent="0.25">
      <c r="A143" s="176" t="s">
        <v>176</v>
      </c>
      <c r="B143" s="176" t="s">
        <v>202</v>
      </c>
      <c r="C143" s="176" t="s">
        <v>205</v>
      </c>
      <c r="D143" s="177">
        <v>551369</v>
      </c>
      <c r="E143" s="181">
        <v>3.2481123171874402</v>
      </c>
      <c r="F143" s="184">
        <v>59908.070749040497</v>
      </c>
      <c r="G143" s="181">
        <v>3.7609721567433501</v>
      </c>
    </row>
    <row r="144" spans="1:7" x14ac:dyDescent="0.25">
      <c r="A144" s="176" t="s">
        <v>176</v>
      </c>
      <c r="B144" s="176" t="s">
        <v>202</v>
      </c>
      <c r="C144" s="176" t="s">
        <v>206</v>
      </c>
      <c r="D144" s="177">
        <v>551365</v>
      </c>
      <c r="E144" s="181">
        <v>5.8092616689577303</v>
      </c>
      <c r="F144" s="184">
        <v>32306.990700913298</v>
      </c>
      <c r="G144" s="181">
        <v>2.9983286033330199</v>
      </c>
    </row>
    <row r="145" spans="1:7" x14ac:dyDescent="0.25">
      <c r="A145" s="176" t="s">
        <v>176</v>
      </c>
      <c r="B145" s="176" t="s">
        <v>202</v>
      </c>
      <c r="C145" s="176" t="s">
        <v>207</v>
      </c>
      <c r="D145" s="177">
        <v>451370</v>
      </c>
      <c r="E145" s="181">
        <v>6.1153793366229499</v>
      </c>
      <c r="F145" s="184">
        <v>25468.202868059001</v>
      </c>
      <c r="G145" s="181">
        <v>1.88165518049937</v>
      </c>
    </row>
    <row r="146" spans="1:7" x14ac:dyDescent="0.25">
      <c r="A146" s="176" t="s">
        <v>176</v>
      </c>
      <c r="B146" s="176" t="s">
        <v>202</v>
      </c>
      <c r="C146" s="176" t="s">
        <v>208</v>
      </c>
      <c r="D146" s="177">
        <v>551314</v>
      </c>
      <c r="E146" s="181">
        <v>5.7068980912925102</v>
      </c>
      <c r="F146" s="184">
        <v>34664.121739702699</v>
      </c>
      <c r="G146" s="181">
        <v>5.0727983033711199</v>
      </c>
    </row>
    <row r="147" spans="1:7" x14ac:dyDescent="0.25">
      <c r="A147" s="176" t="s">
        <v>176</v>
      </c>
      <c r="B147" s="176" t="s">
        <v>202</v>
      </c>
      <c r="C147" s="176" t="s">
        <v>209</v>
      </c>
      <c r="D147" s="177">
        <v>451361</v>
      </c>
      <c r="E147" s="181">
        <v>3.96845940310227</v>
      </c>
      <c r="F147" s="184">
        <v>30953.983344197699</v>
      </c>
      <c r="G147" s="181">
        <v>4.2330233633090799</v>
      </c>
    </row>
    <row r="148" spans="1:7" x14ac:dyDescent="0.25">
      <c r="A148" s="176" t="s">
        <v>176</v>
      </c>
      <c r="B148" s="176" t="s">
        <v>202</v>
      </c>
      <c r="C148" s="176" t="s">
        <v>210</v>
      </c>
      <c r="D148" s="177">
        <v>451350</v>
      </c>
      <c r="E148" s="181">
        <v>9.5984374106890797</v>
      </c>
      <c r="F148" s="184">
        <v>34903.4087661421</v>
      </c>
      <c r="G148" s="181">
        <v>2.9917207513836099</v>
      </c>
    </row>
    <row r="149" spans="1:7" x14ac:dyDescent="0.25">
      <c r="A149" s="176" t="s">
        <v>176</v>
      </c>
      <c r="B149" s="176" t="s">
        <v>202</v>
      </c>
      <c r="C149" s="176" t="s">
        <v>211</v>
      </c>
      <c r="D149" s="177">
        <v>551310</v>
      </c>
      <c r="E149" s="181">
        <v>5.5467580720639296</v>
      </c>
      <c r="F149" s="184">
        <v>38731.252889053198</v>
      </c>
      <c r="G149" s="181">
        <v>4.32917703185477</v>
      </c>
    </row>
    <row r="150" spans="1:7" x14ac:dyDescent="0.25">
      <c r="A150" s="176" t="s">
        <v>176</v>
      </c>
      <c r="B150" s="176" t="s">
        <v>202</v>
      </c>
      <c r="C150" s="176" t="s">
        <v>212</v>
      </c>
      <c r="D150" s="177">
        <v>551309</v>
      </c>
      <c r="E150" s="181">
        <v>5.5235015445555797</v>
      </c>
      <c r="F150" s="184">
        <v>45257.077171519901</v>
      </c>
      <c r="G150" s="181">
        <v>3.56354938358424</v>
      </c>
    </row>
    <row r="151" spans="1:7" x14ac:dyDescent="0.25">
      <c r="A151" s="176" t="s">
        <v>176</v>
      </c>
      <c r="B151" s="176" t="s">
        <v>202</v>
      </c>
      <c r="C151" s="176" t="s">
        <v>213</v>
      </c>
      <c r="D151" s="177">
        <v>551305</v>
      </c>
      <c r="E151" s="181">
        <v>5.5033393900257899</v>
      </c>
      <c r="F151" s="184">
        <v>26885.826337126</v>
      </c>
      <c r="G151" s="181">
        <v>3.7583781200176101</v>
      </c>
    </row>
    <row r="152" spans="1:7" x14ac:dyDescent="0.25">
      <c r="A152" s="176" t="s">
        <v>176</v>
      </c>
      <c r="B152" s="176" t="s">
        <v>202</v>
      </c>
      <c r="C152" s="176" t="s">
        <v>214</v>
      </c>
      <c r="D152" s="177">
        <v>451301</v>
      </c>
      <c r="E152" s="181">
        <v>4.4128190590714196</v>
      </c>
      <c r="F152" s="184">
        <v>41588.928423580001</v>
      </c>
      <c r="G152" s="181">
        <v>2.6476914354428498</v>
      </c>
    </row>
    <row r="153" spans="1:7" x14ac:dyDescent="0.25">
      <c r="A153" s="176" t="s">
        <v>176</v>
      </c>
      <c r="B153" s="176" t="s">
        <v>202</v>
      </c>
      <c r="C153" s="176" t="s">
        <v>215</v>
      </c>
      <c r="D153" s="177">
        <v>551341</v>
      </c>
      <c r="E153" s="181">
        <v>4.8216579447175496</v>
      </c>
      <c r="F153" s="184">
        <v>41837.155089549196</v>
      </c>
      <c r="G153" s="181">
        <v>2.9671741198261898</v>
      </c>
    </row>
    <row r="154" spans="1:7" x14ac:dyDescent="0.25">
      <c r="A154" s="176" t="s">
        <v>176</v>
      </c>
      <c r="B154" s="176" t="s">
        <v>202</v>
      </c>
      <c r="C154" s="176" t="s">
        <v>216</v>
      </c>
      <c r="D154" s="177">
        <v>551307</v>
      </c>
      <c r="E154" s="181">
        <v>6.3805168670755501</v>
      </c>
      <c r="F154" s="184">
        <v>30695.459522687801</v>
      </c>
      <c r="G154" s="181">
        <v>3.1040352326313498</v>
      </c>
    </row>
    <row r="155" spans="1:7" x14ac:dyDescent="0.25">
      <c r="A155" s="176" t="s">
        <v>176</v>
      </c>
      <c r="B155" s="176" t="s">
        <v>202</v>
      </c>
      <c r="C155" s="176" t="s">
        <v>217</v>
      </c>
      <c r="D155" s="177">
        <v>551306</v>
      </c>
      <c r="E155" s="181">
        <v>5.1920075062916196</v>
      </c>
      <c r="F155" s="184">
        <v>61489.657525492898</v>
      </c>
      <c r="G155" s="181">
        <v>3.2577302000261099</v>
      </c>
    </row>
    <row r="156" spans="1:7" x14ac:dyDescent="0.25">
      <c r="A156" s="176" t="s">
        <v>176</v>
      </c>
      <c r="B156" s="176" t="s">
        <v>202</v>
      </c>
      <c r="C156" s="176" t="s">
        <v>218</v>
      </c>
      <c r="D156" s="177">
        <v>551349</v>
      </c>
      <c r="E156" s="181">
        <v>4.2737851918469003</v>
      </c>
      <c r="F156" s="184">
        <v>86081.156739116195</v>
      </c>
      <c r="G156" s="181">
        <v>4.9860827238213803</v>
      </c>
    </row>
    <row r="157" spans="1:7" x14ac:dyDescent="0.25">
      <c r="A157" s="176" t="s">
        <v>176</v>
      </c>
      <c r="B157" s="176" t="s">
        <v>202</v>
      </c>
      <c r="C157" s="176" t="s">
        <v>219</v>
      </c>
      <c r="D157" s="177">
        <v>451308</v>
      </c>
      <c r="E157" s="181">
        <v>5.4019706774535603</v>
      </c>
      <c r="F157" s="184">
        <v>30999.945364932399</v>
      </c>
      <c r="G157" s="181">
        <v>1.96435297361948</v>
      </c>
    </row>
    <row r="158" spans="1:7" x14ac:dyDescent="0.25">
      <c r="A158" s="176" t="s">
        <v>176</v>
      </c>
      <c r="B158" s="176" t="s">
        <v>202</v>
      </c>
      <c r="C158" s="176" t="s">
        <v>220</v>
      </c>
      <c r="D158" s="177">
        <v>451336</v>
      </c>
      <c r="E158" s="181">
        <v>6.5114141333394997</v>
      </c>
      <c r="F158" s="184">
        <v>63439.205267095997</v>
      </c>
      <c r="G158" s="181">
        <v>3.2056192656440601</v>
      </c>
    </row>
    <row r="159" spans="1:7" x14ac:dyDescent="0.25">
      <c r="A159" s="176" t="s">
        <v>221</v>
      </c>
      <c r="B159" s="176" t="s">
        <v>222</v>
      </c>
      <c r="C159" s="176" t="s">
        <v>223</v>
      </c>
      <c r="D159" s="177">
        <v>554116</v>
      </c>
      <c r="E159" s="181">
        <v>4.3962783483447101</v>
      </c>
      <c r="F159" s="184">
        <v>42563.967645337398</v>
      </c>
      <c r="G159" s="181">
        <v>1.9983083401566899</v>
      </c>
    </row>
    <row r="160" spans="1:7" x14ac:dyDescent="0.25">
      <c r="A160" s="176" t="s">
        <v>221</v>
      </c>
      <c r="B160" s="176" t="s">
        <v>222</v>
      </c>
      <c r="C160" s="176" t="s">
        <v>224</v>
      </c>
      <c r="D160" s="177">
        <v>454161</v>
      </c>
      <c r="E160" s="181">
        <v>6.1834143206724503</v>
      </c>
      <c r="F160" s="184">
        <v>63143.5721216905</v>
      </c>
      <c r="G160" s="181">
        <v>3.6373025415720299</v>
      </c>
    </row>
    <row r="161" spans="1:7" x14ac:dyDescent="0.25">
      <c r="A161" s="176" t="s">
        <v>221</v>
      </c>
      <c r="B161" s="176" t="s">
        <v>222</v>
      </c>
      <c r="C161" s="176" t="s">
        <v>225</v>
      </c>
      <c r="D161" s="177">
        <v>554166</v>
      </c>
      <c r="E161" s="181">
        <v>2.3814011539159901</v>
      </c>
      <c r="F161" s="184">
        <v>62502.6210550873</v>
      </c>
      <c r="G161" s="181">
        <v>2.5645858580633698</v>
      </c>
    </row>
    <row r="162" spans="1:7" x14ac:dyDescent="0.25">
      <c r="A162" s="176" t="s">
        <v>221</v>
      </c>
      <c r="B162" s="176" t="s">
        <v>222</v>
      </c>
      <c r="C162" s="176" t="s">
        <v>226</v>
      </c>
      <c r="D162" s="177">
        <v>454171</v>
      </c>
      <c r="E162" s="181">
        <v>5.5162162918463498</v>
      </c>
      <c r="F162" s="184">
        <v>35982.703196043898</v>
      </c>
      <c r="G162" s="181">
        <v>4.2432433014202697</v>
      </c>
    </row>
    <row r="163" spans="1:7" x14ac:dyDescent="0.25">
      <c r="A163" s="176" t="s">
        <v>221</v>
      </c>
      <c r="B163" s="176" t="s">
        <v>222</v>
      </c>
      <c r="C163" s="176" t="s">
        <v>227</v>
      </c>
      <c r="D163" s="177">
        <v>554266</v>
      </c>
      <c r="E163" s="181">
        <v>4.4043417154857796</v>
      </c>
      <c r="F163" s="184">
        <v>45050.123832683101</v>
      </c>
      <c r="G163" s="181">
        <v>5.6627250627674304</v>
      </c>
    </row>
    <row r="164" spans="1:7" x14ac:dyDescent="0.25">
      <c r="A164" s="176" t="s">
        <v>221</v>
      </c>
      <c r="B164" s="176" t="s">
        <v>222</v>
      </c>
      <c r="C164" s="176" t="s">
        <v>228</v>
      </c>
      <c r="D164" s="177">
        <v>554296</v>
      </c>
      <c r="E164" s="181">
        <v>2.2926547696355901</v>
      </c>
      <c r="F164" s="184">
        <v>57990.679467253103</v>
      </c>
      <c r="G164" s="181">
        <v>2.42751681490827</v>
      </c>
    </row>
    <row r="165" spans="1:7" x14ac:dyDescent="0.25">
      <c r="A165" s="176" t="s">
        <v>221</v>
      </c>
      <c r="B165" s="176" t="s">
        <v>222</v>
      </c>
      <c r="C165" s="176" t="s">
        <v>229</v>
      </c>
      <c r="D165" s="177">
        <v>554356</v>
      </c>
      <c r="E165" s="181">
        <v>3.3419786514904999</v>
      </c>
      <c r="F165" s="184">
        <v>35424.973705799297</v>
      </c>
      <c r="G165" s="181">
        <v>2.78498220957542</v>
      </c>
    </row>
    <row r="166" spans="1:7" x14ac:dyDescent="0.25">
      <c r="A166" s="176" t="s">
        <v>221</v>
      </c>
      <c r="B166" s="176" t="s">
        <v>222</v>
      </c>
      <c r="C166" s="176" t="s">
        <v>230</v>
      </c>
      <c r="D166" s="177">
        <v>454426</v>
      </c>
      <c r="E166" s="181">
        <v>4.83639116388962</v>
      </c>
      <c r="F166" s="184">
        <v>38050.307481901596</v>
      </c>
      <c r="G166" s="181">
        <v>3.6272933729172201</v>
      </c>
    </row>
    <row r="167" spans="1:7" x14ac:dyDescent="0.25">
      <c r="A167" s="176" t="s">
        <v>221</v>
      </c>
      <c r="B167" s="176" t="s">
        <v>222</v>
      </c>
      <c r="C167" s="176" t="s">
        <v>231</v>
      </c>
      <c r="D167" s="177">
        <v>554431</v>
      </c>
      <c r="E167" s="181">
        <v>9.4571467275169105</v>
      </c>
      <c r="F167" s="184">
        <v>37058.920661012802</v>
      </c>
      <c r="G167" s="181">
        <v>2.9098913007744298</v>
      </c>
    </row>
    <row r="168" spans="1:7" x14ac:dyDescent="0.25">
      <c r="A168" s="176" t="s">
        <v>221</v>
      </c>
      <c r="B168" s="176" t="s">
        <v>222</v>
      </c>
      <c r="C168" s="176" t="s">
        <v>232</v>
      </c>
      <c r="D168" s="177">
        <v>554476</v>
      </c>
      <c r="E168" s="181">
        <v>4.2080315952451404</v>
      </c>
      <c r="F168" s="184">
        <v>72279.130930093001</v>
      </c>
      <c r="G168" s="181">
        <v>2.4753127030853799</v>
      </c>
    </row>
    <row r="169" spans="1:7" x14ac:dyDescent="0.25">
      <c r="A169" s="176" t="s">
        <v>221</v>
      </c>
      <c r="B169" s="176" t="s">
        <v>222</v>
      </c>
      <c r="C169" s="176" t="s">
        <v>233</v>
      </c>
      <c r="D169" s="177">
        <v>554471</v>
      </c>
      <c r="E169" s="181">
        <v>5.9092662046511801</v>
      </c>
      <c r="F169" s="184">
        <v>68493.767372093207</v>
      </c>
      <c r="G169" s="181">
        <v>5.3720601860465296</v>
      </c>
    </row>
    <row r="170" spans="1:7" x14ac:dyDescent="0.25">
      <c r="A170" s="176" t="s">
        <v>221</v>
      </c>
      <c r="B170" s="176" t="s">
        <v>222</v>
      </c>
      <c r="C170" s="176" t="s">
        <v>234</v>
      </c>
      <c r="D170" s="177">
        <v>454481</v>
      </c>
      <c r="E170" s="181">
        <v>3.84643513805131</v>
      </c>
      <c r="F170" s="184">
        <v>30874.854048745601</v>
      </c>
      <c r="G170" s="181">
        <v>3.0771481104410499</v>
      </c>
    </row>
    <row r="171" spans="1:7" x14ac:dyDescent="0.25">
      <c r="A171" s="176" t="s">
        <v>221</v>
      </c>
      <c r="B171" s="176" t="s">
        <v>222</v>
      </c>
      <c r="C171" s="176" t="s">
        <v>235</v>
      </c>
      <c r="D171" s="177">
        <v>554486</v>
      </c>
      <c r="E171" s="181">
        <v>4.1050162593632402</v>
      </c>
      <c r="F171" s="184">
        <v>33682.184692211202</v>
      </c>
      <c r="G171" s="181">
        <v>1.6841092346105599</v>
      </c>
    </row>
    <row r="172" spans="1:7" x14ac:dyDescent="0.25">
      <c r="A172" s="176" t="s">
        <v>221</v>
      </c>
      <c r="B172" s="176" t="s">
        <v>222</v>
      </c>
      <c r="C172" s="176" t="s">
        <v>236</v>
      </c>
      <c r="D172" s="177">
        <v>554491</v>
      </c>
      <c r="E172" s="181">
        <v>3.1806189207796902</v>
      </c>
      <c r="F172" s="184">
        <v>43559.333410296997</v>
      </c>
      <c r="G172" s="181">
        <v>2.42332870154643</v>
      </c>
    </row>
    <row r="173" spans="1:7" x14ac:dyDescent="0.25">
      <c r="A173" s="176" t="s">
        <v>221</v>
      </c>
      <c r="B173" s="176" t="s">
        <v>222</v>
      </c>
      <c r="C173" s="176" t="s">
        <v>237</v>
      </c>
      <c r="D173" s="177">
        <v>554601</v>
      </c>
      <c r="E173" s="181">
        <v>2.76021068422504</v>
      </c>
      <c r="F173" s="184">
        <v>17815.905325452499</v>
      </c>
      <c r="G173" s="181">
        <v>2.0074259521636599</v>
      </c>
    </row>
    <row r="174" spans="1:7" x14ac:dyDescent="0.25">
      <c r="A174" s="176" t="s">
        <v>221</v>
      </c>
      <c r="B174" s="176" t="s">
        <v>222</v>
      </c>
      <c r="C174" s="176" t="s">
        <v>238</v>
      </c>
      <c r="D174" s="177">
        <v>554611</v>
      </c>
      <c r="E174" s="181">
        <v>4.8306524022976696</v>
      </c>
      <c r="F174" s="184">
        <v>37712.403582075603</v>
      </c>
      <c r="G174" s="181">
        <v>2.99833597383993</v>
      </c>
    </row>
    <row r="175" spans="1:7" x14ac:dyDescent="0.25">
      <c r="A175" s="176" t="s">
        <v>221</v>
      </c>
      <c r="B175" s="176" t="s">
        <v>222</v>
      </c>
      <c r="C175" s="176" t="s">
        <v>239</v>
      </c>
      <c r="D175" s="177">
        <v>554636</v>
      </c>
      <c r="E175" s="181">
        <v>3.6946863339462999</v>
      </c>
      <c r="F175" s="184">
        <v>42119.424206987802</v>
      </c>
      <c r="G175" s="181">
        <v>3.6946863339462999</v>
      </c>
    </row>
    <row r="176" spans="1:7" x14ac:dyDescent="0.25">
      <c r="A176" s="176" t="s">
        <v>221</v>
      </c>
      <c r="B176" s="176" t="s">
        <v>222</v>
      </c>
      <c r="C176" s="176" t="s">
        <v>240</v>
      </c>
      <c r="D176" s="177">
        <v>454671</v>
      </c>
      <c r="E176" s="181">
        <v>3.4293546977133098</v>
      </c>
      <c r="F176" s="184">
        <v>35665.288856218503</v>
      </c>
      <c r="G176" s="181">
        <v>2.7434837581706502</v>
      </c>
    </row>
    <row r="177" spans="1:7" x14ac:dyDescent="0.25">
      <c r="A177" s="176" t="s">
        <v>221</v>
      </c>
      <c r="B177" s="176" t="s">
        <v>241</v>
      </c>
      <c r="C177" s="176" t="s">
        <v>242</v>
      </c>
      <c r="D177" s="177">
        <v>554184</v>
      </c>
      <c r="E177" s="181">
        <v>6.2889301167370597</v>
      </c>
      <c r="F177" s="184">
        <v>45531.854045176296</v>
      </c>
      <c r="G177" s="181">
        <v>1.5093432280168899</v>
      </c>
    </row>
    <row r="178" spans="1:7" x14ac:dyDescent="0.25">
      <c r="A178" s="176" t="s">
        <v>221</v>
      </c>
      <c r="B178" s="176" t="s">
        <v>241</v>
      </c>
      <c r="C178" s="176" t="s">
        <v>243</v>
      </c>
      <c r="D178" s="177">
        <v>554506</v>
      </c>
      <c r="E178" s="181">
        <v>5.5326460339765902</v>
      </c>
      <c r="F178" s="184">
        <v>43517.1227706918</v>
      </c>
      <c r="G178" s="181">
        <v>3.05249436357329</v>
      </c>
    </row>
    <row r="179" spans="1:7" x14ac:dyDescent="0.25">
      <c r="A179" s="176" t="s">
        <v>221</v>
      </c>
      <c r="B179" s="176" t="s">
        <v>241</v>
      </c>
      <c r="C179" s="176" t="s">
        <v>244</v>
      </c>
      <c r="D179" s="177">
        <v>554196</v>
      </c>
      <c r="E179" s="181">
        <v>5.2026806086263502</v>
      </c>
      <c r="F179" s="184">
        <v>67477.190924002396</v>
      </c>
      <c r="G179" s="181">
        <v>1.89188385768231</v>
      </c>
    </row>
    <row r="180" spans="1:7" x14ac:dyDescent="0.25">
      <c r="A180" s="176" t="s">
        <v>221</v>
      </c>
      <c r="B180" s="176" t="s">
        <v>241</v>
      </c>
      <c r="C180" s="176" t="s">
        <v>245</v>
      </c>
      <c r="D180" s="177">
        <v>554257</v>
      </c>
      <c r="E180" s="181">
        <v>4.5836242592011898</v>
      </c>
      <c r="F180" s="184">
        <v>47068.091611672302</v>
      </c>
      <c r="G180" s="181">
        <v>2.0053356134005198</v>
      </c>
    </row>
    <row r="181" spans="1:7" x14ac:dyDescent="0.25">
      <c r="A181" s="176" t="s">
        <v>221</v>
      </c>
      <c r="B181" s="176" t="s">
        <v>241</v>
      </c>
      <c r="C181" s="176" t="s">
        <v>246</v>
      </c>
      <c r="D181" s="177">
        <v>554321</v>
      </c>
      <c r="E181" s="181">
        <v>7.4970465312850196</v>
      </c>
      <c r="F181" s="184">
        <v>69012.2862274605</v>
      </c>
      <c r="G181" s="181">
        <v>3.1566511710673799</v>
      </c>
    </row>
    <row r="182" spans="1:7" x14ac:dyDescent="0.25">
      <c r="A182" s="176" t="s">
        <v>221</v>
      </c>
      <c r="B182" s="176" t="s">
        <v>241</v>
      </c>
      <c r="C182" s="176" t="s">
        <v>247</v>
      </c>
      <c r="D182" s="177">
        <v>454355</v>
      </c>
      <c r="E182" s="181">
        <v>7.9108671510364399</v>
      </c>
      <c r="F182" s="184">
        <v>47495.089894150296</v>
      </c>
      <c r="G182" s="181">
        <v>1.8771549171950901</v>
      </c>
    </row>
    <row r="183" spans="1:7" x14ac:dyDescent="0.25">
      <c r="A183" s="176" t="s">
        <v>221</v>
      </c>
      <c r="B183" s="176" t="s">
        <v>241</v>
      </c>
      <c r="C183" s="176" t="s">
        <v>248</v>
      </c>
      <c r="D183" s="177">
        <v>554357</v>
      </c>
      <c r="E183" s="181">
        <v>3.0339077768893898</v>
      </c>
      <c r="F183" s="184">
        <v>28765.940403099401</v>
      </c>
      <c r="G183" s="181">
        <v>2.24733909399214</v>
      </c>
    </row>
    <row r="184" spans="1:7" x14ac:dyDescent="0.25">
      <c r="A184" s="176" t="s">
        <v>221</v>
      </c>
      <c r="B184" s="176" t="s">
        <v>241</v>
      </c>
      <c r="C184" s="176" t="s">
        <v>249</v>
      </c>
      <c r="D184" s="177">
        <v>554381</v>
      </c>
      <c r="E184" s="181">
        <v>4.2035840075540802</v>
      </c>
      <c r="F184" s="184">
        <v>35464.9745479431</v>
      </c>
      <c r="G184" s="181">
        <v>2.4336538991102601</v>
      </c>
    </row>
    <row r="185" spans="1:7" x14ac:dyDescent="0.25">
      <c r="A185" s="176" t="s">
        <v>221</v>
      </c>
      <c r="B185" s="176" t="s">
        <v>241</v>
      </c>
      <c r="C185" s="176" t="s">
        <v>250</v>
      </c>
      <c r="D185" s="177">
        <v>554376</v>
      </c>
      <c r="E185" s="181">
        <v>2.8012591880782298</v>
      </c>
      <c r="F185" s="184">
        <v>39711.968489815001</v>
      </c>
      <c r="G185" s="181">
        <v>2.63647923583834</v>
      </c>
    </row>
    <row r="186" spans="1:7" x14ac:dyDescent="0.25">
      <c r="A186" s="176" t="s">
        <v>221</v>
      </c>
      <c r="B186" s="176" t="s">
        <v>241</v>
      </c>
      <c r="C186" s="176" t="s">
        <v>251</v>
      </c>
      <c r="D186" s="177">
        <v>554416</v>
      </c>
      <c r="E186" s="181">
        <v>3.3126627247935598</v>
      </c>
      <c r="F186" s="184">
        <v>29049.503894343499</v>
      </c>
      <c r="G186" s="181">
        <v>3.5674829343930599</v>
      </c>
    </row>
    <row r="187" spans="1:7" x14ac:dyDescent="0.25">
      <c r="A187" s="176" t="s">
        <v>221</v>
      </c>
      <c r="B187" s="176" t="s">
        <v>241</v>
      </c>
      <c r="C187" s="176" t="s">
        <v>252</v>
      </c>
      <c r="D187" s="177">
        <v>454466</v>
      </c>
      <c r="E187" s="181">
        <v>6.5613859974623301</v>
      </c>
      <c r="F187" s="184">
        <v>41992.870383758898</v>
      </c>
      <c r="G187" s="181">
        <v>3.8274751651863599</v>
      </c>
    </row>
    <row r="188" spans="1:7" x14ac:dyDescent="0.25">
      <c r="A188" s="176" t="s">
        <v>221</v>
      </c>
      <c r="B188" s="176" t="s">
        <v>241</v>
      </c>
      <c r="C188" s="176" t="s">
        <v>253</v>
      </c>
      <c r="D188" s="177">
        <v>554496</v>
      </c>
      <c r="E188" s="181">
        <v>3.31988395777211</v>
      </c>
      <c r="F188" s="184">
        <v>41830.537867928499</v>
      </c>
      <c r="G188" s="181">
        <v>1.99193037466326</v>
      </c>
    </row>
    <row r="189" spans="1:7" x14ac:dyDescent="0.25">
      <c r="A189" s="176" t="s">
        <v>221</v>
      </c>
      <c r="B189" s="176" t="s">
        <v>241</v>
      </c>
      <c r="C189" s="176" t="s">
        <v>254</v>
      </c>
      <c r="D189" s="177">
        <v>554516</v>
      </c>
      <c r="E189" s="181">
        <v>4.8194884971249499</v>
      </c>
      <c r="F189" s="184">
        <v>45562.702792050499</v>
      </c>
      <c r="G189" s="181">
        <v>2.9658390751538102</v>
      </c>
    </row>
    <row r="190" spans="1:7" x14ac:dyDescent="0.25">
      <c r="A190" s="176" t="s">
        <v>221</v>
      </c>
      <c r="B190" s="176" t="s">
        <v>241</v>
      </c>
      <c r="C190" s="176" t="s">
        <v>255</v>
      </c>
      <c r="D190" s="177">
        <v>554531</v>
      </c>
      <c r="E190" s="181">
        <v>4.77853807210208</v>
      </c>
      <c r="F190" s="184">
        <v>60249.400859087102</v>
      </c>
      <c r="G190" s="181">
        <v>4.3803265660935802</v>
      </c>
    </row>
    <row r="191" spans="1:7" x14ac:dyDescent="0.25">
      <c r="A191" s="176" t="s">
        <v>221</v>
      </c>
      <c r="B191" s="176" t="s">
        <v>241</v>
      </c>
      <c r="C191" s="176" t="s">
        <v>256</v>
      </c>
      <c r="D191" s="177">
        <v>554533</v>
      </c>
      <c r="E191" s="181">
        <v>3.27009839197917</v>
      </c>
      <c r="F191" s="184">
        <v>32672.548281600601</v>
      </c>
      <c r="G191" s="181">
        <v>1.99049467337863</v>
      </c>
    </row>
    <row r="192" spans="1:7" x14ac:dyDescent="0.25">
      <c r="A192" s="176" t="s">
        <v>221</v>
      </c>
      <c r="B192" s="176" t="s">
        <v>241</v>
      </c>
      <c r="C192" s="176" t="s">
        <v>257</v>
      </c>
      <c r="D192" s="177">
        <v>454535</v>
      </c>
      <c r="E192" s="181">
        <v>4.0289912018869902</v>
      </c>
      <c r="F192" s="184">
        <v>33279.467327586499</v>
      </c>
      <c r="G192" s="181">
        <v>2.1487953076730602</v>
      </c>
    </row>
    <row r="193" spans="1:7" x14ac:dyDescent="0.25">
      <c r="A193" s="176" t="s">
        <v>221</v>
      </c>
      <c r="B193" s="176" t="s">
        <v>241</v>
      </c>
      <c r="C193" s="176" t="s">
        <v>258</v>
      </c>
      <c r="D193" s="177">
        <v>454651</v>
      </c>
      <c r="E193" s="181">
        <v>5.9656730886818004</v>
      </c>
      <c r="F193" s="184">
        <v>57462.280986042897</v>
      </c>
      <c r="G193" s="181">
        <v>4.3136405410468397</v>
      </c>
    </row>
    <row r="194" spans="1:7" x14ac:dyDescent="0.25">
      <c r="A194" s="176" t="s">
        <v>221</v>
      </c>
      <c r="B194" s="176" t="s">
        <v>241</v>
      </c>
      <c r="C194" s="176" t="s">
        <v>259</v>
      </c>
      <c r="D194" s="177">
        <v>554686</v>
      </c>
      <c r="E194" s="181">
        <v>4.6014663162810399</v>
      </c>
      <c r="F194" s="184">
        <v>56367.962374442803</v>
      </c>
      <c r="G194" s="181">
        <v>2.87591644767565</v>
      </c>
    </row>
    <row r="195" spans="1:7" x14ac:dyDescent="0.25">
      <c r="A195" s="176" t="s">
        <v>221</v>
      </c>
      <c r="B195" s="176" t="s">
        <v>241</v>
      </c>
      <c r="C195" s="176" t="s">
        <v>260</v>
      </c>
      <c r="D195" s="177">
        <v>454696</v>
      </c>
      <c r="E195" s="181">
        <v>4.9580278926120798</v>
      </c>
      <c r="F195" s="184">
        <v>36579.228007715799</v>
      </c>
      <c r="G195" s="181">
        <v>2.4239247474992398</v>
      </c>
    </row>
    <row r="196" spans="1:7" x14ac:dyDescent="0.25">
      <c r="A196" s="176" t="s">
        <v>221</v>
      </c>
      <c r="B196" s="176" t="s">
        <v>261</v>
      </c>
      <c r="C196" s="176" t="s">
        <v>262</v>
      </c>
      <c r="D196" s="177">
        <v>455151</v>
      </c>
      <c r="E196" s="181">
        <v>2.7080883550532202</v>
      </c>
      <c r="F196" s="184">
        <v>29549.410243407699</v>
      </c>
      <c r="G196" s="181">
        <v>1.66651591080198</v>
      </c>
    </row>
    <row r="197" spans="1:7" x14ac:dyDescent="0.25">
      <c r="A197" s="176" t="s">
        <v>221</v>
      </c>
      <c r="B197" s="176" t="s">
        <v>261</v>
      </c>
      <c r="C197" s="176" t="s">
        <v>263</v>
      </c>
      <c r="D197" s="177">
        <v>455231</v>
      </c>
      <c r="E197" s="181">
        <v>3.9188093606727801</v>
      </c>
      <c r="F197" s="184">
        <v>54591.191510483397</v>
      </c>
      <c r="G197" s="181">
        <v>1.95940468033639</v>
      </c>
    </row>
    <row r="198" spans="1:7" x14ac:dyDescent="0.25">
      <c r="A198" s="176" t="s">
        <v>221</v>
      </c>
      <c r="B198" s="176" t="s">
        <v>261</v>
      </c>
      <c r="C198" s="176" t="s">
        <v>264</v>
      </c>
      <c r="D198" s="177">
        <v>455298</v>
      </c>
      <c r="E198" s="181">
        <v>4.6004193983930897</v>
      </c>
      <c r="F198" s="184">
        <v>53415.980792453098</v>
      </c>
      <c r="G198" s="181">
        <v>2.5557885546628301</v>
      </c>
    </row>
    <row r="199" spans="1:7" x14ac:dyDescent="0.25">
      <c r="A199" s="176" t="s">
        <v>221</v>
      </c>
      <c r="B199" s="176" t="s">
        <v>261</v>
      </c>
      <c r="C199" s="176" t="s">
        <v>265</v>
      </c>
      <c r="D199" s="177">
        <v>555406</v>
      </c>
      <c r="E199" s="181">
        <v>2.8403758177610601</v>
      </c>
      <c r="F199" s="184">
        <v>36029.220456359799</v>
      </c>
      <c r="G199" s="181">
        <v>2.65101742991033</v>
      </c>
    </row>
    <row r="200" spans="1:7" x14ac:dyDescent="0.25">
      <c r="A200" s="176" t="s">
        <v>221</v>
      </c>
      <c r="B200" s="176" t="s">
        <v>261</v>
      </c>
      <c r="C200" s="176" t="s">
        <v>266</v>
      </c>
      <c r="D200" s="177">
        <v>554412</v>
      </c>
      <c r="E200" s="181">
        <v>4.8288708925174699</v>
      </c>
      <c r="F200" s="184">
        <v>40116.773568606703</v>
      </c>
      <c r="G200" s="181">
        <v>2.2287096427003701</v>
      </c>
    </row>
    <row r="201" spans="1:7" x14ac:dyDescent="0.25">
      <c r="A201" s="176" t="s">
        <v>221</v>
      </c>
      <c r="B201" s="176" t="s">
        <v>261</v>
      </c>
      <c r="C201" s="176" t="s">
        <v>267</v>
      </c>
      <c r="D201" s="177">
        <v>554413</v>
      </c>
      <c r="E201" s="181">
        <v>3.7423681776064002</v>
      </c>
      <c r="F201" s="184">
        <v>39746.530989750703</v>
      </c>
      <c r="G201" s="181">
        <v>2.8390379278393398</v>
      </c>
    </row>
    <row r="202" spans="1:7" x14ac:dyDescent="0.25">
      <c r="A202" s="176" t="s">
        <v>221</v>
      </c>
      <c r="B202" s="176" t="s">
        <v>261</v>
      </c>
      <c r="C202" s="176" t="s">
        <v>268</v>
      </c>
      <c r="D202" s="177">
        <v>454414</v>
      </c>
      <c r="E202" s="181">
        <v>4.78497603206843</v>
      </c>
      <c r="F202" s="184">
        <v>41181.6646888986</v>
      </c>
      <c r="G202" s="181">
        <v>3.7044975732142702</v>
      </c>
    </row>
    <row r="203" spans="1:7" x14ac:dyDescent="0.25">
      <c r="A203" s="176" t="s">
        <v>221</v>
      </c>
      <c r="B203" s="176" t="s">
        <v>261</v>
      </c>
      <c r="C203" s="176" t="s">
        <v>269</v>
      </c>
      <c r="D203" s="177">
        <v>455456</v>
      </c>
      <c r="E203" s="181">
        <v>8.7375205392062991</v>
      </c>
      <c r="F203" s="184">
        <v>60935.468240424801</v>
      </c>
      <c r="G203" s="181">
        <v>3.1205430497165398</v>
      </c>
    </row>
    <row r="204" spans="1:7" x14ac:dyDescent="0.25">
      <c r="A204" s="176" t="s">
        <v>221</v>
      </c>
      <c r="B204" s="176" t="s">
        <v>261</v>
      </c>
      <c r="C204" s="176" t="s">
        <v>270</v>
      </c>
      <c r="D204" s="177">
        <v>455566</v>
      </c>
      <c r="E204" s="181">
        <v>5.0169345167587798</v>
      </c>
      <c r="F204" s="184">
        <v>43076.437747342599</v>
      </c>
      <c r="G204" s="181">
        <v>1.7299774195719899</v>
      </c>
    </row>
    <row r="205" spans="1:7" x14ac:dyDescent="0.25">
      <c r="A205" s="176" t="s">
        <v>221</v>
      </c>
      <c r="B205" s="176" t="s">
        <v>261</v>
      </c>
      <c r="C205" s="176" t="s">
        <v>271</v>
      </c>
      <c r="D205" s="177">
        <v>555624</v>
      </c>
      <c r="E205" s="181">
        <v>5.6434774864674004</v>
      </c>
      <c r="F205" s="184">
        <v>70919.700413273706</v>
      </c>
      <c r="G205" s="181">
        <v>3.0098546594492799</v>
      </c>
    </row>
    <row r="206" spans="1:7" x14ac:dyDescent="0.25">
      <c r="A206" s="176" t="s">
        <v>221</v>
      </c>
      <c r="B206" s="176" t="s">
        <v>261</v>
      </c>
      <c r="C206" s="176" t="s">
        <v>272</v>
      </c>
      <c r="D206" s="177">
        <v>455676</v>
      </c>
      <c r="E206" s="181">
        <v>2.3049055253531301</v>
      </c>
      <c r="F206" s="184">
        <v>32268.6773549438</v>
      </c>
      <c r="G206" s="181">
        <v>2.048804911425</v>
      </c>
    </row>
    <row r="207" spans="1:7" x14ac:dyDescent="0.25">
      <c r="A207" s="176" t="s">
        <v>221</v>
      </c>
      <c r="B207" s="176" t="s">
        <v>261</v>
      </c>
      <c r="C207" s="176" t="s">
        <v>273</v>
      </c>
      <c r="D207" s="177">
        <v>455678</v>
      </c>
      <c r="E207" s="181">
        <v>3.4757626877001702</v>
      </c>
      <c r="F207" s="184">
        <v>35154.856898453203</v>
      </c>
      <c r="G207" s="181">
        <v>1.9861501072572401</v>
      </c>
    </row>
    <row r="208" spans="1:7" x14ac:dyDescent="0.25">
      <c r="A208" s="176" t="s">
        <v>221</v>
      </c>
      <c r="B208" s="176" t="s">
        <v>261</v>
      </c>
      <c r="C208" s="176" t="s">
        <v>274</v>
      </c>
      <c r="D208" s="177">
        <v>555679</v>
      </c>
      <c r="E208" s="181">
        <v>3.7259326125224899</v>
      </c>
      <c r="F208" s="184">
        <v>65682.869197896507</v>
      </c>
      <c r="G208" s="181">
        <v>2.3952423937644598</v>
      </c>
    </row>
    <row r="209" spans="1:7" x14ac:dyDescent="0.25">
      <c r="A209" s="176" t="s">
        <v>221</v>
      </c>
      <c r="B209" s="176" t="s">
        <v>261</v>
      </c>
      <c r="C209" s="176" t="s">
        <v>275</v>
      </c>
      <c r="D209" s="177">
        <v>554700</v>
      </c>
      <c r="E209" s="181">
        <v>4.7623435016442004</v>
      </c>
      <c r="F209" s="184">
        <v>45242.263265619898</v>
      </c>
      <c r="G209" s="181">
        <v>3.0478998410522902</v>
      </c>
    </row>
    <row r="210" spans="1:7" x14ac:dyDescent="0.25">
      <c r="A210" s="176" t="s">
        <v>276</v>
      </c>
      <c r="B210" s="176" t="s">
        <v>277</v>
      </c>
      <c r="C210" s="176" t="s">
        <v>278</v>
      </c>
      <c r="D210" s="177">
        <v>557105</v>
      </c>
      <c r="E210" s="181">
        <v>4.9375412217107701</v>
      </c>
      <c r="F210" s="184">
        <v>78256.816363615697</v>
      </c>
      <c r="G210" s="181">
        <v>3.3783176780126301</v>
      </c>
    </row>
    <row r="211" spans="1:7" x14ac:dyDescent="0.25">
      <c r="A211" s="176" t="s">
        <v>276</v>
      </c>
      <c r="B211" s="176" t="s">
        <v>277</v>
      </c>
      <c r="C211" s="176" t="s">
        <v>279</v>
      </c>
      <c r="D211" s="177">
        <v>557178</v>
      </c>
      <c r="E211" s="181">
        <v>3.1777176016744599</v>
      </c>
      <c r="F211" s="184">
        <v>41343.778480733003</v>
      </c>
      <c r="G211" s="181">
        <v>3.0104693068494899</v>
      </c>
    </row>
    <row r="212" spans="1:7" x14ac:dyDescent="0.25">
      <c r="A212" s="176" t="s">
        <v>276</v>
      </c>
      <c r="B212" s="176" t="s">
        <v>277</v>
      </c>
      <c r="C212" s="176" t="s">
        <v>280</v>
      </c>
      <c r="D212" s="177">
        <v>557224</v>
      </c>
      <c r="E212" s="181">
        <v>3.1478621822829802</v>
      </c>
      <c r="F212" s="184">
        <v>53363.7588996544</v>
      </c>
      <c r="G212" s="181">
        <v>2.9979639831266498</v>
      </c>
    </row>
    <row r="213" spans="1:7" x14ac:dyDescent="0.25">
      <c r="A213" s="176" t="s">
        <v>276</v>
      </c>
      <c r="B213" s="176" t="s">
        <v>277</v>
      </c>
      <c r="C213" s="176" t="s">
        <v>281</v>
      </c>
      <c r="D213" s="177">
        <v>557432</v>
      </c>
      <c r="E213" s="181">
        <v>3.2012324711816098</v>
      </c>
      <c r="F213" s="184">
        <v>34813.403124099998</v>
      </c>
      <c r="G213" s="181">
        <v>2.66769372598467</v>
      </c>
    </row>
    <row r="214" spans="1:7" x14ac:dyDescent="0.25">
      <c r="A214" s="176" t="s">
        <v>276</v>
      </c>
      <c r="B214" s="176" t="s">
        <v>277</v>
      </c>
      <c r="C214" s="176" t="s">
        <v>282</v>
      </c>
      <c r="D214" s="177">
        <v>557433</v>
      </c>
      <c r="E214" s="181">
        <v>3.3773346987667101</v>
      </c>
      <c r="F214" s="184">
        <v>57903.920933969697</v>
      </c>
      <c r="G214" s="181">
        <v>2.25155646584447</v>
      </c>
    </row>
    <row r="215" spans="1:7" x14ac:dyDescent="0.25">
      <c r="A215" s="176" t="s">
        <v>276</v>
      </c>
      <c r="B215" s="176" t="s">
        <v>277</v>
      </c>
      <c r="C215" s="176" t="s">
        <v>283</v>
      </c>
      <c r="D215" s="177">
        <v>557434</v>
      </c>
      <c r="E215" s="181">
        <v>2.6686330675636301</v>
      </c>
      <c r="F215" s="184">
        <v>49796.693040737402</v>
      </c>
      <c r="G215" s="181">
        <v>2.93549637432</v>
      </c>
    </row>
    <row r="216" spans="1:7" x14ac:dyDescent="0.25">
      <c r="A216" s="176" t="s">
        <v>276</v>
      </c>
      <c r="B216" s="176" t="s">
        <v>277</v>
      </c>
      <c r="C216" s="176" t="s">
        <v>284</v>
      </c>
      <c r="D216" s="177">
        <v>557436</v>
      </c>
      <c r="E216" s="181">
        <v>3.9821567697354099</v>
      </c>
      <c r="F216" s="184">
        <v>33695.172666991901</v>
      </c>
      <c r="G216" s="181">
        <v>2.45055801214487</v>
      </c>
    </row>
    <row r="217" spans="1:7" x14ac:dyDescent="0.25">
      <c r="A217" s="176" t="s">
        <v>276</v>
      </c>
      <c r="B217" s="176" t="s">
        <v>277</v>
      </c>
      <c r="C217" s="176" t="s">
        <v>285</v>
      </c>
      <c r="D217" s="177">
        <v>557440</v>
      </c>
      <c r="E217" s="181">
        <v>4.1738299456292101</v>
      </c>
      <c r="F217" s="184">
        <v>43477.395266970998</v>
      </c>
      <c r="G217" s="181">
        <v>2.4347341349503702</v>
      </c>
    </row>
    <row r="218" spans="1:7" x14ac:dyDescent="0.25">
      <c r="A218" s="176" t="s">
        <v>276</v>
      </c>
      <c r="B218" s="176" t="s">
        <v>277</v>
      </c>
      <c r="C218" s="176" t="s">
        <v>286</v>
      </c>
      <c r="D218" s="177">
        <v>557441</v>
      </c>
      <c r="E218" s="181">
        <v>4.7129417243949296</v>
      </c>
      <c r="F218" s="184">
        <v>48307.652675048099</v>
      </c>
      <c r="G218" s="181">
        <v>2.7492160058970398</v>
      </c>
    </row>
    <row r="219" spans="1:7" x14ac:dyDescent="0.25">
      <c r="A219" s="176" t="s">
        <v>276</v>
      </c>
      <c r="B219" s="176" t="s">
        <v>277</v>
      </c>
      <c r="C219" s="176" t="s">
        <v>287</v>
      </c>
      <c r="D219" s="177">
        <v>557439</v>
      </c>
      <c r="E219" s="181">
        <v>1.71450151759946</v>
      </c>
      <c r="F219" s="184">
        <v>30096.095870476602</v>
      </c>
      <c r="G219" s="181">
        <v>2.9014641067067699</v>
      </c>
    </row>
    <row r="220" spans="1:7" x14ac:dyDescent="0.25">
      <c r="A220" s="176" t="s">
        <v>276</v>
      </c>
      <c r="B220" s="176" t="s">
        <v>277</v>
      </c>
      <c r="C220" s="176" t="s">
        <v>288</v>
      </c>
      <c r="D220" s="177">
        <v>457443</v>
      </c>
      <c r="E220" s="181">
        <v>2.1959934868785198</v>
      </c>
      <c r="F220" s="184">
        <v>38088.2870335263</v>
      </c>
      <c r="G220" s="181">
        <v>3.6599891447975299</v>
      </c>
    </row>
    <row r="221" spans="1:7" x14ac:dyDescent="0.25">
      <c r="A221" s="176" t="s">
        <v>276</v>
      </c>
      <c r="B221" s="176" t="s">
        <v>277</v>
      </c>
      <c r="C221" s="176" t="s">
        <v>289</v>
      </c>
      <c r="D221" s="177">
        <v>557445</v>
      </c>
      <c r="E221" s="181">
        <v>2.9343451843705801</v>
      </c>
      <c r="F221" s="184">
        <v>38798.564104455501</v>
      </c>
      <c r="G221" s="181">
        <v>4.2384985996464</v>
      </c>
    </row>
    <row r="222" spans="1:7" x14ac:dyDescent="0.25">
      <c r="A222" s="176" t="s">
        <v>276</v>
      </c>
      <c r="B222" s="176" t="s">
        <v>277</v>
      </c>
      <c r="C222" s="176" t="s">
        <v>290</v>
      </c>
      <c r="D222" s="177">
        <v>457446</v>
      </c>
      <c r="E222" s="181">
        <v>2.3286885686827299</v>
      </c>
      <c r="F222" s="184">
        <v>39656.196507861801</v>
      </c>
      <c r="G222" s="181">
        <v>2.4656702491934799</v>
      </c>
    </row>
    <row r="223" spans="1:7" x14ac:dyDescent="0.25">
      <c r="A223" s="176" t="s">
        <v>276</v>
      </c>
      <c r="B223" s="176" t="s">
        <v>277</v>
      </c>
      <c r="C223" s="176" t="s">
        <v>291</v>
      </c>
      <c r="D223" s="177">
        <v>557447</v>
      </c>
      <c r="E223" s="181">
        <v>3.0392563576420799</v>
      </c>
      <c r="F223" s="184">
        <v>58590.108672322298</v>
      </c>
      <c r="G223" s="181">
        <v>6.41620786613327</v>
      </c>
    </row>
    <row r="224" spans="1:7" x14ac:dyDescent="0.25">
      <c r="A224" s="176" t="s">
        <v>276</v>
      </c>
      <c r="B224" s="176" t="s">
        <v>277</v>
      </c>
      <c r="C224" s="176" t="s">
        <v>292</v>
      </c>
      <c r="D224" s="177">
        <v>557437</v>
      </c>
      <c r="E224" s="181">
        <v>5.86898936808561</v>
      </c>
      <c r="F224" s="184">
        <v>65701.908383709902</v>
      </c>
      <c r="G224" s="181">
        <v>3.4896693539968502</v>
      </c>
    </row>
    <row r="225" spans="1:7" x14ac:dyDescent="0.25">
      <c r="A225" s="176" t="s">
        <v>276</v>
      </c>
      <c r="B225" s="176" t="s">
        <v>277</v>
      </c>
      <c r="C225" s="176" t="s">
        <v>293</v>
      </c>
      <c r="D225" s="177">
        <v>457453</v>
      </c>
      <c r="E225" s="181">
        <v>2.98332802174022</v>
      </c>
      <c r="F225" s="184">
        <v>34334.2142328103</v>
      </c>
      <c r="G225" s="181">
        <v>2.8536181077515099</v>
      </c>
    </row>
    <row r="226" spans="1:7" x14ac:dyDescent="0.25">
      <c r="A226" s="176" t="s">
        <v>276</v>
      </c>
      <c r="B226" s="176" t="s">
        <v>277</v>
      </c>
      <c r="C226" s="176" t="s">
        <v>294</v>
      </c>
      <c r="D226" s="177">
        <v>557459</v>
      </c>
      <c r="E226" s="181">
        <v>3.5248962371594801</v>
      </c>
      <c r="F226" s="184">
        <v>56468.837719294897</v>
      </c>
      <c r="G226" s="181">
        <v>2.8199169897275902</v>
      </c>
    </row>
    <row r="227" spans="1:7" x14ac:dyDescent="0.25">
      <c r="A227" s="176" t="s">
        <v>276</v>
      </c>
      <c r="B227" s="176" t="s">
        <v>277</v>
      </c>
      <c r="C227" s="176" t="s">
        <v>295</v>
      </c>
      <c r="D227" s="177">
        <v>557559</v>
      </c>
      <c r="E227" s="181">
        <v>4.0298528380329399</v>
      </c>
      <c r="F227" s="184">
        <v>38585.840924165401</v>
      </c>
      <c r="G227" s="181">
        <v>3.02238962852471</v>
      </c>
    </row>
    <row r="228" spans="1:7" x14ac:dyDescent="0.25">
      <c r="A228" s="176" t="s">
        <v>276</v>
      </c>
      <c r="B228" s="176" t="s">
        <v>277</v>
      </c>
      <c r="C228" s="176" t="s">
        <v>296</v>
      </c>
      <c r="D228" s="177">
        <v>457574</v>
      </c>
      <c r="E228" s="181">
        <v>6.3397928869317104</v>
      </c>
      <c r="F228" s="184">
        <v>44982.340007277402</v>
      </c>
      <c r="G228" s="181">
        <v>2.4151591950215998</v>
      </c>
    </row>
    <row r="229" spans="1:7" x14ac:dyDescent="0.25">
      <c r="A229" s="176" t="s">
        <v>276</v>
      </c>
      <c r="B229" s="176" t="s">
        <v>277</v>
      </c>
      <c r="C229" s="176" t="s">
        <v>297</v>
      </c>
      <c r="D229" s="177">
        <v>557612</v>
      </c>
      <c r="E229" s="181">
        <v>2.3515982973046499</v>
      </c>
      <c r="F229" s="184">
        <v>42067.480651783197</v>
      </c>
      <c r="G229" s="181">
        <v>2.0903095976041302</v>
      </c>
    </row>
    <row r="230" spans="1:7" x14ac:dyDescent="0.25">
      <c r="A230" s="176" t="s">
        <v>276</v>
      </c>
      <c r="B230" s="176" t="s">
        <v>277</v>
      </c>
      <c r="C230" s="176" t="s">
        <v>298</v>
      </c>
      <c r="D230" s="177">
        <v>557444</v>
      </c>
      <c r="E230" s="181">
        <v>4.7321839750297796</v>
      </c>
      <c r="F230" s="184">
        <v>40198.657556305603</v>
      </c>
      <c r="G230" s="181">
        <v>2.49062314475252</v>
      </c>
    </row>
    <row r="231" spans="1:7" x14ac:dyDescent="0.25">
      <c r="A231" s="176" t="s">
        <v>276</v>
      </c>
      <c r="B231" s="176" t="s">
        <v>277</v>
      </c>
      <c r="C231" s="176" t="s">
        <v>299</v>
      </c>
      <c r="D231" s="177">
        <v>557712</v>
      </c>
      <c r="E231" s="181">
        <v>4.0317806806670102</v>
      </c>
      <c r="F231" s="184">
        <v>44525.057594352198</v>
      </c>
      <c r="G231" s="181">
        <v>2.4541273708407898</v>
      </c>
    </row>
    <row r="232" spans="1:7" x14ac:dyDescent="0.25">
      <c r="A232" s="176" t="s">
        <v>276</v>
      </c>
      <c r="B232" s="176" t="s">
        <v>300</v>
      </c>
      <c r="C232" s="176" t="s">
        <v>301</v>
      </c>
      <c r="D232" s="177">
        <v>457163</v>
      </c>
      <c r="E232" s="181">
        <v>8.9565946661432996</v>
      </c>
      <c r="F232" s="184">
        <v>91479.808094412103</v>
      </c>
      <c r="G232" s="181">
        <v>2.84982557559105</v>
      </c>
    </row>
    <row r="233" spans="1:7" x14ac:dyDescent="0.25">
      <c r="A233" s="176" t="s">
        <v>276</v>
      </c>
      <c r="B233" s="176" t="s">
        <v>300</v>
      </c>
      <c r="C233" s="176" t="s">
        <v>302</v>
      </c>
      <c r="D233" s="177">
        <v>457165</v>
      </c>
      <c r="E233" s="181">
        <v>7.5157658380320704</v>
      </c>
      <c r="F233" s="184">
        <v>50235.378861406403</v>
      </c>
      <c r="G233" s="181">
        <v>4.2088288692979603</v>
      </c>
    </row>
    <row r="234" spans="1:7" x14ac:dyDescent="0.25">
      <c r="A234" s="176" t="s">
        <v>276</v>
      </c>
      <c r="B234" s="176" t="s">
        <v>300</v>
      </c>
      <c r="C234" s="176" t="s">
        <v>303</v>
      </c>
      <c r="D234" s="177">
        <v>557210</v>
      </c>
      <c r="E234" s="181">
        <v>7.0338495806375798</v>
      </c>
      <c r="F234" s="184">
        <v>48841.293025552201</v>
      </c>
      <c r="G234" s="181">
        <v>4.3961559878984904</v>
      </c>
    </row>
    <row r="235" spans="1:7" x14ac:dyDescent="0.25">
      <c r="A235" s="176" t="s">
        <v>276</v>
      </c>
      <c r="B235" s="176" t="s">
        <v>300</v>
      </c>
      <c r="C235" s="176" t="s">
        <v>304</v>
      </c>
      <c r="D235" s="177">
        <v>557250</v>
      </c>
      <c r="E235" s="181">
        <v>5.1061499940077804</v>
      </c>
      <c r="F235" s="184">
        <v>49359.449942075204</v>
      </c>
      <c r="G235" s="181">
        <v>3.06368999640467</v>
      </c>
    </row>
    <row r="236" spans="1:7" x14ac:dyDescent="0.25">
      <c r="A236" s="176" t="s">
        <v>276</v>
      </c>
      <c r="B236" s="176" t="s">
        <v>300</v>
      </c>
      <c r="C236" s="176" t="s">
        <v>305</v>
      </c>
      <c r="D236" s="177">
        <v>457258</v>
      </c>
      <c r="E236" s="181">
        <v>2.9271344653351901</v>
      </c>
      <c r="F236" s="184">
        <v>30195.702905563001</v>
      </c>
      <c r="G236" s="181">
        <v>2.1568359218259299</v>
      </c>
    </row>
    <row r="237" spans="1:7" x14ac:dyDescent="0.25">
      <c r="A237" s="176" t="s">
        <v>276</v>
      </c>
      <c r="B237" s="176" t="s">
        <v>300</v>
      </c>
      <c r="C237" s="176" t="s">
        <v>306</v>
      </c>
      <c r="D237" s="177">
        <v>557305</v>
      </c>
      <c r="E237" s="181">
        <v>4.9018224457076904</v>
      </c>
      <c r="F237" s="184">
        <v>39144.553530722798</v>
      </c>
      <c r="G237" s="181">
        <v>4.9018224457076904</v>
      </c>
    </row>
    <row r="238" spans="1:7" x14ac:dyDescent="0.25">
      <c r="A238" s="176" t="s">
        <v>276</v>
      </c>
      <c r="B238" s="176" t="s">
        <v>300</v>
      </c>
      <c r="C238" s="176" t="s">
        <v>307</v>
      </c>
      <c r="D238" s="177">
        <v>457308</v>
      </c>
      <c r="E238" s="181">
        <v>5.1078963108177602</v>
      </c>
      <c r="F238" s="184">
        <v>38572.224651817902</v>
      </c>
      <c r="G238" s="181">
        <v>4.0211098617076004</v>
      </c>
    </row>
    <row r="239" spans="1:7" x14ac:dyDescent="0.25">
      <c r="A239" s="176" t="s">
        <v>276</v>
      </c>
      <c r="B239" s="176" t="s">
        <v>300</v>
      </c>
      <c r="C239" s="176" t="s">
        <v>308</v>
      </c>
      <c r="D239" s="177">
        <v>457345</v>
      </c>
      <c r="E239" s="181">
        <v>3.6080108268308799</v>
      </c>
      <c r="F239" s="184">
        <v>65345.084974825899</v>
      </c>
      <c r="G239" s="181">
        <v>2.80623064309068</v>
      </c>
    </row>
    <row r="240" spans="1:7" x14ac:dyDescent="0.25">
      <c r="A240" s="176" t="s">
        <v>276</v>
      </c>
      <c r="B240" s="176" t="s">
        <v>300</v>
      </c>
      <c r="C240" s="176" t="s">
        <v>309</v>
      </c>
      <c r="D240" s="177">
        <v>557353</v>
      </c>
      <c r="E240" s="181">
        <v>4.4227697721116499</v>
      </c>
      <c r="F240" s="184">
        <v>48073.584479474397</v>
      </c>
      <c r="G240" s="181">
        <v>3.0767094066863598</v>
      </c>
    </row>
    <row r="241" spans="1:7" x14ac:dyDescent="0.25">
      <c r="A241" s="176" t="s">
        <v>276</v>
      </c>
      <c r="B241" s="176" t="s">
        <v>300</v>
      </c>
      <c r="C241" s="176" t="s">
        <v>310</v>
      </c>
      <c r="D241" s="177">
        <v>457435</v>
      </c>
      <c r="E241" s="181">
        <v>4.0137433288371502</v>
      </c>
      <c r="F241" s="184">
        <v>48819.011451486003</v>
      </c>
      <c r="G241" s="181">
        <v>2.3785145652368298</v>
      </c>
    </row>
    <row r="242" spans="1:7" x14ac:dyDescent="0.25">
      <c r="A242" s="176" t="s">
        <v>276</v>
      </c>
      <c r="B242" s="176" t="s">
        <v>300</v>
      </c>
      <c r="C242" s="176" t="s">
        <v>311</v>
      </c>
      <c r="D242" s="177">
        <v>557458</v>
      </c>
      <c r="E242" s="181">
        <v>4.3146003991686301</v>
      </c>
      <c r="F242" s="184">
        <v>59110.025468610198</v>
      </c>
      <c r="G242" s="181">
        <v>3.4516803193348999</v>
      </c>
    </row>
    <row r="243" spans="1:7" x14ac:dyDescent="0.25">
      <c r="A243" s="176" t="s">
        <v>276</v>
      </c>
      <c r="B243" s="176" t="s">
        <v>300</v>
      </c>
      <c r="C243" s="176" t="s">
        <v>312</v>
      </c>
      <c r="D243" s="177">
        <v>557503</v>
      </c>
      <c r="E243" s="181">
        <v>2.8671024449314801</v>
      </c>
      <c r="F243" s="184">
        <v>182197.801878553</v>
      </c>
      <c r="G243" s="181">
        <v>2.5087146393150399</v>
      </c>
    </row>
    <row r="244" spans="1:7" x14ac:dyDescent="0.25">
      <c r="A244" s="176" t="s">
        <v>276</v>
      </c>
      <c r="B244" s="176" t="s">
        <v>300</v>
      </c>
      <c r="C244" s="176" t="s">
        <v>313</v>
      </c>
      <c r="D244" s="177">
        <v>557523</v>
      </c>
      <c r="E244" s="181">
        <v>5.30960595403831</v>
      </c>
      <c r="F244" s="184">
        <v>31606.128073775399</v>
      </c>
      <c r="G244" s="181">
        <v>3.0739823944432301</v>
      </c>
    </row>
    <row r="245" spans="1:7" x14ac:dyDescent="0.25">
      <c r="A245" s="176" t="s">
        <v>276</v>
      </c>
      <c r="B245" s="176" t="s">
        <v>300</v>
      </c>
      <c r="C245" s="176" t="s">
        <v>314</v>
      </c>
      <c r="D245" s="177">
        <v>457543</v>
      </c>
      <c r="E245" s="181">
        <v>2.43490445202334</v>
      </c>
      <c r="F245" s="184">
        <v>30614.865310106699</v>
      </c>
      <c r="G245" s="181">
        <v>3.5711931963008898</v>
      </c>
    </row>
    <row r="246" spans="1:7" x14ac:dyDescent="0.25">
      <c r="A246" s="176" t="s">
        <v>276</v>
      </c>
      <c r="B246" s="176" t="s">
        <v>300</v>
      </c>
      <c r="C246" s="176" t="s">
        <v>315</v>
      </c>
      <c r="D246" s="177">
        <v>457583</v>
      </c>
      <c r="E246" s="181">
        <v>7.2353217481911898</v>
      </c>
      <c r="F246" s="184">
        <v>32267.871704576799</v>
      </c>
      <c r="G246" s="181">
        <v>3.1602554762214399</v>
      </c>
    </row>
    <row r="247" spans="1:7" x14ac:dyDescent="0.25">
      <c r="A247" s="176" t="s">
        <v>276</v>
      </c>
      <c r="B247" s="176" t="s">
        <v>300</v>
      </c>
      <c r="C247" s="176" t="s">
        <v>316</v>
      </c>
      <c r="D247" s="177">
        <v>457614</v>
      </c>
      <c r="E247" s="181">
        <v>4.3243610420769798</v>
      </c>
      <c r="F247" s="184">
        <v>28236.908858535098</v>
      </c>
      <c r="G247" s="181">
        <v>1.8699939641414001</v>
      </c>
    </row>
    <row r="248" spans="1:7" x14ac:dyDescent="0.25">
      <c r="A248" s="176" t="s">
        <v>276</v>
      </c>
      <c r="B248" s="176" t="s">
        <v>300</v>
      </c>
      <c r="C248" s="176" t="s">
        <v>317</v>
      </c>
      <c r="D248" s="177">
        <v>457617</v>
      </c>
      <c r="E248" s="181">
        <v>4.1755151510620898</v>
      </c>
      <c r="F248" s="184">
        <v>40856.2413895063</v>
      </c>
      <c r="G248" s="181">
        <v>1.8267878785896601</v>
      </c>
    </row>
    <row r="249" spans="1:7" x14ac:dyDescent="0.25">
      <c r="A249" s="176" t="s">
        <v>276</v>
      </c>
      <c r="B249" s="176" t="s">
        <v>300</v>
      </c>
      <c r="C249" s="176" t="s">
        <v>318</v>
      </c>
      <c r="D249" s="177">
        <v>557668</v>
      </c>
      <c r="E249" s="181">
        <v>3.9525965690752001</v>
      </c>
      <c r="F249" s="184">
        <v>32339.426474251701</v>
      </c>
      <c r="G249" s="181">
        <v>2.6350643793834698</v>
      </c>
    </row>
    <row r="250" spans="1:7" x14ac:dyDescent="0.25">
      <c r="A250" s="176" t="s">
        <v>276</v>
      </c>
      <c r="B250" s="176" t="s">
        <v>319</v>
      </c>
      <c r="C250" s="176" t="s">
        <v>320</v>
      </c>
      <c r="D250" s="177">
        <v>557113</v>
      </c>
      <c r="E250" s="181">
        <v>7.8329813570178199</v>
      </c>
      <c r="F250" s="184">
        <v>54047.571363422998</v>
      </c>
      <c r="G250" s="181">
        <v>3.52484161065802</v>
      </c>
    </row>
    <row r="251" spans="1:7" x14ac:dyDescent="0.25">
      <c r="A251" s="176" t="s">
        <v>276</v>
      </c>
      <c r="B251" s="176" t="s">
        <v>319</v>
      </c>
      <c r="C251" s="176" t="s">
        <v>321</v>
      </c>
      <c r="D251" s="177">
        <v>457180</v>
      </c>
      <c r="E251" s="181">
        <v>3.1090846642318999</v>
      </c>
      <c r="F251" s="184">
        <v>39973.945682981597</v>
      </c>
      <c r="G251" s="181">
        <v>2.2207747601656398</v>
      </c>
    </row>
    <row r="252" spans="1:7" x14ac:dyDescent="0.25">
      <c r="A252" s="176" t="s">
        <v>276</v>
      </c>
      <c r="B252" s="176" t="s">
        <v>319</v>
      </c>
      <c r="C252" s="176" t="s">
        <v>322</v>
      </c>
      <c r="D252" s="177">
        <v>557182</v>
      </c>
      <c r="E252" s="181">
        <v>3.3456093216615002</v>
      </c>
      <c r="F252" s="184">
        <v>31695.2462052142</v>
      </c>
      <c r="G252" s="181">
        <v>2.4651858159611</v>
      </c>
    </row>
    <row r="253" spans="1:7" x14ac:dyDescent="0.25">
      <c r="A253" s="176" t="s">
        <v>276</v>
      </c>
      <c r="B253" s="176" t="s">
        <v>319</v>
      </c>
      <c r="C253" s="176" t="s">
        <v>323</v>
      </c>
      <c r="D253" s="177">
        <v>457192</v>
      </c>
      <c r="E253" s="181">
        <v>3.8484388346738601</v>
      </c>
      <c r="F253" s="184">
        <v>79524.140079700694</v>
      </c>
      <c r="G253" s="181">
        <v>3.0787510677390899</v>
      </c>
    </row>
    <row r="254" spans="1:7" x14ac:dyDescent="0.25">
      <c r="A254" s="176" t="s">
        <v>276</v>
      </c>
      <c r="B254" s="176" t="s">
        <v>319</v>
      </c>
      <c r="C254" s="176" t="s">
        <v>324</v>
      </c>
      <c r="D254" s="177">
        <v>557303</v>
      </c>
      <c r="E254" s="181">
        <v>2.4838578169103802</v>
      </c>
      <c r="F254" s="184">
        <v>52891.560571856302</v>
      </c>
      <c r="G254" s="181">
        <v>2.9221856669533901</v>
      </c>
    </row>
    <row r="255" spans="1:7" x14ac:dyDescent="0.25">
      <c r="A255" s="176" t="s">
        <v>276</v>
      </c>
      <c r="B255" s="176" t="s">
        <v>319</v>
      </c>
      <c r="C255" s="176" t="s">
        <v>325</v>
      </c>
      <c r="D255" s="177">
        <v>457306</v>
      </c>
      <c r="E255" s="181">
        <v>7.1901206349862496</v>
      </c>
      <c r="F255" s="184">
        <v>59602.315790017601</v>
      </c>
      <c r="G255" s="181">
        <v>3.7842740184138202</v>
      </c>
    </row>
    <row r="256" spans="1:7" x14ac:dyDescent="0.25">
      <c r="A256" s="176" t="s">
        <v>276</v>
      </c>
      <c r="B256" s="176" t="s">
        <v>319</v>
      </c>
      <c r="C256" s="176" t="s">
        <v>326</v>
      </c>
      <c r="D256" s="177">
        <v>557307</v>
      </c>
      <c r="E256" s="181">
        <v>5.7383430474924699</v>
      </c>
      <c r="F256" s="184">
        <v>39348.638039948397</v>
      </c>
      <c r="G256" s="181">
        <v>2.2953372189969898</v>
      </c>
    </row>
    <row r="257" spans="1:7" x14ac:dyDescent="0.25">
      <c r="A257" s="176" t="s">
        <v>276</v>
      </c>
      <c r="B257" s="176" t="s">
        <v>319</v>
      </c>
      <c r="C257" s="176" t="s">
        <v>327</v>
      </c>
      <c r="D257" s="177">
        <v>557347</v>
      </c>
      <c r="E257" s="181">
        <v>3.8605351710157798</v>
      </c>
      <c r="F257" s="184">
        <v>46150.943180779599</v>
      </c>
      <c r="G257" s="181">
        <v>3.15861968537655</v>
      </c>
    </row>
    <row r="258" spans="1:7" x14ac:dyDescent="0.25">
      <c r="A258" s="176" t="s">
        <v>276</v>
      </c>
      <c r="B258" s="176" t="s">
        <v>319</v>
      </c>
      <c r="C258" s="176" t="s">
        <v>328</v>
      </c>
      <c r="D258" s="177">
        <v>457348</v>
      </c>
      <c r="E258" s="181">
        <v>6.6850700250369197</v>
      </c>
      <c r="F258" s="184">
        <v>61820.980898198599</v>
      </c>
      <c r="G258" s="181">
        <v>2.2920240085840899</v>
      </c>
    </row>
    <row r="259" spans="1:7" x14ac:dyDescent="0.25">
      <c r="A259" s="176" t="s">
        <v>276</v>
      </c>
      <c r="B259" s="176" t="s">
        <v>319</v>
      </c>
      <c r="C259" s="176" t="s">
        <v>329</v>
      </c>
      <c r="D259" s="177">
        <v>457350</v>
      </c>
      <c r="E259" s="181">
        <v>6.5656282737674596</v>
      </c>
      <c r="F259" s="184">
        <v>37682.216972947397</v>
      </c>
      <c r="G259" s="181">
        <v>2.0201933150053701</v>
      </c>
    </row>
    <row r="260" spans="1:7" x14ac:dyDescent="0.25">
      <c r="A260" s="176" t="s">
        <v>276</v>
      </c>
      <c r="B260" s="176" t="s">
        <v>319</v>
      </c>
      <c r="C260" s="176" t="s">
        <v>330</v>
      </c>
      <c r="D260" s="177">
        <v>557352</v>
      </c>
      <c r="E260" s="181">
        <v>3.6255647360053098</v>
      </c>
      <c r="F260" s="184">
        <v>70156.289003807702</v>
      </c>
      <c r="G260" s="181">
        <v>3.75984491141292</v>
      </c>
    </row>
    <row r="261" spans="1:7" x14ac:dyDescent="0.25">
      <c r="A261" s="176" t="s">
        <v>276</v>
      </c>
      <c r="B261" s="176" t="s">
        <v>319</v>
      </c>
      <c r="C261" s="176" t="s">
        <v>331</v>
      </c>
      <c r="D261" s="177">
        <v>457449</v>
      </c>
      <c r="E261" s="181">
        <v>5.0250381171720298</v>
      </c>
      <c r="F261" s="184">
        <v>32160.243949901</v>
      </c>
      <c r="G261" s="181">
        <v>2.8140213456163399</v>
      </c>
    </row>
    <row r="262" spans="1:7" x14ac:dyDescent="0.25">
      <c r="A262" s="176" t="s">
        <v>276</v>
      </c>
      <c r="B262" s="176" t="s">
        <v>319</v>
      </c>
      <c r="C262" s="176" t="s">
        <v>332</v>
      </c>
      <c r="D262" s="177">
        <v>557508</v>
      </c>
      <c r="E262" s="181">
        <v>8.8829163756212193</v>
      </c>
      <c r="F262" s="184">
        <v>44414.581878106103</v>
      </c>
      <c r="G262" s="181">
        <v>3.7799644151579601</v>
      </c>
    </row>
    <row r="263" spans="1:7" x14ac:dyDescent="0.25">
      <c r="A263" s="176" t="s">
        <v>276</v>
      </c>
      <c r="B263" s="176" t="s">
        <v>319</v>
      </c>
      <c r="C263" s="176" t="s">
        <v>333</v>
      </c>
      <c r="D263" s="177">
        <v>557622</v>
      </c>
      <c r="E263" s="181">
        <v>2.74953260796668</v>
      </c>
      <c r="F263" s="184">
        <v>71762.801067930399</v>
      </c>
      <c r="G263" s="181">
        <v>3.5351133531000198</v>
      </c>
    </row>
    <row r="264" spans="1:7" x14ac:dyDescent="0.25">
      <c r="A264" s="176" t="s">
        <v>276</v>
      </c>
      <c r="B264" s="176" t="s">
        <v>319</v>
      </c>
      <c r="C264" s="176" t="s">
        <v>334</v>
      </c>
      <c r="D264" s="177">
        <v>557628</v>
      </c>
      <c r="E264" s="181">
        <v>3.2394012652477699</v>
      </c>
      <c r="F264" s="184">
        <v>44919.6975447691</v>
      </c>
      <c r="G264" s="181">
        <v>2.1596008434985099</v>
      </c>
    </row>
    <row r="265" spans="1:7" x14ac:dyDescent="0.25">
      <c r="A265" s="176" t="s">
        <v>276</v>
      </c>
      <c r="B265" s="176" t="s">
        <v>319</v>
      </c>
      <c r="C265" s="176" t="s">
        <v>335</v>
      </c>
      <c r="D265" s="177">
        <v>457632</v>
      </c>
      <c r="E265" s="181">
        <v>4.2983504683483202</v>
      </c>
      <c r="F265" s="184">
        <v>25079.442199322999</v>
      </c>
      <c r="G265" s="181">
        <v>1.8339628664952801</v>
      </c>
    </row>
    <row r="266" spans="1:7" x14ac:dyDescent="0.25">
      <c r="A266" s="176" t="s">
        <v>276</v>
      </c>
      <c r="B266" s="176" t="s">
        <v>319</v>
      </c>
      <c r="C266" s="176" t="s">
        <v>336</v>
      </c>
      <c r="D266" s="177">
        <v>557633</v>
      </c>
      <c r="E266" s="181">
        <v>6.14205311753192</v>
      </c>
      <c r="F266" s="184">
        <v>64901.027941920598</v>
      </c>
      <c r="G266" s="181">
        <v>5.1183775979432697</v>
      </c>
    </row>
    <row r="267" spans="1:7" x14ac:dyDescent="0.25">
      <c r="A267" s="176" t="s">
        <v>276</v>
      </c>
      <c r="B267" s="176" t="s">
        <v>319</v>
      </c>
      <c r="C267" s="176" t="s">
        <v>337</v>
      </c>
      <c r="D267" s="177">
        <v>457634</v>
      </c>
      <c r="E267" s="181">
        <v>1.20513954608875</v>
      </c>
      <c r="F267" s="184">
        <v>25648.3823896338</v>
      </c>
      <c r="G267" s="181">
        <v>0.60256977304437598</v>
      </c>
    </row>
    <row r="268" spans="1:7" x14ac:dyDescent="0.25">
      <c r="A268" s="176" t="s">
        <v>276</v>
      </c>
      <c r="B268" s="176" t="s">
        <v>319</v>
      </c>
      <c r="C268" s="176" t="s">
        <v>338</v>
      </c>
      <c r="D268" s="177">
        <v>557660</v>
      </c>
      <c r="E268" s="181">
        <v>5.2328499853141004</v>
      </c>
      <c r="F268" s="184">
        <v>63945.426820538298</v>
      </c>
      <c r="G268" s="181">
        <v>5.2328499853141004</v>
      </c>
    </row>
    <row r="269" spans="1:7" x14ac:dyDescent="0.25">
      <c r="A269" s="176" t="s">
        <v>276</v>
      </c>
      <c r="B269" s="176" t="s">
        <v>319</v>
      </c>
      <c r="C269" s="176" t="s">
        <v>339</v>
      </c>
      <c r="D269" s="177">
        <v>457158</v>
      </c>
      <c r="E269" s="181">
        <v>4.8506164684028104</v>
      </c>
      <c r="F269" s="184">
        <v>43918.5440209074</v>
      </c>
      <c r="G269" s="181">
        <v>3.2337443122685401</v>
      </c>
    </row>
    <row r="270" spans="1:7" x14ac:dyDescent="0.25">
      <c r="A270" s="176" t="s">
        <v>340</v>
      </c>
      <c r="B270" s="176" t="s">
        <v>341</v>
      </c>
      <c r="C270" s="176" t="s">
        <v>342</v>
      </c>
      <c r="D270" s="177">
        <v>588201</v>
      </c>
      <c r="E270" s="181">
        <v>7.1280813027161303</v>
      </c>
      <c r="F270" s="184">
        <v>28803.2673048529</v>
      </c>
      <c r="G270" s="181">
        <v>4.0731893158377899</v>
      </c>
    </row>
    <row r="271" spans="1:7" x14ac:dyDescent="0.25">
      <c r="A271" s="176" t="s">
        <v>340</v>
      </c>
      <c r="B271" s="176" t="s">
        <v>341</v>
      </c>
      <c r="C271" s="176" t="s">
        <v>343</v>
      </c>
      <c r="D271" s="177">
        <v>588206</v>
      </c>
      <c r="E271" s="181">
        <v>5.7695437486063001</v>
      </c>
      <c r="F271" s="184">
        <v>46677.470069369701</v>
      </c>
      <c r="G271" s="181">
        <v>1.8611431447117099</v>
      </c>
    </row>
    <row r="272" spans="1:7" x14ac:dyDescent="0.25">
      <c r="A272" s="176" t="s">
        <v>340</v>
      </c>
      <c r="B272" s="176" t="s">
        <v>341</v>
      </c>
      <c r="C272" s="176" t="s">
        <v>344</v>
      </c>
      <c r="D272" s="177">
        <v>588216</v>
      </c>
      <c r="E272" s="181">
        <v>6</v>
      </c>
      <c r="F272" s="184">
        <v>45200</v>
      </c>
      <c r="G272" s="181">
        <v>7</v>
      </c>
    </row>
    <row r="273" spans="1:7" x14ac:dyDescent="0.25">
      <c r="A273" s="176" t="s">
        <v>340</v>
      </c>
      <c r="B273" s="176" t="s">
        <v>341</v>
      </c>
      <c r="C273" s="176" t="s">
        <v>345</v>
      </c>
      <c r="D273" s="177">
        <v>488256</v>
      </c>
      <c r="E273" s="181">
        <v>3.61885777583662</v>
      </c>
      <c r="F273" s="184">
        <v>55120.917911953497</v>
      </c>
      <c r="G273" s="181">
        <v>1.52372958982594</v>
      </c>
    </row>
    <row r="274" spans="1:7" x14ac:dyDescent="0.25">
      <c r="A274" s="176" t="s">
        <v>340</v>
      </c>
      <c r="B274" s="176" t="s">
        <v>341</v>
      </c>
      <c r="C274" s="176" t="s">
        <v>346</v>
      </c>
      <c r="D274" s="177">
        <v>488281</v>
      </c>
      <c r="E274" s="181">
        <v>4.22085866122125</v>
      </c>
      <c r="F274" s="184">
        <v>42475.167159236997</v>
      </c>
      <c r="G274" s="181">
        <v>1.7772036468300001</v>
      </c>
    </row>
    <row r="275" spans="1:7" x14ac:dyDescent="0.25">
      <c r="A275" s="176" t="s">
        <v>340</v>
      </c>
      <c r="B275" s="176" t="s">
        <v>341</v>
      </c>
      <c r="C275" s="176" t="s">
        <v>347</v>
      </c>
      <c r="D275" s="177">
        <v>488286</v>
      </c>
      <c r="E275" s="181">
        <v>5.9359402069646299</v>
      </c>
      <c r="F275" s="184">
        <v>36349.162086003802</v>
      </c>
      <c r="G275" s="181">
        <v>5.4172658199482999</v>
      </c>
    </row>
    <row r="276" spans="1:7" x14ac:dyDescent="0.25">
      <c r="A276" s="176" t="s">
        <v>340</v>
      </c>
      <c r="B276" s="176" t="s">
        <v>341</v>
      </c>
      <c r="C276" s="176" t="s">
        <v>348</v>
      </c>
      <c r="D276" s="177">
        <v>488291</v>
      </c>
      <c r="E276" s="181">
        <v>4.7395243487124699</v>
      </c>
      <c r="F276" s="184">
        <v>37758.2106447427</v>
      </c>
      <c r="G276" s="181">
        <v>4.2129105321888698</v>
      </c>
    </row>
    <row r="277" spans="1:7" x14ac:dyDescent="0.25">
      <c r="A277" s="176" t="s">
        <v>340</v>
      </c>
      <c r="B277" s="176" t="s">
        <v>341</v>
      </c>
      <c r="C277" s="176" t="s">
        <v>349</v>
      </c>
      <c r="D277" s="177">
        <v>488288</v>
      </c>
      <c r="E277" s="181">
        <v>6.9840818648546801</v>
      </c>
      <c r="F277" s="184">
        <v>57133.550313977001</v>
      </c>
      <c r="G277" s="181">
        <v>4.8351335987455499</v>
      </c>
    </row>
    <row r="278" spans="1:7" x14ac:dyDescent="0.25">
      <c r="A278" s="176" t="s">
        <v>340</v>
      </c>
      <c r="B278" s="176" t="s">
        <v>341</v>
      </c>
      <c r="C278" s="176" t="s">
        <v>350</v>
      </c>
      <c r="D278" s="177">
        <v>588336</v>
      </c>
      <c r="E278" s="181">
        <v>8.4871200198439194</v>
      </c>
      <c r="F278" s="184">
        <v>21156.299179900801</v>
      </c>
      <c r="G278" s="181">
        <v>2.4600347883605602</v>
      </c>
    </row>
    <row r="279" spans="1:7" x14ac:dyDescent="0.25">
      <c r="A279" s="176" t="s">
        <v>340</v>
      </c>
      <c r="B279" s="176" t="s">
        <v>341</v>
      </c>
      <c r="C279" s="176" t="s">
        <v>351</v>
      </c>
      <c r="D279" s="177">
        <v>588396</v>
      </c>
      <c r="E279" s="181">
        <v>8.6197149930090102</v>
      </c>
      <c r="F279" s="184">
        <v>43816.884547795802</v>
      </c>
      <c r="G279" s="181">
        <v>2.8732383310029999</v>
      </c>
    </row>
    <row r="280" spans="1:7" x14ac:dyDescent="0.25">
      <c r="A280" s="176" t="s">
        <v>340</v>
      </c>
      <c r="B280" s="176" t="s">
        <v>341</v>
      </c>
      <c r="C280" s="176" t="s">
        <v>352</v>
      </c>
      <c r="D280" s="177">
        <v>488451</v>
      </c>
      <c r="E280" s="181">
        <v>4.1216633405334901</v>
      </c>
      <c r="F280" s="184">
        <v>36530.9529760968</v>
      </c>
      <c r="G280" s="181">
        <v>2.38622614451939</v>
      </c>
    </row>
    <row r="281" spans="1:7" x14ac:dyDescent="0.25">
      <c r="A281" s="176" t="s">
        <v>340</v>
      </c>
      <c r="B281" s="176" t="s">
        <v>341</v>
      </c>
      <c r="C281" s="176" t="s">
        <v>353</v>
      </c>
      <c r="D281" s="177">
        <v>588501</v>
      </c>
      <c r="E281" s="181">
        <v>2.3829321662706802</v>
      </c>
      <c r="F281" s="184">
        <v>32494.529540054798</v>
      </c>
      <c r="G281" s="181">
        <v>2.5995623632043801</v>
      </c>
    </row>
    <row r="282" spans="1:7" x14ac:dyDescent="0.25">
      <c r="A282" s="176" t="s">
        <v>340</v>
      </c>
      <c r="B282" s="176" t="s">
        <v>341</v>
      </c>
      <c r="C282" s="176" t="s">
        <v>354</v>
      </c>
      <c r="D282" s="177">
        <v>488561</v>
      </c>
      <c r="E282" s="181">
        <v>3.8292599959868201</v>
      </c>
      <c r="F282" s="184">
        <v>25496.619720217601</v>
      </c>
      <c r="G282" s="181">
        <v>2.8133338746025598</v>
      </c>
    </row>
    <row r="283" spans="1:7" x14ac:dyDescent="0.25">
      <c r="A283" s="176" t="s">
        <v>340</v>
      </c>
      <c r="B283" s="176" t="s">
        <v>341</v>
      </c>
      <c r="C283" s="176" t="s">
        <v>355</v>
      </c>
      <c r="D283" s="177">
        <v>588631</v>
      </c>
      <c r="E283" s="181">
        <v>3.3700221188443602</v>
      </c>
      <c r="F283" s="184">
        <v>35335.673099059299</v>
      </c>
      <c r="G283" s="181">
        <v>2.9735489283920802</v>
      </c>
    </row>
    <row r="284" spans="1:7" x14ac:dyDescent="0.25">
      <c r="A284" s="176" t="s">
        <v>340</v>
      </c>
      <c r="B284" s="176" t="s">
        <v>341</v>
      </c>
      <c r="C284" s="176" t="s">
        <v>356</v>
      </c>
      <c r="D284" s="177">
        <v>488706</v>
      </c>
      <c r="E284" s="181">
        <v>6.5888888073784999</v>
      </c>
      <c r="F284" s="184">
        <v>30339.534508394001</v>
      </c>
      <c r="G284" s="181">
        <v>2.4516795562338598</v>
      </c>
    </row>
    <row r="285" spans="1:7" x14ac:dyDescent="0.25">
      <c r="A285" s="176" t="s">
        <v>340</v>
      </c>
      <c r="B285" s="176" t="s">
        <v>341</v>
      </c>
      <c r="C285" s="176" t="s">
        <v>357</v>
      </c>
      <c r="D285" s="177">
        <v>588716</v>
      </c>
      <c r="E285" s="181">
        <v>5.3656558207407699</v>
      </c>
      <c r="F285" s="184">
        <v>51548.621992116699</v>
      </c>
      <c r="G285" s="181">
        <v>4.5991335606349502</v>
      </c>
    </row>
    <row r="286" spans="1:7" x14ac:dyDescent="0.25">
      <c r="A286" s="176" t="s">
        <v>340</v>
      </c>
      <c r="B286" s="176" t="s">
        <v>358</v>
      </c>
      <c r="C286" s="176" t="s">
        <v>359</v>
      </c>
      <c r="D286" s="177">
        <v>588186</v>
      </c>
      <c r="E286" s="181">
        <v>7.79008512148632</v>
      </c>
      <c r="F286" s="184">
        <v>51726.165206669197</v>
      </c>
      <c r="G286" s="181">
        <v>3.1160340485945301</v>
      </c>
    </row>
    <row r="287" spans="1:7" x14ac:dyDescent="0.25">
      <c r="A287" s="176" t="s">
        <v>340</v>
      </c>
      <c r="B287" s="176" t="s">
        <v>358</v>
      </c>
      <c r="C287" s="176" t="s">
        <v>360</v>
      </c>
      <c r="D287" s="177">
        <v>488246</v>
      </c>
      <c r="E287" s="181">
        <v>5.4648273240877003</v>
      </c>
      <c r="F287" s="184">
        <v>62674.738373130902</v>
      </c>
      <c r="G287" s="181">
        <v>6.8310341551096299</v>
      </c>
    </row>
    <row r="288" spans="1:7" x14ac:dyDescent="0.25">
      <c r="A288" s="176" t="s">
        <v>340</v>
      </c>
      <c r="B288" s="176" t="s">
        <v>358</v>
      </c>
      <c r="C288" s="176" t="s">
        <v>361</v>
      </c>
      <c r="D288" s="177">
        <v>588316</v>
      </c>
      <c r="E288" s="181">
        <v>3.0122572026425698</v>
      </c>
      <c r="F288" s="184">
        <v>36774.640015594698</v>
      </c>
      <c r="G288" s="181">
        <v>2.51021433553547</v>
      </c>
    </row>
    <row r="289" spans="1:7" x14ac:dyDescent="0.25">
      <c r="A289" s="176" t="s">
        <v>340</v>
      </c>
      <c r="B289" s="176" t="s">
        <v>358</v>
      </c>
      <c r="C289" s="176" t="s">
        <v>362</v>
      </c>
      <c r="D289" s="177">
        <v>488326</v>
      </c>
      <c r="E289" s="181">
        <v>4.2880947247693104</v>
      </c>
      <c r="F289" s="184">
        <v>48365.719570072397</v>
      </c>
      <c r="G289" s="181">
        <v>1.9944626626833999</v>
      </c>
    </row>
    <row r="290" spans="1:7" x14ac:dyDescent="0.25">
      <c r="A290" s="176" t="s">
        <v>340</v>
      </c>
      <c r="B290" s="176" t="s">
        <v>358</v>
      </c>
      <c r="C290" s="176" t="s">
        <v>363</v>
      </c>
      <c r="D290" s="177">
        <v>488346</v>
      </c>
      <c r="E290" s="181">
        <v>9.6133584528775504</v>
      </c>
      <c r="F290" s="184">
        <v>52392.8035681826</v>
      </c>
      <c r="G290" s="181">
        <v>5.3407546960430796</v>
      </c>
    </row>
    <row r="291" spans="1:7" x14ac:dyDescent="0.25">
      <c r="A291" s="176" t="s">
        <v>340</v>
      </c>
      <c r="B291" s="176" t="s">
        <v>358</v>
      </c>
      <c r="C291" s="176" t="s">
        <v>364</v>
      </c>
      <c r="D291" s="177">
        <v>588386</v>
      </c>
      <c r="E291" s="181">
        <v>3.7136128641602402</v>
      </c>
      <c r="F291" s="184">
        <v>53624.569758473903</v>
      </c>
      <c r="G291" s="181">
        <v>3.46603867321623</v>
      </c>
    </row>
    <row r="292" spans="1:7" x14ac:dyDescent="0.25">
      <c r="A292" s="176" t="s">
        <v>340</v>
      </c>
      <c r="B292" s="176" t="s">
        <v>358</v>
      </c>
      <c r="C292" s="176" t="s">
        <v>365</v>
      </c>
      <c r="D292" s="177">
        <v>588461</v>
      </c>
      <c r="E292" s="181">
        <v>3.1098579238398401</v>
      </c>
      <c r="F292" s="184">
        <v>36627.215547446998</v>
      </c>
      <c r="G292" s="181">
        <v>1.7276988465776899</v>
      </c>
    </row>
    <row r="293" spans="1:7" x14ac:dyDescent="0.25">
      <c r="A293" s="176" t="s">
        <v>340</v>
      </c>
      <c r="B293" s="176" t="s">
        <v>358</v>
      </c>
      <c r="C293" s="176" t="s">
        <v>366</v>
      </c>
      <c r="D293" s="177">
        <v>588551</v>
      </c>
      <c r="E293" s="181">
        <v>3.7820073895639199</v>
      </c>
      <c r="F293" s="184">
        <v>55781.907562218199</v>
      </c>
      <c r="G293" s="181">
        <v>3.5118640045950702</v>
      </c>
    </row>
    <row r="294" spans="1:7" x14ac:dyDescent="0.25">
      <c r="A294" s="176" t="s">
        <v>340</v>
      </c>
      <c r="B294" s="176" t="s">
        <v>358</v>
      </c>
      <c r="C294" s="176" t="s">
        <v>367</v>
      </c>
      <c r="D294" s="177">
        <v>488556</v>
      </c>
      <c r="E294" s="181">
        <v>4.6214970240867803</v>
      </c>
      <c r="F294" s="184">
        <v>62731.045230698001</v>
      </c>
      <c r="G294" s="181">
        <v>2.59959207604882</v>
      </c>
    </row>
    <row r="295" spans="1:7" x14ac:dyDescent="0.25">
      <c r="A295" s="176" t="s">
        <v>340</v>
      </c>
      <c r="B295" s="176" t="s">
        <v>358</v>
      </c>
      <c r="C295" s="176" t="s">
        <v>358</v>
      </c>
      <c r="D295" s="177">
        <v>488586</v>
      </c>
      <c r="E295" s="181">
        <v>3.2109766151250998</v>
      </c>
      <c r="F295" s="184">
        <v>28169.022123597399</v>
      </c>
      <c r="G295" s="181">
        <v>2.2379533984205202</v>
      </c>
    </row>
    <row r="296" spans="1:7" x14ac:dyDescent="0.25">
      <c r="A296" s="176" t="s">
        <v>340</v>
      </c>
      <c r="B296" s="176" t="s">
        <v>358</v>
      </c>
      <c r="C296" s="176" t="s">
        <v>368</v>
      </c>
      <c r="D296" s="177">
        <v>588587</v>
      </c>
      <c r="E296" s="181">
        <v>4.6351442550020998</v>
      </c>
      <c r="F296" s="184">
        <v>45223.975028533998</v>
      </c>
      <c r="G296" s="181">
        <v>2.254935042974</v>
      </c>
    </row>
    <row r="297" spans="1:7" x14ac:dyDescent="0.25">
      <c r="A297" s="176" t="s">
        <v>340</v>
      </c>
      <c r="B297" s="176" t="s">
        <v>358</v>
      </c>
      <c r="C297" s="176" t="s">
        <v>369</v>
      </c>
      <c r="D297" s="177">
        <v>488616</v>
      </c>
      <c r="E297" s="181">
        <v>7.14742283799061</v>
      </c>
      <c r="F297" s="184">
        <v>49951.4851791658</v>
      </c>
      <c r="G297" s="181">
        <v>3.7060711011803198</v>
      </c>
    </row>
    <row r="298" spans="1:7" x14ac:dyDescent="0.25">
      <c r="A298" s="176" t="s">
        <v>340</v>
      </c>
      <c r="B298" s="176" t="s">
        <v>358</v>
      </c>
      <c r="C298" s="176" t="s">
        <v>370</v>
      </c>
      <c r="D298" s="177">
        <v>588666</v>
      </c>
      <c r="E298" s="181">
        <v>4.9884779420575702</v>
      </c>
      <c r="F298" s="184">
        <v>43563.130748503303</v>
      </c>
      <c r="G298" s="181">
        <v>2.18245909965019</v>
      </c>
    </row>
    <row r="299" spans="1:7" x14ac:dyDescent="0.25">
      <c r="A299" s="179"/>
      <c r="B299" s="179"/>
      <c r="C299" s="179"/>
      <c r="D299" s="179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49" t="s">
        <v>2</v>
      </c>
      <c r="D1" s="349"/>
      <c r="E1" s="349"/>
      <c r="F1" s="349"/>
      <c r="G1" s="349"/>
      <c r="H1" s="349"/>
      <c r="I1" s="349"/>
      <c r="J1" s="349"/>
      <c r="K1" s="349"/>
      <c r="M1" s="350" t="s">
        <v>3</v>
      </c>
      <c r="N1" s="350"/>
      <c r="O1" s="350"/>
      <c r="P1" s="350"/>
      <c r="Q1" s="350"/>
      <c r="R1" s="350"/>
      <c r="S1" s="350"/>
      <c r="T1" s="350"/>
      <c r="U1" s="350"/>
      <c r="V1" s="350"/>
      <c r="W1" s="350"/>
      <c r="X1" s="350"/>
      <c r="Y1" s="350"/>
      <c r="Z1" s="350"/>
      <c r="AA1" s="350"/>
      <c r="AB1" s="350"/>
      <c r="AC1" s="350"/>
      <c r="AD1" s="350"/>
    </row>
    <row r="2" spans="1:30" x14ac:dyDescent="0.25">
      <c r="A2" s="169" t="s">
        <v>1</v>
      </c>
      <c r="C2" s="170" t="s">
        <v>430</v>
      </c>
      <c r="D2" s="170" t="s">
        <v>436</v>
      </c>
      <c r="E2" s="170" t="s">
        <v>437</v>
      </c>
      <c r="F2" s="170" t="s">
        <v>438</v>
      </c>
      <c r="G2" s="170" t="s">
        <v>441</v>
      </c>
      <c r="H2" s="170" t="s">
        <v>276</v>
      </c>
      <c r="I2" s="170" t="s">
        <v>340</v>
      </c>
      <c r="J2" s="170" t="s">
        <v>563</v>
      </c>
      <c r="K2" s="170" t="s">
        <v>564</v>
      </c>
      <c r="M2" s="171" t="s">
        <v>0</v>
      </c>
      <c r="N2" s="171" t="s">
        <v>65</v>
      </c>
      <c r="O2" s="171" t="s">
        <v>82</v>
      </c>
      <c r="P2" s="171" t="s">
        <v>101</v>
      </c>
      <c r="Q2" s="171" t="s">
        <v>119</v>
      </c>
      <c r="R2" s="171" t="s">
        <v>141</v>
      </c>
      <c r="S2" s="171" t="s">
        <v>160</v>
      </c>
      <c r="T2" s="171" t="s">
        <v>439</v>
      </c>
      <c r="U2" s="171" t="s">
        <v>440</v>
      </c>
      <c r="V2" s="171" t="s">
        <v>202</v>
      </c>
      <c r="W2" s="171" t="s">
        <v>222</v>
      </c>
      <c r="X2" s="171" t="s">
        <v>442</v>
      </c>
      <c r="Y2" s="171" t="s">
        <v>261</v>
      </c>
      <c r="Z2" s="171" t="s">
        <v>277</v>
      </c>
      <c r="AA2" s="171" t="s">
        <v>427</v>
      </c>
      <c r="AB2" s="171" t="s">
        <v>428</v>
      </c>
      <c r="AC2" s="171" t="s">
        <v>341</v>
      </c>
      <c r="AD2" s="171" t="s">
        <v>429</v>
      </c>
    </row>
    <row r="3" spans="1:30" x14ac:dyDescent="0.25">
      <c r="A3" s="105" t="s">
        <v>430</v>
      </c>
      <c r="C3" s="105" t="s">
        <v>0</v>
      </c>
      <c r="D3" s="105" t="s">
        <v>82</v>
      </c>
      <c r="E3" s="105" t="s">
        <v>141</v>
      </c>
      <c r="F3" s="105" t="s">
        <v>439</v>
      </c>
      <c r="G3" s="105" t="s">
        <v>222</v>
      </c>
      <c r="H3" s="105" t="s">
        <v>277</v>
      </c>
      <c r="I3" s="105" t="s">
        <v>341</v>
      </c>
      <c r="J3" s="105" t="s">
        <v>432</v>
      </c>
      <c r="M3" s="172" t="s">
        <v>5</v>
      </c>
      <c r="N3" s="172" t="s">
        <v>66</v>
      </c>
      <c r="O3" s="172" t="s">
        <v>83</v>
      </c>
      <c r="P3" s="172" t="s">
        <v>102</v>
      </c>
      <c r="Q3" s="172" t="s">
        <v>120</v>
      </c>
      <c r="R3" s="172" t="s">
        <v>142</v>
      </c>
      <c r="S3" s="172" t="s">
        <v>161</v>
      </c>
      <c r="T3" s="172" t="s">
        <v>178</v>
      </c>
      <c r="U3" s="172" t="s">
        <v>189</v>
      </c>
      <c r="V3" s="172" t="s">
        <v>203</v>
      </c>
      <c r="W3" s="172" t="s">
        <v>223</v>
      </c>
      <c r="X3" s="172" t="s">
        <v>242</v>
      </c>
      <c r="Y3" s="172" t="s">
        <v>262</v>
      </c>
      <c r="Z3" s="172" t="s">
        <v>278</v>
      </c>
      <c r="AA3" s="172" t="s">
        <v>301</v>
      </c>
      <c r="AB3" s="172" t="s">
        <v>320</v>
      </c>
      <c r="AC3" s="172" t="s">
        <v>342</v>
      </c>
      <c r="AD3" s="172" t="s">
        <v>359</v>
      </c>
    </row>
    <row r="4" spans="1:30" x14ac:dyDescent="0.25">
      <c r="A4" s="105" t="s">
        <v>436</v>
      </c>
      <c r="C4" s="112" t="s">
        <v>65</v>
      </c>
      <c r="D4" s="105" t="s">
        <v>101</v>
      </c>
      <c r="E4" s="112" t="s">
        <v>160</v>
      </c>
      <c r="F4" s="105" t="s">
        <v>440</v>
      </c>
      <c r="G4" s="105" t="s">
        <v>442</v>
      </c>
      <c r="H4" s="105" t="s">
        <v>427</v>
      </c>
      <c r="I4" s="112" t="s">
        <v>429</v>
      </c>
      <c r="J4" s="105" t="s">
        <v>434</v>
      </c>
      <c r="M4" s="172" t="s">
        <v>57</v>
      </c>
      <c r="N4" s="172" t="s">
        <v>67</v>
      </c>
      <c r="O4" s="172" t="s">
        <v>84</v>
      </c>
      <c r="P4" s="172" t="s">
        <v>103</v>
      </c>
      <c r="Q4" s="172" t="s">
        <v>121</v>
      </c>
      <c r="R4" s="172" t="s">
        <v>143</v>
      </c>
      <c r="S4" s="172" t="s">
        <v>162</v>
      </c>
      <c r="T4" s="172" t="s">
        <v>179</v>
      </c>
      <c r="U4" s="172" t="s">
        <v>190</v>
      </c>
      <c r="V4" s="172" t="s">
        <v>204</v>
      </c>
      <c r="W4" s="172" t="s">
        <v>224</v>
      </c>
      <c r="X4" s="172" t="s">
        <v>243</v>
      </c>
      <c r="Y4" s="172" t="s">
        <v>263</v>
      </c>
      <c r="Z4" s="172" t="s">
        <v>279</v>
      </c>
      <c r="AA4" s="172" t="s">
        <v>302</v>
      </c>
      <c r="AB4" s="172" t="s">
        <v>321</v>
      </c>
      <c r="AC4" s="172" t="s">
        <v>343</v>
      </c>
      <c r="AD4" s="172" t="s">
        <v>360</v>
      </c>
    </row>
    <row r="5" spans="1:30" x14ac:dyDescent="0.25">
      <c r="A5" s="105" t="s">
        <v>437</v>
      </c>
      <c r="C5" s="112"/>
      <c r="D5" s="105" t="s">
        <v>119</v>
      </c>
      <c r="E5" s="112"/>
      <c r="F5" s="105" t="s">
        <v>202</v>
      </c>
      <c r="G5" s="105" t="s">
        <v>261</v>
      </c>
      <c r="H5" s="105" t="s">
        <v>428</v>
      </c>
      <c r="I5" s="112"/>
      <c r="J5" s="112"/>
      <c r="K5" s="112"/>
      <c r="M5" s="172" t="s">
        <v>58</v>
      </c>
      <c r="N5" s="172" t="s">
        <v>68</v>
      </c>
      <c r="O5" s="172" t="s">
        <v>85</v>
      </c>
      <c r="P5" s="172" t="s">
        <v>104</v>
      </c>
      <c r="Q5" s="172" t="s">
        <v>122</v>
      </c>
      <c r="R5" s="172" t="s">
        <v>144</v>
      </c>
      <c r="S5" s="172" t="s">
        <v>163</v>
      </c>
      <c r="T5" s="172" t="s">
        <v>180</v>
      </c>
      <c r="U5" s="172" t="s">
        <v>188</v>
      </c>
      <c r="V5" s="172" t="s">
        <v>205</v>
      </c>
      <c r="W5" s="172" t="s">
        <v>225</v>
      </c>
      <c r="X5" s="172" t="s">
        <v>244</v>
      </c>
      <c r="Y5" s="172" t="s">
        <v>264</v>
      </c>
      <c r="Z5" s="172" t="s">
        <v>280</v>
      </c>
      <c r="AA5" s="172" t="s">
        <v>303</v>
      </c>
      <c r="AB5" s="172" t="s">
        <v>322</v>
      </c>
      <c r="AC5" s="172" t="s">
        <v>344</v>
      </c>
      <c r="AD5" s="172" t="s">
        <v>361</v>
      </c>
    </row>
    <row r="6" spans="1:30" x14ac:dyDescent="0.25">
      <c r="A6" s="105" t="s">
        <v>438</v>
      </c>
      <c r="M6" s="172" t="s">
        <v>59</v>
      </c>
      <c r="N6" s="172" t="s">
        <v>69</v>
      </c>
      <c r="O6" s="172" t="s">
        <v>86</v>
      </c>
      <c r="P6" s="172" t="s">
        <v>105</v>
      </c>
      <c r="Q6" s="172" t="s">
        <v>123</v>
      </c>
      <c r="R6" s="172" t="s">
        <v>148</v>
      </c>
      <c r="S6" s="172" t="s">
        <v>164</v>
      </c>
      <c r="T6" s="172" t="s">
        <v>181</v>
      </c>
      <c r="U6" s="172" t="s">
        <v>191</v>
      </c>
      <c r="V6" s="172" t="s">
        <v>206</v>
      </c>
      <c r="W6" s="172" t="s">
        <v>226</v>
      </c>
      <c r="X6" s="172" t="s">
        <v>245</v>
      </c>
      <c r="Y6" s="172" t="s">
        <v>265</v>
      </c>
      <c r="Z6" s="172" t="s">
        <v>281</v>
      </c>
      <c r="AA6" s="172" t="s">
        <v>304</v>
      </c>
      <c r="AB6" s="172" t="s">
        <v>323</v>
      </c>
      <c r="AC6" s="172" t="s">
        <v>345</v>
      </c>
      <c r="AD6" s="172" t="s">
        <v>362</v>
      </c>
    </row>
    <row r="7" spans="1:30" x14ac:dyDescent="0.25">
      <c r="A7" s="105" t="s">
        <v>441</v>
      </c>
      <c r="M7" s="172" t="s">
        <v>60</v>
      </c>
      <c r="N7" s="172" t="s">
        <v>70</v>
      </c>
      <c r="O7" s="172" t="s">
        <v>87</v>
      </c>
      <c r="P7" s="172" t="s">
        <v>106</v>
      </c>
      <c r="Q7" s="172" t="s">
        <v>124</v>
      </c>
      <c r="R7" s="172" t="s">
        <v>149</v>
      </c>
      <c r="S7" s="172" t="s">
        <v>165</v>
      </c>
      <c r="T7" s="172" t="s">
        <v>182</v>
      </c>
      <c r="U7" s="172" t="s">
        <v>192</v>
      </c>
      <c r="V7" s="172" t="s">
        <v>207</v>
      </c>
      <c r="W7" s="172" t="s">
        <v>227</v>
      </c>
      <c r="X7" s="172" t="s">
        <v>246</v>
      </c>
      <c r="Y7" s="172" t="s">
        <v>266</v>
      </c>
      <c r="Z7" s="172" t="s">
        <v>282</v>
      </c>
      <c r="AA7" s="172" t="s">
        <v>305</v>
      </c>
      <c r="AB7" s="172" t="s">
        <v>324</v>
      </c>
      <c r="AC7" s="172" t="s">
        <v>346</v>
      </c>
      <c r="AD7" s="172" t="s">
        <v>364</v>
      </c>
    </row>
    <row r="8" spans="1:30" x14ac:dyDescent="0.25">
      <c r="A8" s="105" t="s">
        <v>276</v>
      </c>
      <c r="M8" s="172" t="s">
        <v>61</v>
      </c>
      <c r="N8" s="172" t="s">
        <v>71</v>
      </c>
      <c r="O8" s="172" t="s">
        <v>88</v>
      </c>
      <c r="P8" s="172" t="s">
        <v>107</v>
      </c>
      <c r="Q8" s="172" t="s">
        <v>125</v>
      </c>
      <c r="R8" s="172" t="s">
        <v>150</v>
      </c>
      <c r="S8" s="172" t="s">
        <v>166</v>
      </c>
      <c r="T8" s="172" t="s">
        <v>183</v>
      </c>
      <c r="U8" s="172" t="s">
        <v>193</v>
      </c>
      <c r="V8" s="172" t="s">
        <v>208</v>
      </c>
      <c r="W8" s="172" t="s">
        <v>228</v>
      </c>
      <c r="X8" s="172" t="s">
        <v>247</v>
      </c>
      <c r="Y8" s="172" t="s">
        <v>267</v>
      </c>
      <c r="Z8" s="172" t="s">
        <v>283</v>
      </c>
      <c r="AA8" s="172" t="s">
        <v>306</v>
      </c>
      <c r="AB8" s="172" t="s">
        <v>325</v>
      </c>
      <c r="AC8" s="172" t="s">
        <v>347</v>
      </c>
      <c r="AD8" s="172" t="s">
        <v>365</v>
      </c>
    </row>
    <row r="9" spans="1:30" x14ac:dyDescent="0.25">
      <c r="A9" s="105" t="s">
        <v>340</v>
      </c>
      <c r="M9" s="172" t="s">
        <v>62</v>
      </c>
      <c r="N9" s="172" t="s">
        <v>72</v>
      </c>
      <c r="O9" s="172" t="s">
        <v>89</v>
      </c>
      <c r="P9" s="172" t="s">
        <v>108</v>
      </c>
      <c r="Q9" s="172" t="s">
        <v>126</v>
      </c>
      <c r="R9" s="172" t="s">
        <v>151</v>
      </c>
      <c r="S9" s="172" t="s">
        <v>167</v>
      </c>
      <c r="T9" s="172" t="s">
        <v>184</v>
      </c>
      <c r="U9" s="172" t="s">
        <v>194</v>
      </c>
      <c r="V9" s="172" t="s">
        <v>209</v>
      </c>
      <c r="W9" s="172" t="s">
        <v>229</v>
      </c>
      <c r="X9" s="172" t="s">
        <v>248</v>
      </c>
      <c r="Y9" s="172" t="s">
        <v>268</v>
      </c>
      <c r="Z9" s="172" t="s">
        <v>284</v>
      </c>
      <c r="AA9" s="172" t="s">
        <v>307</v>
      </c>
      <c r="AB9" s="172" t="s">
        <v>326</v>
      </c>
      <c r="AC9" s="172" t="s">
        <v>348</v>
      </c>
      <c r="AD9" s="172" t="s">
        <v>366</v>
      </c>
    </row>
    <row r="10" spans="1:30" x14ac:dyDescent="0.25">
      <c r="A10" s="105" t="s">
        <v>564</v>
      </c>
      <c r="M10" s="172" t="s">
        <v>63</v>
      </c>
      <c r="N10" s="172" t="s">
        <v>73</v>
      </c>
      <c r="O10" s="172" t="s">
        <v>90</v>
      </c>
      <c r="P10" s="172" t="s">
        <v>109</v>
      </c>
      <c r="Q10" s="172" t="s">
        <v>127</v>
      </c>
      <c r="R10" s="172" t="s">
        <v>152</v>
      </c>
      <c r="S10" s="172" t="s">
        <v>168</v>
      </c>
      <c r="T10" s="172" t="s">
        <v>185</v>
      </c>
      <c r="U10" s="172" t="s">
        <v>195</v>
      </c>
      <c r="V10" s="172" t="s">
        <v>210</v>
      </c>
      <c r="W10" s="172" t="s">
        <v>230</v>
      </c>
      <c r="X10" s="172" t="s">
        <v>249</v>
      </c>
      <c r="Y10" s="172" t="s">
        <v>269</v>
      </c>
      <c r="Z10" s="172" t="s">
        <v>285</v>
      </c>
      <c r="AA10" s="172" t="s">
        <v>308</v>
      </c>
      <c r="AB10" s="172" t="s">
        <v>327</v>
      </c>
      <c r="AC10" s="172" t="s">
        <v>349</v>
      </c>
      <c r="AD10" s="172" t="s">
        <v>367</v>
      </c>
    </row>
    <row r="11" spans="1:30" x14ac:dyDescent="0.25">
      <c r="M11" s="172" t="s">
        <v>64</v>
      </c>
      <c r="N11" s="172" t="s">
        <v>74</v>
      </c>
      <c r="O11" s="172" t="s">
        <v>91</v>
      </c>
      <c r="P11" s="172" t="s">
        <v>110</v>
      </c>
      <c r="Q11" s="172" t="s">
        <v>128</v>
      </c>
      <c r="R11" s="172" t="s">
        <v>153</v>
      </c>
      <c r="S11" s="172" t="s">
        <v>169</v>
      </c>
      <c r="T11" s="172" t="s">
        <v>186</v>
      </c>
      <c r="U11" s="172" t="s">
        <v>196</v>
      </c>
      <c r="V11" s="172" t="s">
        <v>211</v>
      </c>
      <c r="W11" s="172" t="s">
        <v>232</v>
      </c>
      <c r="X11" s="172" t="s">
        <v>250</v>
      </c>
      <c r="Y11" s="172" t="s">
        <v>270</v>
      </c>
      <c r="Z11" s="172" t="s">
        <v>286</v>
      </c>
      <c r="AA11" s="172" t="s">
        <v>310</v>
      </c>
      <c r="AB11" s="172" t="s">
        <v>328</v>
      </c>
      <c r="AC11" s="172" t="s">
        <v>350</v>
      </c>
      <c r="AD11" s="172" t="s">
        <v>358</v>
      </c>
    </row>
    <row r="12" spans="1:30" x14ac:dyDescent="0.25">
      <c r="N12" s="172" t="s">
        <v>75</v>
      </c>
      <c r="O12" s="172" t="s">
        <v>92</v>
      </c>
      <c r="P12" s="172" t="s">
        <v>111</v>
      </c>
      <c r="Q12" s="172" t="s">
        <v>129</v>
      </c>
      <c r="R12" s="172" t="s">
        <v>154</v>
      </c>
      <c r="S12" s="172" t="s">
        <v>170</v>
      </c>
      <c r="T12" s="172" t="s">
        <v>187</v>
      </c>
      <c r="U12" s="172" t="s">
        <v>197</v>
      </c>
      <c r="V12" s="172" t="s">
        <v>212</v>
      </c>
      <c r="W12" s="172" t="s">
        <v>233</v>
      </c>
      <c r="X12" s="172" t="s">
        <v>251</v>
      </c>
      <c r="Y12" s="172" t="s">
        <v>271</v>
      </c>
      <c r="Z12" s="172" t="s">
        <v>287</v>
      </c>
      <c r="AA12" s="172" t="s">
        <v>311</v>
      </c>
      <c r="AB12" s="172" t="s">
        <v>329</v>
      </c>
      <c r="AC12" s="172" t="s">
        <v>351</v>
      </c>
      <c r="AD12" s="172" t="s">
        <v>368</v>
      </c>
    </row>
    <row r="13" spans="1:30" x14ac:dyDescent="0.25">
      <c r="N13" s="172" t="s">
        <v>76</v>
      </c>
      <c r="O13" s="172" t="s">
        <v>93</v>
      </c>
      <c r="P13" s="172" t="s">
        <v>112</v>
      </c>
      <c r="Q13" s="172" t="s">
        <v>130</v>
      </c>
      <c r="R13" s="172" t="s">
        <v>155</v>
      </c>
      <c r="S13" s="172" t="s">
        <v>171</v>
      </c>
      <c r="U13" s="172" t="s">
        <v>198</v>
      </c>
      <c r="V13" s="172" t="s">
        <v>213</v>
      </c>
      <c r="W13" s="172" t="s">
        <v>234</v>
      </c>
      <c r="X13" s="172" t="s">
        <v>252</v>
      </c>
      <c r="Y13" s="172" t="s">
        <v>272</v>
      </c>
      <c r="Z13" s="172" t="s">
        <v>288</v>
      </c>
      <c r="AA13" s="172" t="s">
        <v>312</v>
      </c>
      <c r="AB13" s="172" t="s">
        <v>330</v>
      </c>
      <c r="AC13" s="172" t="s">
        <v>352</v>
      </c>
      <c r="AD13" s="172" t="s">
        <v>369</v>
      </c>
    </row>
    <row r="14" spans="1:30" x14ac:dyDescent="0.25">
      <c r="N14" s="172" t="s">
        <v>77</v>
      </c>
      <c r="O14" s="172" t="s">
        <v>94</v>
      </c>
      <c r="P14" s="172" t="s">
        <v>113</v>
      </c>
      <c r="Q14" s="172" t="s">
        <v>131</v>
      </c>
      <c r="R14" s="172" t="s">
        <v>156</v>
      </c>
      <c r="S14" s="172" t="s">
        <v>172</v>
      </c>
      <c r="U14" s="172" t="s">
        <v>199</v>
      </c>
      <c r="V14" s="172" t="s">
        <v>214</v>
      </c>
      <c r="W14" s="172" t="s">
        <v>235</v>
      </c>
      <c r="X14" s="172" t="s">
        <v>253</v>
      </c>
      <c r="Y14" s="172" t="s">
        <v>273</v>
      </c>
      <c r="Z14" s="172" t="s">
        <v>289</v>
      </c>
      <c r="AA14" s="172" t="s">
        <v>313</v>
      </c>
      <c r="AB14" s="172" t="s">
        <v>331</v>
      </c>
      <c r="AC14" s="172" t="s">
        <v>353</v>
      </c>
      <c r="AD14" s="172" t="s">
        <v>370</v>
      </c>
    </row>
    <row r="15" spans="1:30" x14ac:dyDescent="0.25">
      <c r="N15" s="172" t="s">
        <v>78</v>
      </c>
      <c r="O15" s="172" t="s">
        <v>95</v>
      </c>
      <c r="P15" s="172" t="s">
        <v>114</v>
      </c>
      <c r="Q15" s="172" t="s">
        <v>132</v>
      </c>
      <c r="R15" s="172" t="s">
        <v>157</v>
      </c>
      <c r="S15" s="172" t="s">
        <v>173</v>
      </c>
      <c r="U15" s="172" t="s">
        <v>200</v>
      </c>
      <c r="V15" s="172" t="s">
        <v>215</v>
      </c>
      <c r="W15" s="172" t="s">
        <v>236</v>
      </c>
      <c r="X15" s="172" t="s">
        <v>254</v>
      </c>
      <c r="Y15" s="172" t="s">
        <v>274</v>
      </c>
      <c r="Z15" s="172" t="s">
        <v>290</v>
      </c>
      <c r="AA15" s="172" t="s">
        <v>314</v>
      </c>
      <c r="AB15" s="172" t="s">
        <v>332</v>
      </c>
      <c r="AC15" s="172" t="s">
        <v>354</v>
      </c>
    </row>
    <row r="16" spans="1:30" x14ac:dyDescent="0.25">
      <c r="N16" s="172" t="s">
        <v>79</v>
      </c>
      <c r="O16" s="172" t="s">
        <v>96</v>
      </c>
      <c r="P16" s="172" t="s">
        <v>115</v>
      </c>
      <c r="Q16" s="172" t="s">
        <v>133</v>
      </c>
      <c r="R16" s="172" t="s">
        <v>158</v>
      </c>
      <c r="S16" s="172" t="s">
        <v>174</v>
      </c>
      <c r="U16" s="172"/>
      <c r="V16" s="172" t="s">
        <v>216</v>
      </c>
      <c r="W16" s="172" t="s">
        <v>237</v>
      </c>
      <c r="X16" s="172" t="s">
        <v>255</v>
      </c>
      <c r="Y16" s="172" t="s">
        <v>275</v>
      </c>
      <c r="Z16" s="172" t="s">
        <v>291</v>
      </c>
      <c r="AA16" s="172" t="s">
        <v>315</v>
      </c>
      <c r="AB16" s="172" t="s">
        <v>333</v>
      </c>
      <c r="AC16" s="172" t="s">
        <v>355</v>
      </c>
    </row>
    <row r="17" spans="13:30" x14ac:dyDescent="0.25">
      <c r="N17" s="172" t="s">
        <v>80</v>
      </c>
      <c r="O17" s="172" t="s">
        <v>97</v>
      </c>
      <c r="P17" s="172" t="s">
        <v>116</v>
      </c>
      <c r="Q17" s="172" t="s">
        <v>134</v>
      </c>
      <c r="R17" s="172" t="s">
        <v>159</v>
      </c>
      <c r="S17" s="172" t="s">
        <v>175</v>
      </c>
      <c r="V17" s="172" t="s">
        <v>217</v>
      </c>
      <c r="W17" s="172" t="s">
        <v>238</v>
      </c>
      <c r="X17" s="172" t="s">
        <v>256</v>
      </c>
      <c r="Z17" s="172" t="s">
        <v>292</v>
      </c>
      <c r="AA17" s="172" t="s">
        <v>316</v>
      </c>
      <c r="AB17" s="172" t="s">
        <v>334</v>
      </c>
      <c r="AC17" s="172" t="s">
        <v>356</v>
      </c>
    </row>
    <row r="18" spans="13:30" x14ac:dyDescent="0.25">
      <c r="O18" s="172" t="s">
        <v>98</v>
      </c>
      <c r="P18" s="172" t="s">
        <v>117</v>
      </c>
      <c r="Q18" s="172" t="s">
        <v>135</v>
      </c>
      <c r="V18" s="172" t="s">
        <v>218</v>
      </c>
      <c r="W18" s="172" t="s">
        <v>239</v>
      </c>
      <c r="X18" s="172" t="s">
        <v>257</v>
      </c>
      <c r="Z18" s="172" t="s">
        <v>293</v>
      </c>
      <c r="AA18" s="172" t="s">
        <v>317</v>
      </c>
      <c r="AB18" s="172" t="s">
        <v>335</v>
      </c>
      <c r="AC18" s="172" t="s">
        <v>357</v>
      </c>
    </row>
    <row r="19" spans="13:30" x14ac:dyDescent="0.25">
      <c r="O19" s="172" t="s">
        <v>99</v>
      </c>
      <c r="P19" s="172" t="s">
        <v>118</v>
      </c>
      <c r="Q19" s="172" t="s">
        <v>136</v>
      </c>
      <c r="V19" s="172" t="s">
        <v>219</v>
      </c>
      <c r="W19" s="172" t="s">
        <v>240</v>
      </c>
      <c r="X19" s="172" t="s">
        <v>258</v>
      </c>
      <c r="Z19" s="172" t="s">
        <v>294</v>
      </c>
      <c r="AA19" s="172" t="s">
        <v>318</v>
      </c>
      <c r="AB19" s="172" t="s">
        <v>336</v>
      </c>
    </row>
    <row r="20" spans="13:30" x14ac:dyDescent="0.25">
      <c r="O20" s="172" t="s">
        <v>100</v>
      </c>
      <c r="Q20" s="172" t="s">
        <v>137</v>
      </c>
      <c r="R20" s="172"/>
      <c r="V20" s="172" t="s">
        <v>220</v>
      </c>
      <c r="X20" s="172" t="s">
        <v>259</v>
      </c>
      <c r="Z20" s="172" t="s">
        <v>295</v>
      </c>
      <c r="AB20" s="172" t="s">
        <v>338</v>
      </c>
    </row>
    <row r="21" spans="13:30" x14ac:dyDescent="0.25">
      <c r="Q21" s="172" t="s">
        <v>138</v>
      </c>
      <c r="R21" s="172"/>
      <c r="X21" s="172" t="s">
        <v>260</v>
      </c>
      <c r="Z21" s="172" t="s">
        <v>296</v>
      </c>
      <c r="AB21" s="172" t="s">
        <v>339</v>
      </c>
    </row>
    <row r="22" spans="13:30" x14ac:dyDescent="0.25">
      <c r="Q22" s="172" t="s">
        <v>139</v>
      </c>
      <c r="R22" s="172"/>
      <c r="Z22" s="172" t="s">
        <v>297</v>
      </c>
    </row>
    <row r="23" spans="13:30" x14ac:dyDescent="0.25">
      <c r="Z23" s="172" t="s">
        <v>298</v>
      </c>
    </row>
    <row r="24" spans="13:30" x14ac:dyDescent="0.25">
      <c r="Z24" s="172" t="s">
        <v>299</v>
      </c>
    </row>
    <row r="32" spans="13:30" x14ac:dyDescent="0.25">
      <c r="M32" s="350" t="s">
        <v>565</v>
      </c>
      <c r="N32" s="350"/>
      <c r="O32" s="350"/>
      <c r="P32" s="350"/>
      <c r="Q32" s="350"/>
      <c r="R32" s="350"/>
      <c r="S32" s="350"/>
      <c r="T32" s="350"/>
      <c r="U32" s="350"/>
      <c r="V32" s="350"/>
      <c r="W32" s="350"/>
      <c r="X32" s="350"/>
      <c r="Y32" s="350"/>
      <c r="Z32" s="350"/>
      <c r="AA32" s="350"/>
      <c r="AB32" s="350"/>
      <c r="AC32" s="350"/>
      <c r="AD32" s="350"/>
    </row>
    <row r="33" spans="13:30" x14ac:dyDescent="0.25">
      <c r="M33" s="171" t="s">
        <v>0</v>
      </c>
      <c r="N33" s="171" t="s">
        <v>65</v>
      </c>
      <c r="O33" s="171" t="s">
        <v>82</v>
      </c>
      <c r="P33" s="171" t="s">
        <v>101</v>
      </c>
      <c r="Q33" s="171" t="s">
        <v>119</v>
      </c>
      <c r="R33" s="171" t="s">
        <v>141</v>
      </c>
      <c r="S33" s="171" t="s">
        <v>160</v>
      </c>
      <c r="T33" s="171" t="s">
        <v>439</v>
      </c>
      <c r="U33" s="171" t="s">
        <v>440</v>
      </c>
      <c r="V33" s="171" t="s">
        <v>202</v>
      </c>
      <c r="W33" s="171" t="s">
        <v>222</v>
      </c>
      <c r="X33" s="171" t="s">
        <v>442</v>
      </c>
      <c r="Y33" s="171" t="s">
        <v>261</v>
      </c>
      <c r="Z33" s="171" t="s">
        <v>277</v>
      </c>
      <c r="AA33" s="171" t="s">
        <v>427</v>
      </c>
      <c r="AB33" s="171" t="s">
        <v>428</v>
      </c>
      <c r="AC33" s="171" t="s">
        <v>341</v>
      </c>
      <c r="AD33" s="171" t="s">
        <v>566</v>
      </c>
    </row>
    <row r="34" spans="13:30" x14ac:dyDescent="0.25">
      <c r="M34" s="173" t="s">
        <v>5</v>
      </c>
      <c r="N34" s="173" t="s">
        <v>567</v>
      </c>
      <c r="O34" s="173" t="s">
        <v>83</v>
      </c>
      <c r="P34" s="173" t="s">
        <v>102</v>
      </c>
      <c r="Q34" s="173" t="s">
        <v>120</v>
      </c>
      <c r="R34" s="173" t="s">
        <v>142</v>
      </c>
      <c r="S34" s="173" t="s">
        <v>161</v>
      </c>
      <c r="T34" s="173" t="s">
        <v>178</v>
      </c>
      <c r="U34" s="173" t="s">
        <v>189</v>
      </c>
      <c r="V34" s="173" t="s">
        <v>203</v>
      </c>
      <c r="W34" s="173" t="s">
        <v>223</v>
      </c>
      <c r="X34" s="173" t="s">
        <v>242</v>
      </c>
      <c r="Y34" s="173" t="s">
        <v>262</v>
      </c>
      <c r="Z34" s="173" t="s">
        <v>278</v>
      </c>
      <c r="AA34" s="173" t="s">
        <v>301</v>
      </c>
      <c r="AB34" s="173" t="s">
        <v>320</v>
      </c>
      <c r="AC34" s="173" t="s">
        <v>342</v>
      </c>
      <c r="AD34" s="173" t="s">
        <v>359</v>
      </c>
    </row>
    <row r="35" spans="13:30" x14ac:dyDescent="0.25">
      <c r="M35" s="173" t="s">
        <v>568</v>
      </c>
      <c r="N35" s="173" t="s">
        <v>66</v>
      </c>
      <c r="O35" s="173" t="s">
        <v>569</v>
      </c>
      <c r="P35" s="173" t="s">
        <v>103</v>
      </c>
      <c r="Q35" s="173" t="s">
        <v>121</v>
      </c>
      <c r="R35" s="173" t="s">
        <v>143</v>
      </c>
      <c r="S35" s="173" t="s">
        <v>570</v>
      </c>
      <c r="T35" s="173" t="s">
        <v>179</v>
      </c>
      <c r="U35" s="173" t="s">
        <v>190</v>
      </c>
      <c r="V35" s="173" t="s">
        <v>204</v>
      </c>
      <c r="W35" s="173" t="s">
        <v>224</v>
      </c>
      <c r="X35" s="173" t="s">
        <v>243</v>
      </c>
      <c r="Y35" s="173" t="s">
        <v>263</v>
      </c>
      <c r="Z35" s="173" t="s">
        <v>279</v>
      </c>
      <c r="AA35" s="173" t="s">
        <v>302</v>
      </c>
      <c r="AB35" s="173" t="s">
        <v>321</v>
      </c>
      <c r="AC35" s="173" t="s">
        <v>343</v>
      </c>
      <c r="AD35" s="173" t="s">
        <v>360</v>
      </c>
    </row>
    <row r="36" spans="13:30" x14ac:dyDescent="0.25">
      <c r="M36" s="173" t="s">
        <v>571</v>
      </c>
      <c r="N36" s="173" t="s">
        <v>67</v>
      </c>
      <c r="O36" s="173" t="s">
        <v>572</v>
      </c>
      <c r="P36" s="173" t="s">
        <v>104</v>
      </c>
      <c r="Q36" s="173" t="s">
        <v>573</v>
      </c>
      <c r="R36" s="173" t="s">
        <v>145</v>
      </c>
      <c r="S36" s="173" t="s">
        <v>574</v>
      </c>
      <c r="T36" s="173" t="s">
        <v>180</v>
      </c>
      <c r="U36" s="173" t="s">
        <v>188</v>
      </c>
      <c r="V36" s="173" t="s">
        <v>205</v>
      </c>
      <c r="W36" s="173" t="s">
        <v>225</v>
      </c>
      <c r="X36" s="173" t="s">
        <v>244</v>
      </c>
      <c r="Y36" s="173" t="s">
        <v>264</v>
      </c>
      <c r="Z36" s="173" t="s">
        <v>280</v>
      </c>
      <c r="AA36" s="173" t="s">
        <v>303</v>
      </c>
      <c r="AB36" s="173" t="s">
        <v>322</v>
      </c>
      <c r="AC36" s="173" t="s">
        <v>344</v>
      </c>
      <c r="AD36" s="173" t="s">
        <v>361</v>
      </c>
    </row>
    <row r="37" spans="13:30" x14ac:dyDescent="0.25">
      <c r="M37" s="173" t="s">
        <v>57</v>
      </c>
      <c r="N37" s="173" t="s">
        <v>68</v>
      </c>
      <c r="O37" s="173" t="s">
        <v>84</v>
      </c>
      <c r="P37" s="173" t="s">
        <v>105</v>
      </c>
      <c r="Q37" s="173" t="s">
        <v>122</v>
      </c>
      <c r="R37" s="173" t="s">
        <v>144</v>
      </c>
      <c r="S37" s="173" t="s">
        <v>162</v>
      </c>
      <c r="T37" s="173" t="s">
        <v>181</v>
      </c>
      <c r="U37" s="173" t="s">
        <v>191</v>
      </c>
      <c r="V37" s="173" t="s">
        <v>206</v>
      </c>
      <c r="W37" s="173" t="s">
        <v>226</v>
      </c>
      <c r="X37" s="173" t="s">
        <v>245</v>
      </c>
      <c r="Y37" s="173" t="s">
        <v>265</v>
      </c>
      <c r="Z37" s="173" t="s">
        <v>281</v>
      </c>
      <c r="AA37" s="173" t="s">
        <v>304</v>
      </c>
      <c r="AB37" s="173" t="s">
        <v>323</v>
      </c>
      <c r="AC37" s="173" t="s">
        <v>345</v>
      </c>
      <c r="AD37" s="173" t="s">
        <v>362</v>
      </c>
    </row>
    <row r="38" spans="13:30" x14ac:dyDescent="0.25">
      <c r="M38" s="173" t="s">
        <v>58</v>
      </c>
      <c r="N38" s="173" t="s">
        <v>69</v>
      </c>
      <c r="O38" s="173" t="s">
        <v>85</v>
      </c>
      <c r="P38" s="173" t="s">
        <v>106</v>
      </c>
      <c r="Q38" s="173" t="s">
        <v>123</v>
      </c>
      <c r="R38" s="173" t="s">
        <v>147</v>
      </c>
      <c r="S38" s="173" t="s">
        <v>575</v>
      </c>
      <c r="T38" s="173" t="s">
        <v>576</v>
      </c>
      <c r="U38" s="173" t="s">
        <v>192</v>
      </c>
      <c r="V38" s="173" t="s">
        <v>207</v>
      </c>
      <c r="W38" s="173" t="s">
        <v>227</v>
      </c>
      <c r="X38" s="173" t="s">
        <v>246</v>
      </c>
      <c r="Y38" s="173" t="s">
        <v>266</v>
      </c>
      <c r="Z38" s="173" t="s">
        <v>282</v>
      </c>
      <c r="AA38" s="173" t="s">
        <v>305</v>
      </c>
      <c r="AB38" s="173" t="s">
        <v>324</v>
      </c>
      <c r="AC38" s="173" t="s">
        <v>577</v>
      </c>
      <c r="AD38" s="173" t="s">
        <v>363</v>
      </c>
    </row>
    <row r="39" spans="13:30" x14ac:dyDescent="0.25">
      <c r="M39" s="173" t="s">
        <v>59</v>
      </c>
      <c r="N39" s="173" t="s">
        <v>70</v>
      </c>
      <c r="O39" s="173" t="s">
        <v>578</v>
      </c>
      <c r="P39" s="173" t="s">
        <v>579</v>
      </c>
      <c r="Q39" s="173" t="s">
        <v>124</v>
      </c>
      <c r="R39" s="173" t="s">
        <v>148</v>
      </c>
      <c r="S39" s="173" t="s">
        <v>163</v>
      </c>
      <c r="T39" s="173" t="s">
        <v>182</v>
      </c>
      <c r="U39" s="173" t="s">
        <v>193</v>
      </c>
      <c r="V39" s="173" t="s">
        <v>208</v>
      </c>
      <c r="W39" s="173" t="s">
        <v>228</v>
      </c>
      <c r="X39" s="173" t="s">
        <v>247</v>
      </c>
      <c r="Y39" s="173" t="s">
        <v>267</v>
      </c>
      <c r="Z39" s="173" t="s">
        <v>283</v>
      </c>
      <c r="AA39" s="173" t="s">
        <v>306</v>
      </c>
      <c r="AB39" s="173" t="s">
        <v>325</v>
      </c>
      <c r="AC39" s="173" t="s">
        <v>346</v>
      </c>
      <c r="AD39" s="173" t="s">
        <v>364</v>
      </c>
    </row>
    <row r="40" spans="13:30" x14ac:dyDescent="0.25">
      <c r="M40" s="173" t="s">
        <v>60</v>
      </c>
      <c r="N40" s="173" t="s">
        <v>71</v>
      </c>
      <c r="O40" s="173" t="s">
        <v>86</v>
      </c>
      <c r="P40" s="173" t="s">
        <v>580</v>
      </c>
      <c r="Q40" s="173" t="s">
        <v>125</v>
      </c>
      <c r="R40" s="173" t="s">
        <v>581</v>
      </c>
      <c r="S40" s="173" t="s">
        <v>164</v>
      </c>
      <c r="T40" s="173" t="s">
        <v>183</v>
      </c>
      <c r="U40" s="173" t="s">
        <v>194</v>
      </c>
      <c r="V40" s="173" t="s">
        <v>209</v>
      </c>
      <c r="W40" s="173" t="s">
        <v>229</v>
      </c>
      <c r="X40" s="173" t="s">
        <v>248</v>
      </c>
      <c r="Y40" s="173" t="s">
        <v>268</v>
      </c>
      <c r="Z40" s="173" t="s">
        <v>284</v>
      </c>
      <c r="AA40" s="173" t="s">
        <v>307</v>
      </c>
      <c r="AB40" s="173" t="s">
        <v>326</v>
      </c>
      <c r="AC40" s="173" t="s">
        <v>347</v>
      </c>
      <c r="AD40" s="173" t="s">
        <v>365</v>
      </c>
    </row>
    <row r="41" spans="13:30" x14ac:dyDescent="0.25">
      <c r="M41" s="173" t="s">
        <v>61</v>
      </c>
      <c r="N41" s="173" t="s">
        <v>72</v>
      </c>
      <c r="O41" s="173" t="s">
        <v>87</v>
      </c>
      <c r="P41" s="173" t="s">
        <v>107</v>
      </c>
      <c r="Q41" s="173" t="s">
        <v>126</v>
      </c>
      <c r="R41" s="173" t="s">
        <v>149</v>
      </c>
      <c r="S41" s="173" t="s">
        <v>165</v>
      </c>
      <c r="T41" s="173" t="s">
        <v>184</v>
      </c>
      <c r="U41" s="173" t="s">
        <v>195</v>
      </c>
      <c r="V41" s="173" t="s">
        <v>210</v>
      </c>
      <c r="W41" s="173" t="s">
        <v>230</v>
      </c>
      <c r="X41" s="173" t="s">
        <v>249</v>
      </c>
      <c r="Y41" s="173" t="s">
        <v>269</v>
      </c>
      <c r="Z41" s="173" t="s">
        <v>285</v>
      </c>
      <c r="AA41" s="173" t="s">
        <v>308</v>
      </c>
      <c r="AB41" s="173" t="s">
        <v>327</v>
      </c>
      <c r="AC41" s="173" t="s">
        <v>348</v>
      </c>
      <c r="AD41" s="173" t="s">
        <v>366</v>
      </c>
    </row>
    <row r="42" spans="13:30" x14ac:dyDescent="0.25">
      <c r="M42" s="173" t="s">
        <v>62</v>
      </c>
      <c r="N42" s="173" t="s">
        <v>73</v>
      </c>
      <c r="O42" s="173" t="s">
        <v>88</v>
      </c>
      <c r="P42" s="173" t="s">
        <v>108</v>
      </c>
      <c r="Q42" s="173" t="s">
        <v>127</v>
      </c>
      <c r="R42" s="173" t="s">
        <v>150</v>
      </c>
      <c r="S42" s="173" t="s">
        <v>166</v>
      </c>
      <c r="T42" s="173" t="s">
        <v>185</v>
      </c>
      <c r="U42" s="173" t="s">
        <v>196</v>
      </c>
      <c r="V42" s="173" t="s">
        <v>211</v>
      </c>
      <c r="W42" s="173" t="s">
        <v>231</v>
      </c>
      <c r="X42" s="173" t="s">
        <v>250</v>
      </c>
      <c r="Y42" s="173" t="s">
        <v>270</v>
      </c>
      <c r="Z42" s="173" t="s">
        <v>286</v>
      </c>
      <c r="AA42" s="173" t="s">
        <v>309</v>
      </c>
      <c r="AB42" s="173" t="s">
        <v>328</v>
      </c>
      <c r="AC42" s="173" t="s">
        <v>349</v>
      </c>
      <c r="AD42" s="173" t="s">
        <v>367</v>
      </c>
    </row>
    <row r="43" spans="13:30" x14ac:dyDescent="0.25">
      <c r="M43" s="173" t="s">
        <v>63</v>
      </c>
      <c r="N43" s="173" t="s">
        <v>75</v>
      </c>
      <c r="O43" s="173" t="s">
        <v>89</v>
      </c>
      <c r="P43" s="173" t="s">
        <v>109</v>
      </c>
      <c r="Q43" s="173" t="s">
        <v>128</v>
      </c>
      <c r="R43" s="173" t="s">
        <v>151</v>
      </c>
      <c r="S43" s="173" t="s">
        <v>167</v>
      </c>
      <c r="T43" s="173" t="s">
        <v>186</v>
      </c>
      <c r="U43" s="173" t="s">
        <v>197</v>
      </c>
      <c r="V43" s="173" t="s">
        <v>212</v>
      </c>
      <c r="W43" s="173" t="s">
        <v>232</v>
      </c>
      <c r="X43" s="173" t="s">
        <v>251</v>
      </c>
      <c r="Y43" s="173" t="s">
        <v>582</v>
      </c>
      <c r="Z43" s="173" t="s">
        <v>287</v>
      </c>
      <c r="AA43" s="173" t="s">
        <v>310</v>
      </c>
      <c r="AB43" s="173" t="s">
        <v>329</v>
      </c>
      <c r="AC43" s="173" t="s">
        <v>350</v>
      </c>
      <c r="AD43" s="173" t="s">
        <v>358</v>
      </c>
    </row>
    <row r="44" spans="13:30" x14ac:dyDescent="0.25">
      <c r="M44" s="173" t="s">
        <v>64</v>
      </c>
      <c r="N44" s="173" t="s">
        <v>74</v>
      </c>
      <c r="O44" s="173" t="s">
        <v>90</v>
      </c>
      <c r="P44" s="173" t="s">
        <v>110</v>
      </c>
      <c r="Q44" s="173" t="s">
        <v>129</v>
      </c>
      <c r="R44" s="173" t="s">
        <v>583</v>
      </c>
      <c r="S44" s="173" t="s">
        <v>168</v>
      </c>
      <c r="T44" s="173" t="s">
        <v>187</v>
      </c>
      <c r="U44" s="173" t="s">
        <v>198</v>
      </c>
      <c r="V44" s="173" t="s">
        <v>213</v>
      </c>
      <c r="W44" s="173" t="s">
        <v>233</v>
      </c>
      <c r="X44" s="173" t="s">
        <v>252</v>
      </c>
      <c r="Y44" s="173" t="s">
        <v>271</v>
      </c>
      <c r="Z44" s="173" t="s">
        <v>288</v>
      </c>
      <c r="AA44" s="173" t="s">
        <v>311</v>
      </c>
      <c r="AB44" s="173" t="s">
        <v>330</v>
      </c>
      <c r="AC44" s="173" t="s">
        <v>351</v>
      </c>
      <c r="AD44" s="173" t="s">
        <v>368</v>
      </c>
    </row>
    <row r="45" spans="13:30" x14ac:dyDescent="0.25">
      <c r="M45" s="1"/>
      <c r="N45" s="173" t="s">
        <v>76</v>
      </c>
      <c r="O45" s="173" t="s">
        <v>584</v>
      </c>
      <c r="P45" s="173" t="s">
        <v>111</v>
      </c>
      <c r="Q45" s="173" t="s">
        <v>130</v>
      </c>
      <c r="R45" s="173" t="s">
        <v>152</v>
      </c>
      <c r="S45" s="173" t="s">
        <v>169</v>
      </c>
      <c r="T45" s="1"/>
      <c r="U45" s="173" t="s">
        <v>199</v>
      </c>
      <c r="V45" s="173" t="s">
        <v>214</v>
      </c>
      <c r="W45" s="173" t="s">
        <v>234</v>
      </c>
      <c r="X45" s="173" t="s">
        <v>253</v>
      </c>
      <c r="Y45" s="173" t="s">
        <v>272</v>
      </c>
      <c r="Z45" s="173" t="s">
        <v>289</v>
      </c>
      <c r="AA45" s="173" t="s">
        <v>312</v>
      </c>
      <c r="AB45" s="173" t="s">
        <v>331</v>
      </c>
      <c r="AC45" s="173" t="s">
        <v>352</v>
      </c>
      <c r="AD45" s="173" t="s">
        <v>369</v>
      </c>
    </row>
    <row r="46" spans="13:30" x14ac:dyDescent="0.25">
      <c r="M46" s="1"/>
      <c r="N46" s="173" t="s">
        <v>77</v>
      </c>
      <c r="O46" s="173" t="s">
        <v>91</v>
      </c>
      <c r="P46" s="173" t="s">
        <v>112</v>
      </c>
      <c r="Q46" s="173" t="s">
        <v>585</v>
      </c>
      <c r="R46" s="173" t="s">
        <v>153</v>
      </c>
      <c r="S46" s="173" t="s">
        <v>170</v>
      </c>
      <c r="T46" s="1"/>
      <c r="U46" s="173" t="s">
        <v>200</v>
      </c>
      <c r="V46" s="173" t="s">
        <v>215</v>
      </c>
      <c r="W46" s="173" t="s">
        <v>235</v>
      </c>
      <c r="X46" s="173" t="s">
        <v>254</v>
      </c>
      <c r="Y46" s="173" t="s">
        <v>273</v>
      </c>
      <c r="Z46" s="173" t="s">
        <v>290</v>
      </c>
      <c r="AA46" s="173" t="s">
        <v>313</v>
      </c>
      <c r="AB46" s="173" t="s">
        <v>332</v>
      </c>
      <c r="AC46" s="173" t="s">
        <v>353</v>
      </c>
      <c r="AD46" s="173" t="s">
        <v>370</v>
      </c>
    </row>
    <row r="47" spans="13:30" x14ac:dyDescent="0.25">
      <c r="M47" s="1"/>
      <c r="N47" s="173" t="s">
        <v>78</v>
      </c>
      <c r="O47" s="173" t="s">
        <v>586</v>
      </c>
      <c r="P47" s="173" t="s">
        <v>113</v>
      </c>
      <c r="Q47" s="173" t="s">
        <v>131</v>
      </c>
      <c r="R47" s="173" t="s">
        <v>154</v>
      </c>
      <c r="S47" s="173" t="s">
        <v>171</v>
      </c>
      <c r="T47" s="1"/>
      <c r="U47" s="173" t="s">
        <v>201</v>
      </c>
      <c r="V47" s="173" t="s">
        <v>217</v>
      </c>
      <c r="W47" s="173" t="s">
        <v>236</v>
      </c>
      <c r="X47" s="173" t="s">
        <v>587</v>
      </c>
      <c r="Y47" s="173" t="s">
        <v>274</v>
      </c>
      <c r="Z47" s="173" t="s">
        <v>291</v>
      </c>
      <c r="AA47" s="173" t="s">
        <v>314</v>
      </c>
      <c r="AB47" s="173" t="s">
        <v>333</v>
      </c>
      <c r="AC47" s="173" t="s">
        <v>588</v>
      </c>
      <c r="AD47" s="1"/>
    </row>
    <row r="48" spans="13:30" x14ac:dyDescent="0.25">
      <c r="M48" s="1"/>
      <c r="N48" s="173" t="s">
        <v>79</v>
      </c>
      <c r="O48" s="173" t="s">
        <v>589</v>
      </c>
      <c r="P48" s="173" t="s">
        <v>114</v>
      </c>
      <c r="Q48" s="173" t="s">
        <v>590</v>
      </c>
      <c r="R48" s="173" t="s">
        <v>155</v>
      </c>
      <c r="S48" s="173" t="s">
        <v>172</v>
      </c>
      <c r="T48" s="1"/>
      <c r="U48" s="1"/>
      <c r="V48" s="173" t="s">
        <v>218</v>
      </c>
      <c r="W48" s="173" t="s">
        <v>237</v>
      </c>
      <c r="X48" s="173" t="s">
        <v>255</v>
      </c>
      <c r="Y48" s="173" t="s">
        <v>275</v>
      </c>
      <c r="Z48" s="173" t="s">
        <v>292</v>
      </c>
      <c r="AA48" s="173" t="s">
        <v>315</v>
      </c>
      <c r="AB48" s="173" t="s">
        <v>334</v>
      </c>
      <c r="AC48" s="173" t="s">
        <v>354</v>
      </c>
      <c r="AD48" s="1"/>
    </row>
    <row r="49" spans="13:30" x14ac:dyDescent="0.25">
      <c r="M49" s="1"/>
      <c r="N49" s="173" t="s">
        <v>80</v>
      </c>
      <c r="O49" s="173" t="s">
        <v>92</v>
      </c>
      <c r="P49" s="173" t="s">
        <v>115</v>
      </c>
      <c r="Q49" s="173" t="s">
        <v>132</v>
      </c>
      <c r="R49" s="173" t="s">
        <v>591</v>
      </c>
      <c r="S49" s="173" t="s">
        <v>592</v>
      </c>
      <c r="T49" s="1"/>
      <c r="U49" s="1"/>
      <c r="V49" s="173" t="s">
        <v>219</v>
      </c>
      <c r="W49" s="173" t="s">
        <v>238</v>
      </c>
      <c r="X49" s="173" t="s">
        <v>256</v>
      </c>
      <c r="Y49" s="1"/>
      <c r="Z49" s="173" t="s">
        <v>293</v>
      </c>
      <c r="AA49" s="173" t="s">
        <v>316</v>
      </c>
      <c r="AB49" s="173" t="s">
        <v>335</v>
      </c>
      <c r="AC49" s="173" t="s">
        <v>355</v>
      </c>
      <c r="AD49" s="1"/>
    </row>
    <row r="50" spans="13:30" x14ac:dyDescent="0.25">
      <c r="M50" s="1"/>
      <c r="N50" s="1"/>
      <c r="O50" s="173" t="s">
        <v>593</v>
      </c>
      <c r="P50" s="173" t="s">
        <v>547</v>
      </c>
      <c r="Q50" s="173" t="s">
        <v>594</v>
      </c>
      <c r="R50" s="173" t="s">
        <v>156</v>
      </c>
      <c r="S50" s="173" t="s">
        <v>595</v>
      </c>
      <c r="T50" s="1"/>
      <c r="U50" s="1"/>
      <c r="V50" s="173" t="s">
        <v>216</v>
      </c>
      <c r="W50" s="173" t="s">
        <v>239</v>
      </c>
      <c r="X50" s="173" t="s">
        <v>257</v>
      </c>
      <c r="Y50" s="1"/>
      <c r="Z50" s="173" t="s">
        <v>294</v>
      </c>
      <c r="AA50" s="173" t="s">
        <v>317</v>
      </c>
      <c r="AB50" s="173" t="s">
        <v>336</v>
      </c>
      <c r="AC50" s="173" t="s">
        <v>356</v>
      </c>
      <c r="AD50" s="1"/>
    </row>
    <row r="51" spans="13:30" x14ac:dyDescent="0.25">
      <c r="M51" s="1"/>
      <c r="N51" s="1"/>
      <c r="O51" s="173" t="s">
        <v>93</v>
      </c>
      <c r="P51" s="173" t="s">
        <v>116</v>
      </c>
      <c r="Q51" s="173" t="s">
        <v>596</v>
      </c>
      <c r="R51" s="173" t="s">
        <v>157</v>
      </c>
      <c r="S51" s="173" t="s">
        <v>173</v>
      </c>
      <c r="T51" s="1"/>
      <c r="U51" s="1"/>
      <c r="V51" s="173" t="s">
        <v>220</v>
      </c>
      <c r="W51" s="173" t="s">
        <v>240</v>
      </c>
      <c r="X51" s="173" t="s">
        <v>258</v>
      </c>
      <c r="Y51" s="1"/>
      <c r="Z51" s="173" t="s">
        <v>295</v>
      </c>
      <c r="AA51" s="173" t="s">
        <v>597</v>
      </c>
      <c r="AB51" s="173" t="s">
        <v>337</v>
      </c>
      <c r="AC51" s="173" t="s">
        <v>357</v>
      </c>
      <c r="AD51" s="1"/>
    </row>
    <row r="52" spans="13:30" x14ac:dyDescent="0.25">
      <c r="M52" s="1"/>
      <c r="N52" s="1"/>
      <c r="O52" s="173" t="s">
        <v>94</v>
      </c>
      <c r="P52" s="173" t="s">
        <v>117</v>
      </c>
      <c r="Q52" s="173" t="s">
        <v>133</v>
      </c>
      <c r="R52" s="173" t="s">
        <v>598</v>
      </c>
      <c r="S52" s="173" t="s">
        <v>599</v>
      </c>
      <c r="T52" s="1"/>
      <c r="U52" s="1"/>
      <c r="V52" s="173" t="s">
        <v>600</v>
      </c>
      <c r="W52" s="1"/>
      <c r="X52" s="173" t="s">
        <v>259</v>
      </c>
      <c r="Y52" s="1"/>
      <c r="Z52" s="173" t="s">
        <v>296</v>
      </c>
      <c r="AA52" s="173" t="s">
        <v>318</v>
      </c>
      <c r="AB52" s="173" t="s">
        <v>338</v>
      </c>
      <c r="AC52" s="1"/>
      <c r="AD52" s="1"/>
    </row>
    <row r="53" spans="13:30" x14ac:dyDescent="0.25">
      <c r="M53" s="1"/>
      <c r="N53" s="1"/>
      <c r="O53" s="173" t="s">
        <v>601</v>
      </c>
      <c r="P53" s="173" t="s">
        <v>118</v>
      </c>
      <c r="Q53" s="173" t="s">
        <v>134</v>
      </c>
      <c r="R53" s="173" t="s">
        <v>158</v>
      </c>
      <c r="S53" s="173" t="s">
        <v>174</v>
      </c>
      <c r="T53" s="1"/>
      <c r="U53" s="1"/>
      <c r="V53" s="1"/>
      <c r="W53" s="1"/>
      <c r="X53" s="173" t="s">
        <v>260</v>
      </c>
      <c r="Y53" s="1"/>
      <c r="Z53" s="173" t="s">
        <v>298</v>
      </c>
      <c r="AA53" s="1"/>
      <c r="AB53" s="173" t="s">
        <v>339</v>
      </c>
      <c r="AC53" s="1"/>
      <c r="AD53" s="1"/>
    </row>
    <row r="54" spans="13:30" x14ac:dyDescent="0.25">
      <c r="M54" s="1"/>
      <c r="N54" s="1"/>
      <c r="O54" s="173" t="s">
        <v>95</v>
      </c>
      <c r="P54" s="1"/>
      <c r="Q54" s="173" t="s">
        <v>135</v>
      </c>
      <c r="R54" s="173" t="s">
        <v>602</v>
      </c>
      <c r="S54" s="173" t="s">
        <v>175</v>
      </c>
      <c r="T54" s="1"/>
      <c r="U54" s="1"/>
      <c r="V54" s="1"/>
      <c r="W54" s="1"/>
      <c r="X54" s="1"/>
      <c r="Y54" s="1"/>
      <c r="Z54" s="173" t="s">
        <v>297</v>
      </c>
      <c r="AA54" s="1"/>
      <c r="AB54" s="1"/>
      <c r="AC54" s="1"/>
      <c r="AD54" s="1"/>
    </row>
    <row r="55" spans="13:30" x14ac:dyDescent="0.25">
      <c r="M55" s="1"/>
      <c r="N55" s="1"/>
      <c r="O55" s="173" t="s">
        <v>96</v>
      </c>
      <c r="P55" s="1"/>
      <c r="Q55" s="173" t="s">
        <v>136</v>
      </c>
      <c r="R55" s="173" t="s">
        <v>603</v>
      </c>
      <c r="S55" s="1"/>
      <c r="T55" s="1"/>
      <c r="U55" s="1"/>
      <c r="V55" s="1"/>
      <c r="W55" s="1"/>
      <c r="X55" s="1"/>
      <c r="Y55" s="1"/>
      <c r="Z55" s="173" t="s">
        <v>299</v>
      </c>
      <c r="AA55" s="1"/>
      <c r="AB55" s="1"/>
      <c r="AC55" s="1"/>
      <c r="AD55" s="1"/>
    </row>
    <row r="56" spans="13:30" x14ac:dyDescent="0.25">
      <c r="M56" s="1"/>
      <c r="N56" s="1"/>
      <c r="O56" s="173" t="s">
        <v>97</v>
      </c>
      <c r="P56" s="1"/>
      <c r="Q56" s="173" t="s">
        <v>137</v>
      </c>
      <c r="R56" s="173" t="s">
        <v>159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73" t="s">
        <v>98</v>
      </c>
      <c r="P57" s="1"/>
      <c r="Q57" s="173" t="s">
        <v>138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73" t="s">
        <v>99</v>
      </c>
      <c r="P58" s="1"/>
      <c r="Q58" s="173" t="s">
        <v>139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73" t="s">
        <v>604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73" t="s">
        <v>605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73" t="s">
        <v>606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73" t="s">
        <v>100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211" customFormat="1" ht="3.75" customHeight="1" x14ac:dyDescent="0.2"/>
    <row r="2" spans="1:69" s="211" customFormat="1" ht="24" customHeight="1" x14ac:dyDescent="0.2">
      <c r="A2" s="340" t="s">
        <v>19</v>
      </c>
      <c r="B2" s="341" t="s">
        <v>20</v>
      </c>
      <c r="C2" s="341" t="s">
        <v>21</v>
      </c>
      <c r="D2" s="342" t="s">
        <v>22</v>
      </c>
      <c r="E2" s="212"/>
      <c r="F2" s="344" t="s">
        <v>23</v>
      </c>
      <c r="G2" s="343" t="s">
        <v>24</v>
      </c>
      <c r="H2" s="213"/>
      <c r="I2" s="343" t="s">
        <v>25</v>
      </c>
      <c r="J2" s="344" t="s">
        <v>26</v>
      </c>
      <c r="K2" s="213"/>
      <c r="L2" s="345" t="s">
        <v>27</v>
      </c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214"/>
      <c r="X2" s="346" t="s">
        <v>28</v>
      </c>
      <c r="Y2" s="346"/>
      <c r="Z2" s="346"/>
      <c r="AA2" s="346"/>
      <c r="AB2" s="346"/>
      <c r="AC2" s="346"/>
      <c r="AD2" s="346"/>
      <c r="AE2" s="346"/>
      <c r="AF2" s="346"/>
      <c r="AG2" s="215"/>
      <c r="AH2" s="347" t="s">
        <v>29</v>
      </c>
      <c r="AI2" s="347"/>
      <c r="AJ2" s="347"/>
      <c r="AK2" s="347"/>
      <c r="AL2" s="347"/>
      <c r="AM2" s="347"/>
      <c r="AN2" s="347"/>
      <c r="AO2" s="347"/>
      <c r="AP2" s="347"/>
      <c r="AQ2" s="216"/>
      <c r="AR2" s="348" t="s">
        <v>30</v>
      </c>
      <c r="AS2" s="348"/>
      <c r="AT2" s="348"/>
      <c r="AU2" s="348"/>
      <c r="AV2" s="348"/>
      <c r="AW2" s="348"/>
      <c r="AX2" s="348"/>
      <c r="AY2" s="348"/>
      <c r="AZ2" s="348"/>
      <c r="BA2" s="216"/>
      <c r="BB2" s="336" t="s">
        <v>31</v>
      </c>
      <c r="BC2" s="336"/>
      <c r="BD2" s="336"/>
      <c r="BE2" s="336"/>
      <c r="BF2" s="336"/>
      <c r="BG2" s="336"/>
      <c r="BH2" s="336"/>
      <c r="BI2" s="336"/>
      <c r="BJ2" s="336"/>
      <c r="BK2" s="217"/>
      <c r="BL2" s="337" t="s">
        <v>32</v>
      </c>
      <c r="BM2" s="337"/>
      <c r="BN2" s="337"/>
      <c r="BO2" s="337"/>
      <c r="BP2" s="337"/>
      <c r="BQ2" s="337"/>
    </row>
    <row r="3" spans="1:69" s="211" customFormat="1" ht="20.25" customHeight="1" x14ac:dyDescent="0.2">
      <c r="A3" s="340"/>
      <c r="B3" s="341"/>
      <c r="C3" s="341"/>
      <c r="D3" s="342"/>
      <c r="E3" s="212"/>
      <c r="F3" s="344"/>
      <c r="G3" s="343"/>
      <c r="H3" s="213"/>
      <c r="I3" s="343"/>
      <c r="J3" s="344"/>
      <c r="K3" s="213"/>
      <c r="L3" s="345" t="s">
        <v>685</v>
      </c>
      <c r="M3" s="345"/>
      <c r="N3" s="345"/>
      <c r="O3" s="345"/>
      <c r="P3" s="345"/>
      <c r="Q3" s="345"/>
      <c r="R3" s="345"/>
      <c r="S3" s="345"/>
      <c r="T3" s="345"/>
      <c r="U3" s="345"/>
      <c r="V3" s="345"/>
      <c r="W3" s="214"/>
      <c r="X3" s="346" t="s">
        <v>686</v>
      </c>
      <c r="Y3" s="346"/>
      <c r="Z3" s="346"/>
      <c r="AA3" s="346"/>
      <c r="AB3" s="346"/>
      <c r="AC3" s="346"/>
      <c r="AD3" s="346"/>
      <c r="AE3" s="346"/>
      <c r="AF3" s="346"/>
      <c r="AG3" s="214"/>
      <c r="AH3" s="347" t="s">
        <v>687</v>
      </c>
      <c r="AI3" s="347"/>
      <c r="AJ3" s="347"/>
      <c r="AK3" s="347"/>
      <c r="AL3" s="347"/>
      <c r="AM3" s="347"/>
      <c r="AN3" s="347"/>
      <c r="AO3" s="347"/>
      <c r="AP3" s="347"/>
      <c r="AQ3" s="214"/>
      <c r="AR3" s="348" t="s">
        <v>620</v>
      </c>
      <c r="AS3" s="348"/>
      <c r="AT3" s="348"/>
      <c r="AU3" s="348"/>
      <c r="AV3" s="348"/>
      <c r="AW3" s="348"/>
      <c r="AX3" s="348"/>
      <c r="AY3" s="348"/>
      <c r="AZ3" s="348"/>
      <c r="BA3" s="214"/>
      <c r="BB3" s="336" t="s">
        <v>687</v>
      </c>
      <c r="BC3" s="336"/>
      <c r="BD3" s="336"/>
      <c r="BE3" s="336"/>
      <c r="BF3" s="336"/>
      <c r="BG3" s="336"/>
      <c r="BH3" s="336"/>
      <c r="BI3" s="336"/>
      <c r="BJ3" s="336"/>
      <c r="BK3" s="217"/>
      <c r="BL3" s="337" t="s">
        <v>33</v>
      </c>
      <c r="BM3" s="337"/>
      <c r="BN3" s="337"/>
      <c r="BO3" s="337"/>
      <c r="BP3" s="337"/>
      <c r="BQ3" s="337"/>
    </row>
    <row r="4" spans="1:69" s="211" customFormat="1" ht="20.25" customHeight="1" x14ac:dyDescent="0.2">
      <c r="A4" s="340"/>
      <c r="B4" s="341"/>
      <c r="C4" s="341"/>
      <c r="D4" s="342"/>
      <c r="E4" s="212"/>
      <c r="F4" s="344"/>
      <c r="G4" s="343"/>
      <c r="H4" s="213"/>
      <c r="I4" s="343"/>
      <c r="J4" s="344"/>
      <c r="K4" s="213"/>
      <c r="L4" s="339" t="s">
        <v>34</v>
      </c>
      <c r="M4" s="339" t="s">
        <v>35</v>
      </c>
      <c r="N4" s="339" t="s">
        <v>36</v>
      </c>
      <c r="O4" s="339" t="s">
        <v>37</v>
      </c>
      <c r="P4" s="339" t="s">
        <v>38</v>
      </c>
      <c r="Q4" s="339" t="s">
        <v>39</v>
      </c>
      <c r="R4" s="339" t="s">
        <v>40</v>
      </c>
      <c r="S4" s="339" t="s">
        <v>41</v>
      </c>
      <c r="T4" s="339" t="s">
        <v>42</v>
      </c>
      <c r="U4" s="339" t="s">
        <v>43</v>
      </c>
      <c r="V4" s="339" t="s">
        <v>44</v>
      </c>
      <c r="W4" s="214"/>
      <c r="X4" s="333" t="s">
        <v>45</v>
      </c>
      <c r="Y4" s="333" t="s">
        <v>37</v>
      </c>
      <c r="Z4" s="333" t="s">
        <v>38</v>
      </c>
      <c r="AA4" s="333" t="s">
        <v>39</v>
      </c>
      <c r="AB4" s="333" t="s">
        <v>40</v>
      </c>
      <c r="AC4" s="333" t="s">
        <v>41</v>
      </c>
      <c r="AD4" s="333" t="s">
        <v>42</v>
      </c>
      <c r="AE4" s="333" t="s">
        <v>43</v>
      </c>
      <c r="AF4" s="333" t="s">
        <v>44</v>
      </c>
      <c r="AG4" s="214"/>
      <c r="AH4" s="334" t="s">
        <v>46</v>
      </c>
      <c r="AI4" s="334" t="s">
        <v>37</v>
      </c>
      <c r="AJ4" s="334" t="s">
        <v>38</v>
      </c>
      <c r="AK4" s="334" t="s">
        <v>39</v>
      </c>
      <c r="AL4" s="334" t="s">
        <v>40</v>
      </c>
      <c r="AM4" s="334" t="s">
        <v>41</v>
      </c>
      <c r="AN4" s="334" t="s">
        <v>42</v>
      </c>
      <c r="AO4" s="334" t="s">
        <v>43</v>
      </c>
      <c r="AP4" s="334" t="s">
        <v>44</v>
      </c>
      <c r="AQ4" s="214"/>
      <c r="AR4" s="335" t="s">
        <v>47</v>
      </c>
      <c r="AS4" s="335" t="s">
        <v>37</v>
      </c>
      <c r="AT4" s="335" t="s">
        <v>38</v>
      </c>
      <c r="AU4" s="335" t="s">
        <v>39</v>
      </c>
      <c r="AV4" s="335" t="s">
        <v>40</v>
      </c>
      <c r="AW4" s="335" t="s">
        <v>41</v>
      </c>
      <c r="AX4" s="335" t="s">
        <v>42</v>
      </c>
      <c r="AY4" s="335" t="s">
        <v>43</v>
      </c>
      <c r="AZ4" s="335" t="s">
        <v>44</v>
      </c>
      <c r="BA4" s="214"/>
      <c r="BB4" s="338" t="s">
        <v>48</v>
      </c>
      <c r="BC4" s="338" t="s">
        <v>37</v>
      </c>
      <c r="BD4" s="338" t="s">
        <v>38</v>
      </c>
      <c r="BE4" s="338" t="s">
        <v>39</v>
      </c>
      <c r="BF4" s="338" t="s">
        <v>40</v>
      </c>
      <c r="BG4" s="338" t="s">
        <v>41</v>
      </c>
      <c r="BH4" s="338" t="s">
        <v>42</v>
      </c>
      <c r="BI4" s="338" t="s">
        <v>43</v>
      </c>
      <c r="BJ4" s="338" t="s">
        <v>44</v>
      </c>
      <c r="BK4" s="217"/>
      <c r="BL4" s="332" t="s">
        <v>49</v>
      </c>
      <c r="BM4" s="332" t="s">
        <v>50</v>
      </c>
      <c r="BN4" s="332" t="s">
        <v>42</v>
      </c>
      <c r="BO4" s="332" t="s">
        <v>51</v>
      </c>
      <c r="BP4" s="332" t="s">
        <v>52</v>
      </c>
      <c r="BQ4" s="332" t="s">
        <v>42</v>
      </c>
    </row>
    <row r="5" spans="1:69" s="211" customFormat="1" ht="20.25" customHeight="1" x14ac:dyDescent="0.2">
      <c r="A5" s="340"/>
      <c r="B5" s="341"/>
      <c r="C5" s="341"/>
      <c r="D5" s="218" t="s">
        <v>377</v>
      </c>
      <c r="E5" s="212"/>
      <c r="F5" s="219" t="s">
        <v>53</v>
      </c>
      <c r="G5" s="220" t="s">
        <v>53</v>
      </c>
      <c r="H5" s="213"/>
      <c r="I5" s="219" t="s">
        <v>53</v>
      </c>
      <c r="J5" s="219" t="s">
        <v>53</v>
      </c>
      <c r="K5" s="213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214"/>
      <c r="X5" s="333"/>
      <c r="Y5" s="333"/>
      <c r="Z5" s="333"/>
      <c r="AA5" s="333"/>
      <c r="AB5" s="333"/>
      <c r="AC5" s="333"/>
      <c r="AD5" s="333"/>
      <c r="AE5" s="333"/>
      <c r="AF5" s="333"/>
      <c r="AG5" s="214"/>
      <c r="AH5" s="334"/>
      <c r="AI5" s="334"/>
      <c r="AJ5" s="334"/>
      <c r="AK5" s="334"/>
      <c r="AL5" s="334"/>
      <c r="AM5" s="334"/>
      <c r="AN5" s="334"/>
      <c r="AO5" s="334"/>
      <c r="AP5" s="334"/>
      <c r="AQ5" s="214"/>
      <c r="AR5" s="335"/>
      <c r="AS5" s="335"/>
      <c r="AT5" s="335"/>
      <c r="AU5" s="335"/>
      <c r="AV5" s="335"/>
      <c r="AW5" s="335"/>
      <c r="AX5" s="335"/>
      <c r="AY5" s="335"/>
      <c r="AZ5" s="335"/>
      <c r="BA5" s="214"/>
      <c r="BB5" s="338"/>
      <c r="BC5" s="338"/>
      <c r="BD5" s="338"/>
      <c r="BE5" s="338"/>
      <c r="BF5" s="338"/>
      <c r="BG5" s="338"/>
      <c r="BH5" s="338"/>
      <c r="BI5" s="338"/>
      <c r="BJ5" s="338"/>
      <c r="BK5" s="217"/>
      <c r="BL5" s="332"/>
      <c r="BM5" s="332"/>
      <c r="BN5" s="332"/>
      <c r="BO5" s="332"/>
      <c r="BP5" s="332"/>
      <c r="BQ5" s="332"/>
    </row>
    <row r="6" spans="1:69" s="211" customFormat="1" ht="22.35" customHeight="1" x14ac:dyDescent="0.2">
      <c r="A6" s="221" t="s">
        <v>4</v>
      </c>
      <c r="B6" s="221" t="s">
        <v>0</v>
      </c>
      <c r="C6" s="221" t="s">
        <v>5</v>
      </c>
      <c r="D6" s="222">
        <v>1.89995189988889</v>
      </c>
      <c r="E6" s="223"/>
      <c r="F6" s="224">
        <v>4.2000000000000003E-2</v>
      </c>
      <c r="G6" s="224">
        <v>2.4E-2</v>
      </c>
      <c r="H6" s="225"/>
      <c r="I6" s="226">
        <v>5</v>
      </c>
      <c r="J6" s="226">
        <v>4</v>
      </c>
      <c r="K6" s="223"/>
      <c r="L6" s="227">
        <v>60.838459999999998</v>
      </c>
      <c r="M6" s="227">
        <v>260.94430999999997</v>
      </c>
      <c r="N6" s="227">
        <v>321.78277000000003</v>
      </c>
      <c r="O6" s="222">
        <v>169.363640215743</v>
      </c>
      <c r="P6" s="228">
        <v>234.65600000000001</v>
      </c>
      <c r="Q6" s="229">
        <v>0.72175286468593802</v>
      </c>
      <c r="R6" s="230">
        <v>-165.06917341819701</v>
      </c>
      <c r="S6" s="224"/>
      <c r="T6" s="224"/>
      <c r="U6" s="231">
        <v>125</v>
      </c>
      <c r="V6" s="232">
        <v>214</v>
      </c>
      <c r="W6" s="223"/>
      <c r="X6" s="231">
        <v>1529.2224349999999</v>
      </c>
      <c r="Y6" s="222">
        <v>804.87428923302195</v>
      </c>
      <c r="Z6" s="233">
        <v>573</v>
      </c>
      <c r="AA6" s="234">
        <v>1.4046671714363399</v>
      </c>
      <c r="AB6" s="235">
        <v>340.39213200912297</v>
      </c>
      <c r="AC6" s="224">
        <v>0.02</v>
      </c>
      <c r="AD6" s="224">
        <v>0.02</v>
      </c>
      <c r="AE6" s="232">
        <v>0</v>
      </c>
      <c r="AF6" s="232">
        <v>0</v>
      </c>
      <c r="AG6" s="223"/>
      <c r="AH6" s="236">
        <v>116.1</v>
      </c>
      <c r="AI6" s="222">
        <v>61.106810128608799</v>
      </c>
      <c r="AJ6" s="237" t="s">
        <v>54</v>
      </c>
      <c r="AK6" s="238">
        <v>0.96994936712077495</v>
      </c>
      <c r="AL6" s="239">
        <v>-14.6090909047561</v>
      </c>
      <c r="AM6" s="224">
        <v>7.0000000000000001E-3</v>
      </c>
      <c r="AN6" s="224"/>
      <c r="AO6" s="232">
        <v>4</v>
      </c>
      <c r="AP6" s="232">
        <v>28</v>
      </c>
      <c r="AQ6" s="223"/>
      <c r="AR6" s="236">
        <v>20.2</v>
      </c>
      <c r="AS6" s="222">
        <v>10.631848101618401</v>
      </c>
      <c r="AT6" s="237" t="s">
        <v>55</v>
      </c>
      <c r="AU6" s="229">
        <v>0.66449050635115103</v>
      </c>
      <c r="AV6" s="230">
        <v>-12.9959595948587</v>
      </c>
      <c r="AW6" s="224"/>
      <c r="AX6" s="224"/>
      <c r="AY6" s="232">
        <v>11</v>
      </c>
      <c r="AZ6" s="232">
        <v>17</v>
      </c>
      <c r="BA6" s="223"/>
      <c r="BB6" s="240">
        <v>63.4</v>
      </c>
      <c r="BC6" s="236">
        <v>33.369265823891503</v>
      </c>
      <c r="BD6" s="237" t="s">
        <v>56</v>
      </c>
      <c r="BE6" s="238">
        <v>1.0427895569966099</v>
      </c>
      <c r="BF6" s="239">
        <v>-2.99191918971739</v>
      </c>
      <c r="BG6" s="224">
        <v>1.4999999999999999E-2</v>
      </c>
      <c r="BH6" s="224">
        <v>4.0000000000000001E-3</v>
      </c>
      <c r="BI6" s="232">
        <v>0</v>
      </c>
      <c r="BJ6" s="232">
        <v>10</v>
      </c>
      <c r="BK6" s="225"/>
      <c r="BL6" s="241">
        <v>0.8</v>
      </c>
      <c r="BM6" s="238">
        <v>0.84</v>
      </c>
      <c r="BN6" s="242">
        <v>1.5E-3</v>
      </c>
      <c r="BO6" s="243">
        <v>0.95</v>
      </c>
      <c r="BP6" s="234">
        <v>1</v>
      </c>
      <c r="BQ6" s="242">
        <v>2.5000000000000001E-3</v>
      </c>
    </row>
    <row r="7" spans="1:69" s="211" customFormat="1" ht="22.35" customHeight="1" x14ac:dyDescent="0.2">
      <c r="A7" s="221" t="s">
        <v>4</v>
      </c>
      <c r="B7" s="221" t="s">
        <v>0</v>
      </c>
      <c r="C7" s="221" t="s">
        <v>57</v>
      </c>
      <c r="D7" s="222">
        <v>9.1914924981111099</v>
      </c>
      <c r="E7" s="223"/>
      <c r="F7" s="224">
        <v>0.05</v>
      </c>
      <c r="G7" s="224">
        <v>4.1000000000000002E-2</v>
      </c>
      <c r="H7" s="225"/>
      <c r="I7" s="226">
        <v>5</v>
      </c>
      <c r="J7" s="226">
        <v>5</v>
      </c>
      <c r="K7" s="223"/>
      <c r="L7" s="227">
        <v>3383.2582299999999</v>
      </c>
      <c r="M7" s="227">
        <v>5954.9999200000002</v>
      </c>
      <c r="N7" s="227">
        <v>9338.2581499999997</v>
      </c>
      <c r="O7" s="222">
        <v>1015.9675539004199</v>
      </c>
      <c r="P7" s="228">
        <v>244.07400000000001</v>
      </c>
      <c r="Q7" s="234">
        <v>4.1625390410302598</v>
      </c>
      <c r="R7" s="235">
        <v>6888.4606107375002</v>
      </c>
      <c r="S7" s="224">
        <v>0.01</v>
      </c>
      <c r="T7" s="224">
        <v>0.01</v>
      </c>
      <c r="U7" s="231">
        <v>0</v>
      </c>
      <c r="V7" s="232">
        <v>0</v>
      </c>
      <c r="W7" s="223"/>
      <c r="X7" s="231">
        <v>5839.916295</v>
      </c>
      <c r="Y7" s="222">
        <v>635.36104677234198</v>
      </c>
      <c r="Z7" s="233">
        <v>573</v>
      </c>
      <c r="AA7" s="234">
        <v>1.10883254236011</v>
      </c>
      <c r="AB7" s="235">
        <v>88.652375051909104</v>
      </c>
      <c r="AC7" s="224">
        <v>0.02</v>
      </c>
      <c r="AD7" s="224">
        <v>1.0999999999999999E-2</v>
      </c>
      <c r="AE7" s="232">
        <v>0</v>
      </c>
      <c r="AF7" s="232">
        <v>481</v>
      </c>
      <c r="AG7" s="223"/>
      <c r="AH7" s="236">
        <v>460.15</v>
      </c>
      <c r="AI7" s="222">
        <v>50.062598657896203</v>
      </c>
      <c r="AJ7" s="237" t="s">
        <v>54</v>
      </c>
      <c r="AK7" s="244">
        <v>0.79464442314120898</v>
      </c>
      <c r="AL7" s="227">
        <v>-172.18791790005201</v>
      </c>
      <c r="AM7" s="224"/>
      <c r="AN7" s="224"/>
      <c r="AO7" s="232">
        <v>119</v>
      </c>
      <c r="AP7" s="232">
        <v>235</v>
      </c>
      <c r="AQ7" s="223"/>
      <c r="AR7" s="236">
        <v>71.7</v>
      </c>
      <c r="AS7" s="222">
        <v>7.8006917826168802</v>
      </c>
      <c r="AT7" s="237" t="s">
        <v>55</v>
      </c>
      <c r="AU7" s="229">
        <v>0.48754323641355501</v>
      </c>
      <c r="AV7" s="230">
        <v>-88.893756926997298</v>
      </c>
      <c r="AW7" s="224"/>
      <c r="AX7" s="224"/>
      <c r="AY7" s="232">
        <v>76</v>
      </c>
      <c r="AZ7" s="232">
        <v>105</v>
      </c>
      <c r="BA7" s="223"/>
      <c r="BB7" s="240">
        <v>369</v>
      </c>
      <c r="BC7" s="236">
        <v>40.145819634388097</v>
      </c>
      <c r="BD7" s="237" t="s">
        <v>56</v>
      </c>
      <c r="BE7" s="234">
        <v>1.25455686357463</v>
      </c>
      <c r="BF7" s="235">
        <v>47.812486146005398</v>
      </c>
      <c r="BG7" s="224">
        <v>0.02</v>
      </c>
      <c r="BH7" s="224">
        <v>0.02</v>
      </c>
      <c r="BI7" s="232">
        <v>0</v>
      </c>
      <c r="BJ7" s="232">
        <v>0</v>
      </c>
      <c r="BK7" s="225"/>
      <c r="BL7" s="241">
        <v>0.8</v>
      </c>
      <c r="BM7" s="238">
        <v>0.82</v>
      </c>
      <c r="BN7" s="242">
        <v>7.5000000000000002E-4</v>
      </c>
      <c r="BO7" s="243">
        <v>0.95</v>
      </c>
      <c r="BP7" s="234">
        <v>1</v>
      </c>
      <c r="BQ7" s="242">
        <v>2.5000000000000001E-3</v>
      </c>
    </row>
    <row r="8" spans="1:69" s="211" customFormat="1" ht="22.35" customHeight="1" x14ac:dyDescent="0.2">
      <c r="A8" s="221" t="s">
        <v>4</v>
      </c>
      <c r="B8" s="221" t="s">
        <v>0</v>
      </c>
      <c r="C8" s="221" t="s">
        <v>58</v>
      </c>
      <c r="D8" s="222">
        <v>2.4137029143333302</v>
      </c>
      <c r="E8" s="223"/>
      <c r="F8" s="224">
        <v>5.2999999999999999E-2</v>
      </c>
      <c r="G8" s="224">
        <v>0.05</v>
      </c>
      <c r="H8" s="225"/>
      <c r="I8" s="226">
        <v>6</v>
      </c>
      <c r="J8" s="226">
        <v>5</v>
      </c>
      <c r="K8" s="223"/>
      <c r="L8" s="227">
        <v>963.30571999999995</v>
      </c>
      <c r="M8" s="227">
        <v>715.49803999999995</v>
      </c>
      <c r="N8" s="227">
        <v>1678.80376</v>
      </c>
      <c r="O8" s="222">
        <v>695.53040269816597</v>
      </c>
      <c r="P8" s="228">
        <v>214.66499999999999</v>
      </c>
      <c r="Q8" s="234">
        <v>3.24007361562512</v>
      </c>
      <c r="R8" s="235">
        <v>1112.99757057294</v>
      </c>
      <c r="S8" s="224">
        <v>0.01</v>
      </c>
      <c r="T8" s="224">
        <v>0.01</v>
      </c>
      <c r="U8" s="231">
        <v>0</v>
      </c>
      <c r="V8" s="232">
        <v>0</v>
      </c>
      <c r="W8" s="223"/>
      <c r="X8" s="231">
        <v>2162.5623449999998</v>
      </c>
      <c r="Y8" s="222">
        <v>895.95216219776603</v>
      </c>
      <c r="Z8" s="233">
        <v>573</v>
      </c>
      <c r="AA8" s="234">
        <v>1.56361633891408</v>
      </c>
      <c r="AB8" s="235">
        <v>652.26981225500595</v>
      </c>
      <c r="AC8" s="224">
        <v>0.02</v>
      </c>
      <c r="AD8" s="224">
        <v>0.02</v>
      </c>
      <c r="AE8" s="232">
        <v>0</v>
      </c>
      <c r="AF8" s="232">
        <v>0</v>
      </c>
      <c r="AG8" s="223"/>
      <c r="AH8" s="236">
        <v>102.85</v>
      </c>
      <c r="AI8" s="222">
        <v>42.610877829762799</v>
      </c>
      <c r="AJ8" s="237" t="s">
        <v>54</v>
      </c>
      <c r="AK8" s="229">
        <v>0.67636314015496402</v>
      </c>
      <c r="AL8" s="230">
        <v>-63.203105694475802</v>
      </c>
      <c r="AM8" s="224"/>
      <c r="AN8" s="224"/>
      <c r="AO8" s="232">
        <v>50</v>
      </c>
      <c r="AP8" s="232">
        <v>80</v>
      </c>
      <c r="AQ8" s="223"/>
      <c r="AR8" s="236">
        <v>37.1</v>
      </c>
      <c r="AS8" s="222">
        <v>15.3705743070899</v>
      </c>
      <c r="AT8" s="237" t="s">
        <v>55</v>
      </c>
      <c r="AU8" s="238">
        <v>0.96066089419311995</v>
      </c>
      <c r="AV8" s="239">
        <v>-5.0722173192319397</v>
      </c>
      <c r="AW8" s="224">
        <v>3.0000000000000001E-3</v>
      </c>
      <c r="AX8" s="224"/>
      <c r="AY8" s="232">
        <v>2</v>
      </c>
      <c r="AZ8" s="232">
        <v>10</v>
      </c>
      <c r="BA8" s="223"/>
      <c r="BB8" s="240">
        <v>104.8</v>
      </c>
      <c r="BC8" s="236">
        <v>43.4187651585721</v>
      </c>
      <c r="BD8" s="237" t="s">
        <v>56</v>
      </c>
      <c r="BE8" s="234">
        <v>1.3568364112053799</v>
      </c>
      <c r="BF8" s="235">
        <v>20.455565361536099</v>
      </c>
      <c r="BG8" s="224">
        <v>0.02</v>
      </c>
      <c r="BH8" s="224">
        <v>0.02</v>
      </c>
      <c r="BI8" s="232">
        <v>0</v>
      </c>
      <c r="BJ8" s="232">
        <v>0</v>
      </c>
      <c r="BK8" s="225"/>
      <c r="BL8" s="241">
        <v>0.8</v>
      </c>
      <c r="BM8" s="238">
        <v>0.88</v>
      </c>
      <c r="BN8" s="242">
        <v>3.0000000000000001E-3</v>
      </c>
      <c r="BO8" s="243">
        <v>0.95</v>
      </c>
      <c r="BP8" s="234">
        <v>1</v>
      </c>
      <c r="BQ8" s="242">
        <v>2.5000000000000001E-3</v>
      </c>
    </row>
    <row r="9" spans="1:69" s="211" customFormat="1" ht="22.35" customHeight="1" x14ac:dyDescent="0.2">
      <c r="A9" s="221" t="s">
        <v>4</v>
      </c>
      <c r="B9" s="221" t="s">
        <v>0</v>
      </c>
      <c r="C9" s="221" t="s">
        <v>59</v>
      </c>
      <c r="D9" s="222">
        <v>2.8152337733333299</v>
      </c>
      <c r="E9" s="223"/>
      <c r="F9" s="224">
        <v>1E-3</v>
      </c>
      <c r="G9" s="224"/>
      <c r="H9" s="225"/>
      <c r="I9" s="226">
        <v>3</v>
      </c>
      <c r="J9" s="226">
        <v>2</v>
      </c>
      <c r="K9" s="223"/>
      <c r="L9" s="227">
        <v>853.57285000000002</v>
      </c>
      <c r="M9" s="227">
        <v>-737.29097000000002</v>
      </c>
      <c r="N9" s="227">
        <v>116.28188</v>
      </c>
      <c r="O9" s="222">
        <v>41.3045201082247</v>
      </c>
      <c r="P9" s="228">
        <v>212.5</v>
      </c>
      <c r="Q9" s="229">
        <v>0.19437421227399901</v>
      </c>
      <c r="R9" s="230">
        <v>-536.99311710199902</v>
      </c>
      <c r="S9" s="224"/>
      <c r="T9" s="224"/>
      <c r="U9" s="231">
        <v>482</v>
      </c>
      <c r="V9" s="232">
        <v>602</v>
      </c>
      <c r="W9" s="223"/>
      <c r="X9" s="231">
        <v>1484.1061400000001</v>
      </c>
      <c r="Y9" s="222">
        <v>527.16976972138502</v>
      </c>
      <c r="Z9" s="233">
        <v>573</v>
      </c>
      <c r="AA9" s="238">
        <v>0.92001705012458201</v>
      </c>
      <c r="AB9" s="239">
        <v>-277.43067571503798</v>
      </c>
      <c r="AC9" s="224">
        <v>1E-3</v>
      </c>
      <c r="AD9" s="224"/>
      <c r="AE9" s="232">
        <v>130</v>
      </c>
      <c r="AF9" s="232">
        <v>452</v>
      </c>
      <c r="AG9" s="223"/>
      <c r="AH9" s="236">
        <v>96</v>
      </c>
      <c r="AI9" s="222">
        <v>34.100187668014797</v>
      </c>
      <c r="AJ9" s="237" t="s">
        <v>54</v>
      </c>
      <c r="AK9" s="229">
        <v>0.541272820127218</v>
      </c>
      <c r="AL9" s="230">
        <v>-97.676822670239702</v>
      </c>
      <c r="AM9" s="224"/>
      <c r="AN9" s="224"/>
      <c r="AO9" s="232">
        <v>82</v>
      </c>
      <c r="AP9" s="232">
        <v>117</v>
      </c>
      <c r="AQ9" s="223"/>
      <c r="AR9" s="236">
        <v>7</v>
      </c>
      <c r="AS9" s="222">
        <v>2.4864720174594099</v>
      </c>
      <c r="AT9" s="237" t="s">
        <v>55</v>
      </c>
      <c r="AU9" s="229">
        <v>0.15540450109121301</v>
      </c>
      <c r="AV9" s="230">
        <v>-42.1877644876799</v>
      </c>
      <c r="AW9" s="224"/>
      <c r="AX9" s="224"/>
      <c r="AY9" s="232">
        <v>39</v>
      </c>
      <c r="AZ9" s="232">
        <v>48</v>
      </c>
      <c r="BA9" s="223"/>
      <c r="BB9" s="240">
        <v>81</v>
      </c>
      <c r="BC9" s="236">
        <v>28.7720333448875</v>
      </c>
      <c r="BD9" s="237" t="s">
        <v>56</v>
      </c>
      <c r="BE9" s="244">
        <v>0.89912604202773305</v>
      </c>
      <c r="BF9" s="227">
        <v>-17.375528975359899</v>
      </c>
      <c r="BG9" s="224"/>
      <c r="BH9" s="224"/>
      <c r="BI9" s="232">
        <v>10</v>
      </c>
      <c r="BJ9" s="232">
        <v>28</v>
      </c>
      <c r="BK9" s="225"/>
      <c r="BL9" s="241">
        <v>0.8</v>
      </c>
      <c r="BM9" s="238">
        <v>0.82</v>
      </c>
      <c r="BN9" s="242">
        <v>7.5000000000000002E-4</v>
      </c>
      <c r="BO9" s="243">
        <v>0.95</v>
      </c>
      <c r="BP9" s="234">
        <v>1</v>
      </c>
      <c r="BQ9" s="242">
        <v>2.5000000000000001E-3</v>
      </c>
    </row>
    <row r="10" spans="1:69" s="211" customFormat="1" ht="22.35" customHeight="1" x14ac:dyDescent="0.2">
      <c r="A10" s="221" t="s">
        <v>4</v>
      </c>
      <c r="B10" s="221" t="s">
        <v>0</v>
      </c>
      <c r="C10" s="221" t="s">
        <v>60</v>
      </c>
      <c r="D10" s="222">
        <v>6.67734879333333</v>
      </c>
      <c r="E10" s="223"/>
      <c r="F10" s="224">
        <v>5.7000000000000002E-2</v>
      </c>
      <c r="G10" s="224">
        <v>0.04</v>
      </c>
      <c r="H10" s="225"/>
      <c r="I10" s="226">
        <v>6</v>
      </c>
      <c r="J10" s="226">
        <v>5</v>
      </c>
      <c r="K10" s="223"/>
      <c r="L10" s="227">
        <v>2698.1465199999998</v>
      </c>
      <c r="M10" s="227">
        <v>3041.2943700000001</v>
      </c>
      <c r="N10" s="227">
        <v>5739.4408899999999</v>
      </c>
      <c r="O10" s="222">
        <v>859.53887802450197</v>
      </c>
      <c r="P10" s="228">
        <v>234.65600000000001</v>
      </c>
      <c r="Q10" s="234">
        <v>3.66297421768249</v>
      </c>
      <c r="R10" s="235">
        <v>4028.4079753743199</v>
      </c>
      <c r="S10" s="224">
        <v>0.01</v>
      </c>
      <c r="T10" s="224">
        <v>0.01</v>
      </c>
      <c r="U10" s="231">
        <v>0</v>
      </c>
      <c r="V10" s="232">
        <v>0</v>
      </c>
      <c r="W10" s="223"/>
      <c r="X10" s="231">
        <v>4894.3292799999999</v>
      </c>
      <c r="Y10" s="222">
        <v>732.97493233938906</v>
      </c>
      <c r="Z10" s="233">
        <v>573</v>
      </c>
      <c r="AA10" s="234">
        <v>1.27918836359405</v>
      </c>
      <c r="AB10" s="235">
        <v>716.20530243064195</v>
      </c>
      <c r="AC10" s="224">
        <v>0.02</v>
      </c>
      <c r="AD10" s="224">
        <v>0.02</v>
      </c>
      <c r="AE10" s="232">
        <v>0</v>
      </c>
      <c r="AF10" s="232">
        <v>0</v>
      </c>
      <c r="AG10" s="223"/>
      <c r="AH10" s="236">
        <v>409.2</v>
      </c>
      <c r="AI10" s="222">
        <v>61.281806996295501</v>
      </c>
      <c r="AJ10" s="237" t="s">
        <v>54</v>
      </c>
      <c r="AK10" s="238">
        <v>0.97272709517929301</v>
      </c>
      <c r="AL10" s="239">
        <v>-50.174887586159699</v>
      </c>
      <c r="AM10" s="224">
        <v>7.0000000000000001E-3</v>
      </c>
      <c r="AN10" s="224"/>
      <c r="AO10" s="232">
        <v>12</v>
      </c>
      <c r="AP10" s="232">
        <v>96</v>
      </c>
      <c r="AQ10" s="223"/>
      <c r="AR10" s="236">
        <v>52.7</v>
      </c>
      <c r="AS10" s="222">
        <v>7.8923539313410904</v>
      </c>
      <c r="AT10" s="237" t="s">
        <v>55</v>
      </c>
      <c r="AU10" s="229">
        <v>0.49327212070881798</v>
      </c>
      <c r="AV10" s="230">
        <v>-63.966638117119899</v>
      </c>
      <c r="AW10" s="224"/>
      <c r="AX10" s="224"/>
      <c r="AY10" s="232">
        <v>55</v>
      </c>
      <c r="AZ10" s="232">
        <v>76</v>
      </c>
      <c r="BA10" s="223"/>
      <c r="BB10" s="240">
        <v>235.8</v>
      </c>
      <c r="BC10" s="236">
        <v>35.313416641560302</v>
      </c>
      <c r="BD10" s="237" t="s">
        <v>56</v>
      </c>
      <c r="BE10" s="234">
        <v>1.1035442700487601</v>
      </c>
      <c r="BF10" s="235">
        <v>2.46672376576015</v>
      </c>
      <c r="BG10" s="224">
        <v>0.02</v>
      </c>
      <c r="BH10" s="224">
        <v>0.01</v>
      </c>
      <c r="BI10" s="232">
        <v>0</v>
      </c>
      <c r="BJ10" s="232">
        <v>21</v>
      </c>
      <c r="BK10" s="225"/>
      <c r="BL10" s="241">
        <v>0.8</v>
      </c>
      <c r="BM10" s="238">
        <v>0.85</v>
      </c>
      <c r="BN10" s="242">
        <v>1.8749999999999999E-3</v>
      </c>
      <c r="BO10" s="243">
        <v>0.95</v>
      </c>
      <c r="BP10" s="234">
        <v>1</v>
      </c>
      <c r="BQ10" s="242">
        <v>2.5000000000000001E-3</v>
      </c>
    </row>
    <row r="11" spans="1:69" s="211" customFormat="1" ht="22.35" customHeight="1" x14ac:dyDescent="0.2">
      <c r="A11" s="221" t="s">
        <v>4</v>
      </c>
      <c r="B11" s="221" t="s">
        <v>0</v>
      </c>
      <c r="C11" s="221" t="s">
        <v>61</v>
      </c>
      <c r="D11" s="222">
        <v>2.0789473684444402</v>
      </c>
      <c r="E11" s="223"/>
      <c r="F11" s="224">
        <v>5.1999999999999998E-2</v>
      </c>
      <c r="G11" s="224">
        <v>3.4000000000000002E-2</v>
      </c>
      <c r="H11" s="225"/>
      <c r="I11" s="226">
        <v>6</v>
      </c>
      <c r="J11" s="226">
        <v>5</v>
      </c>
      <c r="K11" s="223"/>
      <c r="L11" s="227">
        <v>339.20531999999997</v>
      </c>
      <c r="M11" s="227">
        <v>269.89755000000002</v>
      </c>
      <c r="N11" s="227">
        <v>609.10287000000005</v>
      </c>
      <c r="O11" s="222">
        <v>292.98619062961501</v>
      </c>
      <c r="P11" s="228">
        <v>214.66499999999999</v>
      </c>
      <c r="Q11" s="234">
        <v>1.36485309961854</v>
      </c>
      <c r="R11" s="235">
        <v>121.768127362939</v>
      </c>
      <c r="S11" s="224">
        <v>0.01</v>
      </c>
      <c r="T11" s="224">
        <v>0.01</v>
      </c>
      <c r="U11" s="231">
        <v>0</v>
      </c>
      <c r="V11" s="232">
        <v>0</v>
      </c>
      <c r="W11" s="223"/>
      <c r="X11" s="231">
        <v>1240.9584500000001</v>
      </c>
      <c r="Y11" s="222">
        <v>596.91672277809403</v>
      </c>
      <c r="Z11" s="233">
        <v>573</v>
      </c>
      <c r="AA11" s="238">
        <v>1.04173948128812</v>
      </c>
      <c r="AB11" s="239">
        <v>-59.872181593581203</v>
      </c>
      <c r="AC11" s="224">
        <v>1.4E-2</v>
      </c>
      <c r="AD11" s="224">
        <v>4.0000000000000001E-3</v>
      </c>
      <c r="AE11" s="232">
        <v>0</v>
      </c>
      <c r="AF11" s="232">
        <v>189</v>
      </c>
      <c r="AG11" s="223"/>
      <c r="AH11" s="236">
        <v>128.5</v>
      </c>
      <c r="AI11" s="222">
        <v>61.810126581582999</v>
      </c>
      <c r="AJ11" s="237" t="s">
        <v>54</v>
      </c>
      <c r="AK11" s="238">
        <v>0.98111312034258702</v>
      </c>
      <c r="AL11" s="239">
        <v>-14.523263159503699</v>
      </c>
      <c r="AM11" s="224">
        <v>8.0000000000000002E-3</v>
      </c>
      <c r="AN11" s="224"/>
      <c r="AO11" s="232">
        <v>3</v>
      </c>
      <c r="AP11" s="232">
        <v>29</v>
      </c>
      <c r="AQ11" s="223"/>
      <c r="AR11" s="236">
        <v>23.4</v>
      </c>
      <c r="AS11" s="222">
        <v>11.255696202405</v>
      </c>
      <c r="AT11" s="237" t="s">
        <v>55</v>
      </c>
      <c r="AU11" s="229">
        <v>0.70348101265031204</v>
      </c>
      <c r="AV11" s="230">
        <v>-12.9233684214613</v>
      </c>
      <c r="AW11" s="224"/>
      <c r="AX11" s="224"/>
      <c r="AY11" s="232">
        <v>10</v>
      </c>
      <c r="AZ11" s="232">
        <v>17</v>
      </c>
      <c r="BA11" s="223"/>
      <c r="BB11" s="240">
        <v>81.8</v>
      </c>
      <c r="BC11" s="236">
        <v>39.3468354425952</v>
      </c>
      <c r="BD11" s="237" t="s">
        <v>56</v>
      </c>
      <c r="BE11" s="234">
        <v>1.2295886075811</v>
      </c>
      <c r="BF11" s="235">
        <v>9.1532631570774896</v>
      </c>
      <c r="BG11" s="224">
        <v>0.02</v>
      </c>
      <c r="BH11" s="224">
        <v>0.02</v>
      </c>
      <c r="BI11" s="232">
        <v>0</v>
      </c>
      <c r="BJ11" s="232">
        <v>0</v>
      </c>
      <c r="BK11" s="225"/>
      <c r="BL11" s="241">
        <v>0.8</v>
      </c>
      <c r="BM11" s="238">
        <v>0.85</v>
      </c>
      <c r="BN11" s="242">
        <v>1.8749999999999999E-3</v>
      </c>
      <c r="BO11" s="243">
        <v>0.95</v>
      </c>
      <c r="BP11" s="234">
        <v>1</v>
      </c>
      <c r="BQ11" s="242">
        <v>2.5000000000000001E-3</v>
      </c>
    </row>
    <row r="12" spans="1:69" s="211" customFormat="1" ht="22.35" customHeight="1" x14ac:dyDescent="0.2">
      <c r="A12" s="221" t="s">
        <v>4</v>
      </c>
      <c r="B12" s="221" t="s">
        <v>0</v>
      </c>
      <c r="C12" s="221" t="s">
        <v>62</v>
      </c>
      <c r="D12" s="222">
        <v>5.4163613696666699</v>
      </c>
      <c r="E12" s="223"/>
      <c r="F12" s="224">
        <v>4.2999999999999997E-2</v>
      </c>
      <c r="G12" s="224">
        <v>2.7E-2</v>
      </c>
      <c r="H12" s="225"/>
      <c r="I12" s="226">
        <v>4</v>
      </c>
      <c r="J12" s="226">
        <v>4</v>
      </c>
      <c r="K12" s="223"/>
      <c r="L12" s="227">
        <v>1780.8915999999999</v>
      </c>
      <c r="M12" s="227">
        <v>1983.6555000000001</v>
      </c>
      <c r="N12" s="227">
        <v>3764.5470999999998</v>
      </c>
      <c r="O12" s="222">
        <v>695.032484553681</v>
      </c>
      <c r="P12" s="228">
        <v>216.447</v>
      </c>
      <c r="Q12" s="234">
        <v>3.2110977955512499</v>
      </c>
      <c r="R12" s="235">
        <v>2484.3352550367799</v>
      </c>
      <c r="S12" s="224">
        <v>0.01</v>
      </c>
      <c r="T12" s="224">
        <v>0.01</v>
      </c>
      <c r="U12" s="231">
        <v>0</v>
      </c>
      <c r="V12" s="232">
        <v>0</v>
      </c>
      <c r="W12" s="223"/>
      <c r="X12" s="231">
        <v>3185.6837999999998</v>
      </c>
      <c r="Y12" s="222">
        <v>588.15939014720004</v>
      </c>
      <c r="Z12" s="233">
        <v>573</v>
      </c>
      <c r="AA12" s="238">
        <v>1.02645617826736</v>
      </c>
      <c r="AB12" s="239">
        <v>-203.42017078235</v>
      </c>
      <c r="AC12" s="224">
        <v>1.2999999999999999E-2</v>
      </c>
      <c r="AD12" s="224">
        <v>3.0000000000000001E-3</v>
      </c>
      <c r="AE12" s="232">
        <v>0</v>
      </c>
      <c r="AF12" s="232">
        <v>539</v>
      </c>
      <c r="AG12" s="223"/>
      <c r="AH12" s="236">
        <v>290.89999999999998</v>
      </c>
      <c r="AI12" s="222">
        <v>53.707642482854197</v>
      </c>
      <c r="AJ12" s="237" t="s">
        <v>54</v>
      </c>
      <c r="AK12" s="244">
        <v>0.85250226163260701</v>
      </c>
      <c r="AL12" s="227">
        <v>-81.723996787588206</v>
      </c>
      <c r="AM12" s="224"/>
      <c r="AN12" s="224"/>
      <c r="AO12" s="232">
        <v>51</v>
      </c>
      <c r="AP12" s="232">
        <v>119</v>
      </c>
      <c r="AQ12" s="223"/>
      <c r="AR12" s="236">
        <v>43.2</v>
      </c>
      <c r="AS12" s="222">
        <v>7.9758341535211503</v>
      </c>
      <c r="AT12" s="237" t="s">
        <v>55</v>
      </c>
      <c r="AU12" s="229">
        <v>0.49848963459507201</v>
      </c>
      <c r="AV12" s="230">
        <v>-51.434665850816003</v>
      </c>
      <c r="AW12" s="224"/>
      <c r="AX12" s="224"/>
      <c r="AY12" s="232">
        <v>44</v>
      </c>
      <c r="AZ12" s="232">
        <v>61</v>
      </c>
      <c r="BA12" s="223"/>
      <c r="BB12" s="240">
        <v>198.2</v>
      </c>
      <c r="BC12" s="236">
        <v>36.592831695090098</v>
      </c>
      <c r="BD12" s="237" t="s">
        <v>56</v>
      </c>
      <c r="BE12" s="234">
        <v>1.14352599047157</v>
      </c>
      <c r="BF12" s="235">
        <v>8.9306682983679195</v>
      </c>
      <c r="BG12" s="224">
        <v>0.02</v>
      </c>
      <c r="BH12" s="224">
        <v>1.4E-2</v>
      </c>
      <c r="BI12" s="232">
        <v>0</v>
      </c>
      <c r="BJ12" s="232">
        <v>10</v>
      </c>
      <c r="BK12" s="225"/>
      <c r="BL12" s="241">
        <v>0.8</v>
      </c>
      <c r="BM12" s="244">
        <v>0.78</v>
      </c>
      <c r="BN12" s="242"/>
      <c r="BO12" s="243">
        <v>0.95</v>
      </c>
      <c r="BP12" s="234">
        <v>1</v>
      </c>
      <c r="BQ12" s="242">
        <v>2.5000000000000001E-3</v>
      </c>
    </row>
    <row r="13" spans="1:69" s="211" customFormat="1" ht="22.35" customHeight="1" x14ac:dyDescent="0.2">
      <c r="A13" s="221" t="s">
        <v>4</v>
      </c>
      <c r="B13" s="221" t="s">
        <v>0</v>
      </c>
      <c r="C13" s="221" t="s">
        <v>63</v>
      </c>
      <c r="D13" s="222">
        <v>2.5347178251111102</v>
      </c>
      <c r="E13" s="223"/>
      <c r="F13" s="224">
        <v>6.8000000000000005E-2</v>
      </c>
      <c r="G13" s="224">
        <v>5.7000000000000002E-2</v>
      </c>
      <c r="H13" s="225"/>
      <c r="I13" s="226">
        <v>6</v>
      </c>
      <c r="J13" s="226">
        <v>6</v>
      </c>
      <c r="K13" s="223"/>
      <c r="L13" s="227">
        <v>2032.6742999999999</v>
      </c>
      <c r="M13" s="227">
        <v>1569.20271</v>
      </c>
      <c r="N13" s="227">
        <v>3601.8770100000002</v>
      </c>
      <c r="O13" s="222">
        <v>1421.01695672658</v>
      </c>
      <c r="P13" s="228">
        <v>223.197</v>
      </c>
      <c r="Q13" s="234">
        <v>6.3666489994335898</v>
      </c>
      <c r="R13" s="235">
        <v>2984.0873854628298</v>
      </c>
      <c r="S13" s="224">
        <v>0.01</v>
      </c>
      <c r="T13" s="224">
        <v>0.01</v>
      </c>
      <c r="U13" s="231">
        <v>0</v>
      </c>
      <c r="V13" s="232">
        <v>0</v>
      </c>
      <c r="W13" s="223"/>
      <c r="X13" s="231">
        <v>2257.7160600000002</v>
      </c>
      <c r="Y13" s="222">
        <v>890.71692226768096</v>
      </c>
      <c r="Z13" s="233">
        <v>573</v>
      </c>
      <c r="AA13" s="234">
        <v>1.5544797945334801</v>
      </c>
      <c r="AB13" s="235">
        <v>671.70256134277702</v>
      </c>
      <c r="AC13" s="224">
        <v>0.02</v>
      </c>
      <c r="AD13" s="224">
        <v>0.02</v>
      </c>
      <c r="AE13" s="232">
        <v>0</v>
      </c>
      <c r="AF13" s="232">
        <v>0</v>
      </c>
      <c r="AG13" s="223"/>
      <c r="AH13" s="236">
        <v>170.85</v>
      </c>
      <c r="AI13" s="222">
        <v>67.403952545491194</v>
      </c>
      <c r="AJ13" s="237" t="s">
        <v>54</v>
      </c>
      <c r="AK13" s="238">
        <v>1.06990400865859</v>
      </c>
      <c r="AL13" s="239">
        <v>-3.5284474963439401</v>
      </c>
      <c r="AM13" s="224">
        <v>1.7999999999999999E-2</v>
      </c>
      <c r="AN13" s="224">
        <v>7.0000000000000001E-3</v>
      </c>
      <c r="AO13" s="232">
        <v>0</v>
      </c>
      <c r="AP13" s="232">
        <v>21</v>
      </c>
      <c r="AQ13" s="223"/>
      <c r="AR13" s="236">
        <v>34.4</v>
      </c>
      <c r="AS13" s="222">
        <v>13.571530392536699</v>
      </c>
      <c r="AT13" s="237" t="s">
        <v>55</v>
      </c>
      <c r="AU13" s="244">
        <v>0.84822064953354404</v>
      </c>
      <c r="AV13" s="227">
        <v>-9.8865898403413208</v>
      </c>
      <c r="AW13" s="224"/>
      <c r="AX13" s="224"/>
      <c r="AY13" s="232">
        <v>7</v>
      </c>
      <c r="AZ13" s="232">
        <v>15</v>
      </c>
      <c r="BA13" s="223"/>
      <c r="BB13" s="240">
        <v>146.80000000000001</v>
      </c>
      <c r="BC13" s="236">
        <v>57.915716907685699</v>
      </c>
      <c r="BD13" s="237" t="s">
        <v>56</v>
      </c>
      <c r="BE13" s="234">
        <v>1.8098661533651801</v>
      </c>
      <c r="BF13" s="235">
        <v>58.226820319317397</v>
      </c>
      <c r="BG13" s="224">
        <v>0.02</v>
      </c>
      <c r="BH13" s="224">
        <v>0.02</v>
      </c>
      <c r="BI13" s="232">
        <v>0</v>
      </c>
      <c r="BJ13" s="232">
        <v>0</v>
      </c>
      <c r="BK13" s="225"/>
      <c r="BL13" s="241">
        <v>0.8</v>
      </c>
      <c r="BM13" s="238">
        <v>0.82</v>
      </c>
      <c r="BN13" s="242">
        <v>7.5000000000000002E-4</v>
      </c>
      <c r="BO13" s="243">
        <v>0.95</v>
      </c>
      <c r="BP13" s="234">
        <v>1</v>
      </c>
      <c r="BQ13" s="242">
        <v>2.5000000000000001E-3</v>
      </c>
    </row>
    <row r="14" spans="1:69" s="211" customFormat="1" ht="22.35" customHeight="1" x14ac:dyDescent="0.2">
      <c r="A14" s="221" t="s">
        <v>4</v>
      </c>
      <c r="B14" s="221" t="s">
        <v>0</v>
      </c>
      <c r="C14" s="221" t="s">
        <v>64</v>
      </c>
      <c r="D14" s="222">
        <v>2.8184251681111099</v>
      </c>
      <c r="E14" s="223"/>
      <c r="F14" s="224">
        <v>0.02</v>
      </c>
      <c r="G14" s="224">
        <v>0.02</v>
      </c>
      <c r="H14" s="225"/>
      <c r="I14" s="226">
        <v>2</v>
      </c>
      <c r="J14" s="226">
        <v>2</v>
      </c>
      <c r="K14" s="223"/>
      <c r="L14" s="227">
        <v>1403.91356</v>
      </c>
      <c r="M14" s="227">
        <v>-1146.07194</v>
      </c>
      <c r="N14" s="227">
        <v>257.84161999999998</v>
      </c>
      <c r="O14" s="222">
        <v>91.484288075955405</v>
      </c>
      <c r="P14" s="228">
        <v>212.5</v>
      </c>
      <c r="Q14" s="229">
        <v>0.430514296828025</v>
      </c>
      <c r="R14" s="230">
        <v>-396.17394026018297</v>
      </c>
      <c r="S14" s="224"/>
      <c r="T14" s="224"/>
      <c r="U14" s="231">
        <v>342</v>
      </c>
      <c r="V14" s="232">
        <v>461</v>
      </c>
      <c r="W14" s="223"/>
      <c r="X14" s="231">
        <v>1957.2544849999999</v>
      </c>
      <c r="Y14" s="222">
        <v>694.44969025441196</v>
      </c>
      <c r="Z14" s="233">
        <v>573</v>
      </c>
      <c r="AA14" s="234">
        <v>1.21195408421363</v>
      </c>
      <c r="AB14" s="235">
        <v>193.72076251018899</v>
      </c>
      <c r="AC14" s="224">
        <v>0.02</v>
      </c>
      <c r="AD14" s="224">
        <v>0.02</v>
      </c>
      <c r="AE14" s="232">
        <v>0</v>
      </c>
      <c r="AF14" s="232">
        <v>0</v>
      </c>
      <c r="AG14" s="223"/>
      <c r="AH14" s="236">
        <v>148.69999999999999</v>
      </c>
      <c r="AI14" s="222">
        <v>52.759960307783402</v>
      </c>
      <c r="AJ14" s="237" t="s">
        <v>54</v>
      </c>
      <c r="AK14" s="244">
        <v>0.83745968742513299</v>
      </c>
      <c r="AL14" s="227">
        <v>-45.1963778653719</v>
      </c>
      <c r="AM14" s="224"/>
      <c r="AN14" s="224"/>
      <c r="AO14" s="232">
        <v>29</v>
      </c>
      <c r="AP14" s="232">
        <v>65</v>
      </c>
      <c r="AQ14" s="223"/>
      <c r="AR14" s="236">
        <v>15.3</v>
      </c>
      <c r="AS14" s="222">
        <v>5.4285635017423397</v>
      </c>
      <c r="AT14" s="237" t="s">
        <v>55</v>
      </c>
      <c r="AU14" s="229">
        <v>0.33928521885889601</v>
      </c>
      <c r="AV14" s="230">
        <v>-33.943524537237302</v>
      </c>
      <c r="AW14" s="224"/>
      <c r="AX14" s="224"/>
      <c r="AY14" s="232">
        <v>30</v>
      </c>
      <c r="AZ14" s="232">
        <v>39</v>
      </c>
      <c r="BA14" s="223"/>
      <c r="BB14" s="240">
        <v>63.4</v>
      </c>
      <c r="BC14" s="236">
        <v>22.494831765389801</v>
      </c>
      <c r="BD14" s="237" t="s">
        <v>56</v>
      </c>
      <c r="BE14" s="229">
        <v>0.70296349266843206</v>
      </c>
      <c r="BF14" s="230">
        <v>-35.087049074474599</v>
      </c>
      <c r="BG14" s="224"/>
      <c r="BH14" s="224"/>
      <c r="BI14" s="232">
        <v>27</v>
      </c>
      <c r="BJ14" s="232">
        <v>45</v>
      </c>
      <c r="BK14" s="225"/>
      <c r="BL14" s="241">
        <v>0.8</v>
      </c>
      <c r="BM14" s="244">
        <v>0.79</v>
      </c>
      <c r="BN14" s="242"/>
      <c r="BO14" s="243">
        <v>0.95</v>
      </c>
      <c r="BP14" s="234">
        <v>1</v>
      </c>
      <c r="BQ14" s="242">
        <v>2.5000000000000001E-3</v>
      </c>
    </row>
    <row r="15" spans="1:69" s="211" customFormat="1" ht="22.35" customHeight="1" x14ac:dyDescent="0.2">
      <c r="A15" s="221" t="s">
        <v>4</v>
      </c>
      <c r="B15" s="221" t="s">
        <v>65</v>
      </c>
      <c r="C15" s="221" t="s">
        <v>66</v>
      </c>
      <c r="D15" s="222">
        <v>3.6851069297777799</v>
      </c>
      <c r="E15" s="223"/>
      <c r="F15" s="224">
        <v>1.6E-2</v>
      </c>
      <c r="G15" s="224">
        <v>0.01</v>
      </c>
      <c r="H15" s="225"/>
      <c r="I15" s="226">
        <v>4</v>
      </c>
      <c r="J15" s="226">
        <v>3</v>
      </c>
      <c r="K15" s="223"/>
      <c r="L15" s="227">
        <v>2777.9721500000001</v>
      </c>
      <c r="M15" s="227">
        <v>-1574.4409499999999</v>
      </c>
      <c r="N15" s="227">
        <v>1203.5311999999999</v>
      </c>
      <c r="O15" s="222">
        <v>326.59329103174099</v>
      </c>
      <c r="P15" s="228">
        <v>231.52600000000001</v>
      </c>
      <c r="Q15" s="234">
        <v>1.4106117284095101</v>
      </c>
      <c r="R15" s="235">
        <v>271.83891081008602</v>
      </c>
      <c r="S15" s="224">
        <v>0.01</v>
      </c>
      <c r="T15" s="224">
        <v>0.01</v>
      </c>
      <c r="U15" s="231">
        <v>0</v>
      </c>
      <c r="V15" s="232">
        <v>0</v>
      </c>
      <c r="W15" s="223"/>
      <c r="X15" s="231">
        <v>2035.4282450000001</v>
      </c>
      <c r="Y15" s="222">
        <v>552.33899145573605</v>
      </c>
      <c r="Z15" s="233">
        <v>573</v>
      </c>
      <c r="AA15" s="238">
        <v>0.96394239346550703</v>
      </c>
      <c r="AB15" s="239">
        <v>-270.402122672833</v>
      </c>
      <c r="AC15" s="224">
        <v>6.0000000000000001E-3</v>
      </c>
      <c r="AD15" s="224"/>
      <c r="AE15" s="232">
        <v>77</v>
      </c>
      <c r="AF15" s="232">
        <v>499</v>
      </c>
      <c r="AG15" s="223"/>
      <c r="AH15" s="236">
        <v>170</v>
      </c>
      <c r="AI15" s="222">
        <v>46.131632877814901</v>
      </c>
      <c r="AJ15" s="237" t="s">
        <v>54</v>
      </c>
      <c r="AK15" s="244">
        <v>0.73224814091769597</v>
      </c>
      <c r="AL15" s="227">
        <v>-83.520616340992206</v>
      </c>
      <c r="AM15" s="224"/>
      <c r="AN15" s="224"/>
      <c r="AO15" s="232">
        <v>63</v>
      </c>
      <c r="AP15" s="232">
        <v>109</v>
      </c>
      <c r="AQ15" s="223"/>
      <c r="AR15" s="236">
        <v>16.600000000000001</v>
      </c>
      <c r="AS15" s="222">
        <v>4.5046182692454497</v>
      </c>
      <c r="AT15" s="237" t="s">
        <v>55</v>
      </c>
      <c r="AU15" s="229">
        <v>0.281538641827841</v>
      </c>
      <c r="AV15" s="230">
        <v>-47.7861882770774</v>
      </c>
      <c r="AW15" s="224"/>
      <c r="AX15" s="224"/>
      <c r="AY15" s="232">
        <v>43</v>
      </c>
      <c r="AZ15" s="232">
        <v>55</v>
      </c>
      <c r="BA15" s="223"/>
      <c r="BB15" s="240">
        <v>95.4</v>
      </c>
      <c r="BC15" s="236">
        <v>25.887986920844298</v>
      </c>
      <c r="BD15" s="237" t="s">
        <v>56</v>
      </c>
      <c r="BE15" s="244">
        <v>0.80899959127638599</v>
      </c>
      <c r="BF15" s="227">
        <v>-33.372376554154798</v>
      </c>
      <c r="BG15" s="224"/>
      <c r="BH15" s="224"/>
      <c r="BI15" s="232">
        <v>23</v>
      </c>
      <c r="BJ15" s="232">
        <v>47</v>
      </c>
      <c r="BK15" s="225"/>
      <c r="BL15" s="241">
        <v>0.8</v>
      </c>
      <c r="BM15" s="238">
        <v>0.81</v>
      </c>
      <c r="BN15" s="242">
        <v>3.7500000000000001E-4</v>
      </c>
      <c r="BO15" s="243">
        <v>0.95</v>
      </c>
      <c r="BP15" s="234">
        <v>1</v>
      </c>
      <c r="BQ15" s="242">
        <v>2.5000000000000001E-3</v>
      </c>
    </row>
    <row r="16" spans="1:69" s="211" customFormat="1" ht="22.35" customHeight="1" x14ac:dyDescent="0.2">
      <c r="A16" s="221" t="s">
        <v>4</v>
      </c>
      <c r="B16" s="221" t="s">
        <v>65</v>
      </c>
      <c r="C16" s="221" t="s">
        <v>67</v>
      </c>
      <c r="D16" s="222">
        <v>2.98808404311111</v>
      </c>
      <c r="E16" s="223"/>
      <c r="F16" s="224">
        <v>4.9000000000000002E-2</v>
      </c>
      <c r="G16" s="224">
        <v>3.9E-2</v>
      </c>
      <c r="H16" s="225"/>
      <c r="I16" s="226">
        <v>5</v>
      </c>
      <c r="J16" s="226">
        <v>5</v>
      </c>
      <c r="K16" s="223"/>
      <c r="L16" s="227">
        <v>1685.7741699999999</v>
      </c>
      <c r="M16" s="227">
        <v>252.28301999999999</v>
      </c>
      <c r="N16" s="227">
        <v>1938.05719</v>
      </c>
      <c r="O16" s="222">
        <v>648.59527444286596</v>
      </c>
      <c r="P16" s="228">
        <v>233.14400000000001</v>
      </c>
      <c r="Q16" s="234">
        <v>2.7819513881672502</v>
      </c>
      <c r="R16" s="235">
        <v>1177.3111681673699</v>
      </c>
      <c r="S16" s="224">
        <v>0.01</v>
      </c>
      <c r="T16" s="224">
        <v>0.01</v>
      </c>
      <c r="U16" s="231">
        <v>0</v>
      </c>
      <c r="V16" s="232">
        <v>0</v>
      </c>
      <c r="W16" s="223"/>
      <c r="X16" s="231">
        <v>2110.064245</v>
      </c>
      <c r="Y16" s="222">
        <v>706.15960413317498</v>
      </c>
      <c r="Z16" s="233">
        <v>573</v>
      </c>
      <c r="AA16" s="234">
        <v>1.23239023408931</v>
      </c>
      <c r="AB16" s="235">
        <v>240.372249880689</v>
      </c>
      <c r="AC16" s="224">
        <v>0.02</v>
      </c>
      <c r="AD16" s="224">
        <v>0.02</v>
      </c>
      <c r="AE16" s="232">
        <v>0</v>
      </c>
      <c r="AF16" s="232">
        <v>0</v>
      </c>
      <c r="AG16" s="223"/>
      <c r="AH16" s="236">
        <v>166.55</v>
      </c>
      <c r="AI16" s="222">
        <v>55.738057429801302</v>
      </c>
      <c r="AJ16" s="237" t="s">
        <v>54</v>
      </c>
      <c r="AK16" s="244">
        <v>0.88473107031430598</v>
      </c>
      <c r="AL16" s="227">
        <v>-39.018229829871899</v>
      </c>
      <c r="AM16" s="224"/>
      <c r="AN16" s="224"/>
      <c r="AO16" s="232">
        <v>22</v>
      </c>
      <c r="AP16" s="232">
        <v>60</v>
      </c>
      <c r="AQ16" s="223"/>
      <c r="AR16" s="236">
        <v>19.8</v>
      </c>
      <c r="AS16" s="222">
        <v>6.6263196464128802</v>
      </c>
      <c r="AT16" s="237" t="s">
        <v>55</v>
      </c>
      <c r="AU16" s="229">
        <v>0.41414497790080501</v>
      </c>
      <c r="AV16" s="230">
        <v>-32.4078044012373</v>
      </c>
      <c r="AW16" s="224"/>
      <c r="AX16" s="224"/>
      <c r="AY16" s="232">
        <v>29</v>
      </c>
      <c r="AZ16" s="232">
        <v>38</v>
      </c>
      <c r="BA16" s="223"/>
      <c r="BB16" s="240">
        <v>103.8</v>
      </c>
      <c r="BC16" s="236">
        <v>34.737978752406903</v>
      </c>
      <c r="BD16" s="237" t="s">
        <v>56</v>
      </c>
      <c r="BE16" s="238">
        <v>1.0855618360127199</v>
      </c>
      <c r="BF16" s="239">
        <v>-0.61560880247462502</v>
      </c>
      <c r="BG16" s="224">
        <v>1.9E-2</v>
      </c>
      <c r="BH16" s="224">
        <v>8.9999999999999993E-3</v>
      </c>
      <c r="BI16" s="232">
        <v>0</v>
      </c>
      <c r="BJ16" s="232">
        <v>11</v>
      </c>
      <c r="BK16" s="225"/>
      <c r="BL16" s="241">
        <v>0.8</v>
      </c>
      <c r="BM16" s="238">
        <v>0.81</v>
      </c>
      <c r="BN16" s="242">
        <v>3.7500000000000001E-4</v>
      </c>
      <c r="BO16" s="243">
        <v>0.95</v>
      </c>
      <c r="BP16" s="234">
        <v>1</v>
      </c>
      <c r="BQ16" s="242">
        <v>2.5000000000000001E-3</v>
      </c>
    </row>
    <row r="17" spans="1:69" s="211" customFormat="1" ht="22.35" customHeight="1" x14ac:dyDescent="0.2">
      <c r="A17" s="221" t="s">
        <v>4</v>
      </c>
      <c r="B17" s="221" t="s">
        <v>65</v>
      </c>
      <c r="C17" s="221" t="s">
        <v>68</v>
      </c>
      <c r="D17" s="222">
        <v>3.7318809292222199</v>
      </c>
      <c r="E17" s="223"/>
      <c r="F17" s="224">
        <v>0.05</v>
      </c>
      <c r="G17" s="224">
        <v>0.04</v>
      </c>
      <c r="H17" s="225"/>
      <c r="I17" s="226">
        <v>4</v>
      </c>
      <c r="J17" s="226">
        <v>4</v>
      </c>
      <c r="K17" s="223"/>
      <c r="L17" s="227">
        <v>1147.09989</v>
      </c>
      <c r="M17" s="227">
        <v>1168.4034799999999</v>
      </c>
      <c r="N17" s="227">
        <v>2315.5033699999999</v>
      </c>
      <c r="O17" s="222">
        <v>620.46550088686297</v>
      </c>
      <c r="P17" s="228">
        <v>246.29499999999999</v>
      </c>
      <c r="Q17" s="234">
        <v>2.5191964956124302</v>
      </c>
      <c r="R17" s="235">
        <v>1311.7985440986399</v>
      </c>
      <c r="S17" s="224">
        <v>0.01</v>
      </c>
      <c r="T17" s="224">
        <v>0.01</v>
      </c>
      <c r="U17" s="231">
        <v>0</v>
      </c>
      <c r="V17" s="232">
        <v>0</v>
      </c>
      <c r="W17" s="223"/>
      <c r="X17" s="231">
        <v>2687.8429900000001</v>
      </c>
      <c r="Y17" s="222">
        <v>720.23814290350003</v>
      </c>
      <c r="Z17" s="233">
        <v>573</v>
      </c>
      <c r="AA17" s="234">
        <v>1.25696010977923</v>
      </c>
      <c r="AB17" s="235">
        <v>352.74538249078898</v>
      </c>
      <c r="AC17" s="224">
        <v>0.02</v>
      </c>
      <c r="AD17" s="224">
        <v>0.02</v>
      </c>
      <c r="AE17" s="232">
        <v>0</v>
      </c>
      <c r="AF17" s="232">
        <v>0</v>
      </c>
      <c r="AG17" s="223"/>
      <c r="AH17" s="236">
        <v>146.6</v>
      </c>
      <c r="AI17" s="222">
        <v>39.2831397304398</v>
      </c>
      <c r="AJ17" s="237" t="s">
        <v>54</v>
      </c>
      <c r="AK17" s="229">
        <v>0.62354190048317104</v>
      </c>
      <c r="AL17" s="230">
        <v>-110.138480406772</v>
      </c>
      <c r="AM17" s="224"/>
      <c r="AN17" s="224"/>
      <c r="AO17" s="232">
        <v>89</v>
      </c>
      <c r="AP17" s="232">
        <v>136</v>
      </c>
      <c r="AQ17" s="223"/>
      <c r="AR17" s="236">
        <v>17.100000000000001</v>
      </c>
      <c r="AS17" s="222">
        <v>4.5821397639189598</v>
      </c>
      <c r="AT17" s="237" t="s">
        <v>55</v>
      </c>
      <c r="AU17" s="229">
        <v>0.28638373524493499</v>
      </c>
      <c r="AV17" s="230">
        <v>-48.1034235953706</v>
      </c>
      <c r="AW17" s="224"/>
      <c r="AX17" s="224"/>
      <c r="AY17" s="232">
        <v>43</v>
      </c>
      <c r="AZ17" s="232">
        <v>55</v>
      </c>
      <c r="BA17" s="223"/>
      <c r="BB17" s="240">
        <v>131.19999999999999</v>
      </c>
      <c r="BC17" s="236">
        <v>35.156534329015699</v>
      </c>
      <c r="BD17" s="237" t="s">
        <v>56</v>
      </c>
      <c r="BE17" s="234">
        <v>1.0986416977817399</v>
      </c>
      <c r="BF17" s="235">
        <v>0.79315280925871401</v>
      </c>
      <c r="BG17" s="224">
        <v>0.02</v>
      </c>
      <c r="BH17" s="224">
        <v>0.01</v>
      </c>
      <c r="BI17" s="232">
        <v>0</v>
      </c>
      <c r="BJ17" s="232">
        <v>13</v>
      </c>
      <c r="BK17" s="225"/>
      <c r="BL17" s="241">
        <v>0.8</v>
      </c>
      <c r="BM17" s="244">
        <v>0.77</v>
      </c>
      <c r="BN17" s="242"/>
      <c r="BO17" s="243">
        <v>0.95</v>
      </c>
      <c r="BP17" s="234">
        <v>1</v>
      </c>
      <c r="BQ17" s="242">
        <v>2.5000000000000001E-3</v>
      </c>
    </row>
    <row r="18" spans="1:69" s="211" customFormat="1" ht="22.35" customHeight="1" x14ac:dyDescent="0.2">
      <c r="A18" s="221" t="s">
        <v>4</v>
      </c>
      <c r="B18" s="221" t="s">
        <v>65</v>
      </c>
      <c r="C18" s="221" t="s">
        <v>69</v>
      </c>
      <c r="D18" s="222">
        <v>2.4135234434444399</v>
      </c>
      <c r="E18" s="223"/>
      <c r="F18" s="224">
        <v>0.06</v>
      </c>
      <c r="G18" s="224">
        <v>5.7000000000000002E-2</v>
      </c>
      <c r="H18" s="225"/>
      <c r="I18" s="226">
        <v>5</v>
      </c>
      <c r="J18" s="226">
        <v>5</v>
      </c>
      <c r="K18" s="223"/>
      <c r="L18" s="227">
        <v>265.68633999999997</v>
      </c>
      <c r="M18" s="227">
        <v>-940.11495000000002</v>
      </c>
      <c r="N18" s="227">
        <v>-674.42861000000005</v>
      </c>
      <c r="O18" s="222">
        <v>-279.43735613253199</v>
      </c>
      <c r="P18" s="228">
        <v>233.14400000000001</v>
      </c>
      <c r="Q18" s="229">
        <v>-1.1985612159546499</v>
      </c>
      <c r="R18" s="230">
        <v>-1288.8953825906599</v>
      </c>
      <c r="S18" s="224"/>
      <c r="T18" s="224"/>
      <c r="U18" s="231">
        <v>1238</v>
      </c>
      <c r="V18" s="232">
        <v>1350</v>
      </c>
      <c r="W18" s="223"/>
      <c r="X18" s="231">
        <v>1684.98109</v>
      </c>
      <c r="Y18" s="222">
        <v>698.14158821481794</v>
      </c>
      <c r="Z18" s="233">
        <v>573</v>
      </c>
      <c r="AA18" s="234">
        <v>1.2183971871113699</v>
      </c>
      <c r="AB18" s="235">
        <v>174.80085506171901</v>
      </c>
      <c r="AC18" s="224">
        <v>0.02</v>
      </c>
      <c r="AD18" s="224">
        <v>0.02</v>
      </c>
      <c r="AE18" s="232">
        <v>0</v>
      </c>
      <c r="AF18" s="232">
        <v>0</v>
      </c>
      <c r="AG18" s="223"/>
      <c r="AH18" s="236">
        <v>183.6</v>
      </c>
      <c r="AI18" s="222">
        <v>76.071355552269395</v>
      </c>
      <c r="AJ18" s="237" t="s">
        <v>54</v>
      </c>
      <c r="AK18" s="234">
        <v>1.20748183416301</v>
      </c>
      <c r="AL18" s="235">
        <v>17.559241184796299</v>
      </c>
      <c r="AM18" s="224">
        <v>0.02</v>
      </c>
      <c r="AN18" s="224">
        <v>0.02</v>
      </c>
      <c r="AO18" s="232">
        <v>0</v>
      </c>
      <c r="AP18" s="232">
        <v>0</v>
      </c>
      <c r="AQ18" s="223"/>
      <c r="AR18" s="236">
        <v>17.3</v>
      </c>
      <c r="AS18" s="222">
        <v>7.1679436331931399</v>
      </c>
      <c r="AT18" s="237" t="s">
        <v>55</v>
      </c>
      <c r="AU18" s="229">
        <v>0.44799647707457102</v>
      </c>
      <c r="AV18" s="230">
        <v>-24.8690816038613</v>
      </c>
      <c r="AW18" s="224"/>
      <c r="AX18" s="224"/>
      <c r="AY18" s="232">
        <v>22</v>
      </c>
      <c r="AZ18" s="232">
        <v>30</v>
      </c>
      <c r="BA18" s="223"/>
      <c r="BB18" s="240">
        <v>90</v>
      </c>
      <c r="BC18" s="236">
        <v>37.289880172681102</v>
      </c>
      <c r="BD18" s="237" t="s">
        <v>56</v>
      </c>
      <c r="BE18" s="234">
        <v>1.16530875539628</v>
      </c>
      <c r="BF18" s="235">
        <v>5.6618367922774802</v>
      </c>
      <c r="BG18" s="224">
        <v>0.02</v>
      </c>
      <c r="BH18" s="224">
        <v>1.7000000000000001E-2</v>
      </c>
      <c r="BI18" s="232">
        <v>0</v>
      </c>
      <c r="BJ18" s="232">
        <v>3</v>
      </c>
      <c r="BK18" s="225"/>
      <c r="BL18" s="241">
        <v>0.8</v>
      </c>
      <c r="BM18" s="238">
        <v>0.86</v>
      </c>
      <c r="BN18" s="242">
        <v>2.2499999999999998E-3</v>
      </c>
      <c r="BO18" s="243">
        <v>0.95</v>
      </c>
      <c r="BP18" s="234">
        <v>1</v>
      </c>
      <c r="BQ18" s="242">
        <v>2.5000000000000001E-3</v>
      </c>
    </row>
    <row r="19" spans="1:69" s="211" customFormat="1" ht="22.35" customHeight="1" x14ac:dyDescent="0.2">
      <c r="A19" s="221" t="s">
        <v>4</v>
      </c>
      <c r="B19" s="221" t="s">
        <v>65</v>
      </c>
      <c r="C19" s="221" t="s">
        <v>70</v>
      </c>
      <c r="D19" s="222">
        <v>5.75203804544444</v>
      </c>
      <c r="E19" s="223"/>
      <c r="F19" s="224">
        <v>0.01</v>
      </c>
      <c r="G19" s="224">
        <v>0.01</v>
      </c>
      <c r="H19" s="225"/>
      <c r="I19" s="226">
        <v>2</v>
      </c>
      <c r="J19" s="226">
        <v>2</v>
      </c>
      <c r="K19" s="223"/>
      <c r="L19" s="227">
        <v>2369.9636700000001</v>
      </c>
      <c r="M19" s="227">
        <v>1893.29465</v>
      </c>
      <c r="N19" s="227">
        <v>4263.2583199999999</v>
      </c>
      <c r="O19" s="222">
        <v>741.17352602986603</v>
      </c>
      <c r="P19" s="228">
        <v>212.5</v>
      </c>
      <c r="Q19" s="234">
        <v>3.4878754166111401</v>
      </c>
      <c r="R19" s="235">
        <v>2928.4978915546199</v>
      </c>
      <c r="S19" s="224">
        <v>0.01</v>
      </c>
      <c r="T19" s="224">
        <v>0.01</v>
      </c>
      <c r="U19" s="231">
        <v>0</v>
      </c>
      <c r="V19" s="232">
        <v>0</v>
      </c>
      <c r="W19" s="223"/>
      <c r="X19" s="231">
        <v>2689.7867350000001</v>
      </c>
      <c r="Y19" s="222">
        <v>467.62325174992299</v>
      </c>
      <c r="Z19" s="233">
        <v>573</v>
      </c>
      <c r="AA19" s="244">
        <v>0.81609642539253502</v>
      </c>
      <c r="AB19" s="227">
        <v>-909.35550264331403</v>
      </c>
      <c r="AC19" s="224"/>
      <c r="AD19" s="224"/>
      <c r="AE19" s="232">
        <v>607</v>
      </c>
      <c r="AF19" s="232">
        <v>1266</v>
      </c>
      <c r="AG19" s="223"/>
      <c r="AH19" s="236">
        <v>284.89999999999998</v>
      </c>
      <c r="AI19" s="222">
        <v>49.530270444862197</v>
      </c>
      <c r="AJ19" s="237" t="s">
        <v>54</v>
      </c>
      <c r="AK19" s="244">
        <v>0.78619476896606699</v>
      </c>
      <c r="AL19" s="227">
        <v>-110.817209374396</v>
      </c>
      <c r="AM19" s="224"/>
      <c r="AN19" s="224"/>
      <c r="AO19" s="232">
        <v>78</v>
      </c>
      <c r="AP19" s="232">
        <v>150</v>
      </c>
      <c r="AQ19" s="223"/>
      <c r="AR19" s="236">
        <v>27.8</v>
      </c>
      <c r="AS19" s="222">
        <v>4.8330695625383298</v>
      </c>
      <c r="AT19" s="237" t="s">
        <v>55</v>
      </c>
      <c r="AU19" s="229">
        <v>0.302066847658646</v>
      </c>
      <c r="AV19" s="230">
        <v>-72.699608730005295</v>
      </c>
      <c r="AW19" s="224"/>
      <c r="AX19" s="224"/>
      <c r="AY19" s="232">
        <v>65</v>
      </c>
      <c r="AZ19" s="232">
        <v>83</v>
      </c>
      <c r="BA19" s="223"/>
      <c r="BB19" s="240">
        <v>147.4</v>
      </c>
      <c r="BC19" s="236">
        <v>25.625699766839901</v>
      </c>
      <c r="BD19" s="237" t="s">
        <v>56</v>
      </c>
      <c r="BE19" s="244">
        <v>0.80080311771374701</v>
      </c>
      <c r="BF19" s="227">
        <v>-53.5992174600105</v>
      </c>
      <c r="BG19" s="224"/>
      <c r="BH19" s="224"/>
      <c r="BI19" s="232">
        <v>37</v>
      </c>
      <c r="BJ19" s="232">
        <v>74</v>
      </c>
      <c r="BK19" s="225"/>
      <c r="BL19" s="241">
        <v>0.8</v>
      </c>
      <c r="BM19" s="244">
        <v>0.79</v>
      </c>
      <c r="BN19" s="242"/>
      <c r="BO19" s="243">
        <v>0.95</v>
      </c>
      <c r="BP19" s="234">
        <v>1</v>
      </c>
      <c r="BQ19" s="242">
        <v>2.5000000000000001E-3</v>
      </c>
    </row>
    <row r="20" spans="1:69" s="211" customFormat="1" ht="22.35" customHeight="1" x14ac:dyDescent="0.2">
      <c r="A20" s="221" t="s">
        <v>4</v>
      </c>
      <c r="B20" s="221" t="s">
        <v>65</v>
      </c>
      <c r="C20" s="221" t="s">
        <v>71</v>
      </c>
      <c r="D20" s="222">
        <v>3.7144129870000002</v>
      </c>
      <c r="E20" s="223"/>
      <c r="F20" s="224">
        <v>3.7999999999999999E-2</v>
      </c>
      <c r="G20" s="224">
        <v>0.03</v>
      </c>
      <c r="H20" s="225"/>
      <c r="I20" s="226">
        <v>4</v>
      </c>
      <c r="J20" s="226">
        <v>3</v>
      </c>
      <c r="K20" s="223"/>
      <c r="L20" s="227">
        <v>1504.4420299999999</v>
      </c>
      <c r="M20" s="227">
        <v>1147.6410000000001</v>
      </c>
      <c r="N20" s="227">
        <v>2652.0830299999998</v>
      </c>
      <c r="O20" s="222">
        <v>713.99788857135002</v>
      </c>
      <c r="P20" s="228">
        <v>231.90199999999999</v>
      </c>
      <c r="Q20" s="234">
        <v>3.0788776663045101</v>
      </c>
      <c r="R20" s="235">
        <v>1711.45628784169</v>
      </c>
      <c r="S20" s="224">
        <v>0.01</v>
      </c>
      <c r="T20" s="224">
        <v>0.01</v>
      </c>
      <c r="U20" s="231">
        <v>0</v>
      </c>
      <c r="V20" s="232">
        <v>0</v>
      </c>
      <c r="W20" s="223"/>
      <c r="X20" s="231">
        <v>2093.089105</v>
      </c>
      <c r="Y20" s="222">
        <v>563.50468090800905</v>
      </c>
      <c r="Z20" s="233">
        <v>573</v>
      </c>
      <c r="AA20" s="238">
        <v>0.98342876249216304</v>
      </c>
      <c r="AB20" s="239">
        <v>-231.078531573692</v>
      </c>
      <c r="AC20" s="224">
        <v>8.0000000000000002E-3</v>
      </c>
      <c r="AD20" s="224"/>
      <c r="AE20" s="232">
        <v>36</v>
      </c>
      <c r="AF20" s="232">
        <v>461</v>
      </c>
      <c r="AG20" s="223"/>
      <c r="AH20" s="236">
        <v>127.2</v>
      </c>
      <c r="AI20" s="222">
        <v>34.244980416874697</v>
      </c>
      <c r="AJ20" s="237" t="s">
        <v>54</v>
      </c>
      <c r="AK20" s="229">
        <v>0.54357111772816902</v>
      </c>
      <c r="AL20" s="230">
        <v>-128.33675585365199</v>
      </c>
      <c r="AM20" s="224"/>
      <c r="AN20" s="224"/>
      <c r="AO20" s="232">
        <v>107</v>
      </c>
      <c r="AP20" s="232">
        <v>154</v>
      </c>
      <c r="AQ20" s="223"/>
      <c r="AR20" s="236">
        <v>51</v>
      </c>
      <c r="AS20" s="222">
        <v>13.7302987520488</v>
      </c>
      <c r="AT20" s="237" t="s">
        <v>55</v>
      </c>
      <c r="AU20" s="244">
        <v>0.85814367200305097</v>
      </c>
      <c r="AV20" s="227">
        <v>-13.898223708864</v>
      </c>
      <c r="AW20" s="224"/>
      <c r="AX20" s="224"/>
      <c r="AY20" s="232">
        <v>9</v>
      </c>
      <c r="AZ20" s="232">
        <v>21</v>
      </c>
      <c r="BA20" s="223"/>
      <c r="BB20" s="240">
        <v>153.19999999999999</v>
      </c>
      <c r="BC20" s="236">
        <v>41.244740564978002</v>
      </c>
      <c r="BD20" s="237" t="s">
        <v>56</v>
      </c>
      <c r="BE20" s="234">
        <v>1.2888981426555599</v>
      </c>
      <c r="BF20" s="235">
        <v>23.403552582271999</v>
      </c>
      <c r="BG20" s="224">
        <v>0.02</v>
      </c>
      <c r="BH20" s="224">
        <v>0.02</v>
      </c>
      <c r="BI20" s="232">
        <v>0</v>
      </c>
      <c r="BJ20" s="232">
        <v>0</v>
      </c>
      <c r="BK20" s="225"/>
      <c r="BL20" s="241">
        <v>0.8</v>
      </c>
      <c r="BM20" s="244">
        <v>0.8</v>
      </c>
      <c r="BN20" s="242">
        <v>0</v>
      </c>
      <c r="BO20" s="243">
        <v>0.95</v>
      </c>
      <c r="BP20" s="234">
        <v>1</v>
      </c>
      <c r="BQ20" s="242">
        <v>2.5000000000000001E-3</v>
      </c>
    </row>
    <row r="21" spans="1:69" s="211" customFormat="1" ht="22.35" customHeight="1" x14ac:dyDescent="0.2">
      <c r="A21" s="221" t="s">
        <v>4</v>
      </c>
      <c r="B21" s="221" t="s">
        <v>65</v>
      </c>
      <c r="C21" s="221" t="s">
        <v>72</v>
      </c>
      <c r="D21" s="222">
        <v>6.6311696409999996</v>
      </c>
      <c r="E21" s="223"/>
      <c r="F21" s="224">
        <v>4.2999999999999997E-2</v>
      </c>
      <c r="G21" s="224">
        <v>3.2000000000000001E-2</v>
      </c>
      <c r="H21" s="225"/>
      <c r="I21" s="226">
        <v>5</v>
      </c>
      <c r="J21" s="226">
        <v>5</v>
      </c>
      <c r="K21" s="223"/>
      <c r="L21" s="227">
        <v>3001.76541</v>
      </c>
      <c r="M21" s="227">
        <v>-899.92912999999999</v>
      </c>
      <c r="N21" s="227">
        <v>2101.83628</v>
      </c>
      <c r="O21" s="222">
        <v>316.96312925015701</v>
      </c>
      <c r="P21" s="228">
        <v>218.77099999999999</v>
      </c>
      <c r="Q21" s="234">
        <v>1.4488352169627501</v>
      </c>
      <c r="R21" s="235">
        <v>517.66356602391704</v>
      </c>
      <c r="S21" s="224">
        <v>0.01</v>
      </c>
      <c r="T21" s="224">
        <v>0.01</v>
      </c>
      <c r="U21" s="231">
        <v>0</v>
      </c>
      <c r="V21" s="232">
        <v>0</v>
      </c>
      <c r="W21" s="223"/>
      <c r="X21" s="231">
        <v>3909.6068</v>
      </c>
      <c r="Y21" s="222">
        <v>589.58027190666496</v>
      </c>
      <c r="Z21" s="233">
        <v>573</v>
      </c>
      <c r="AA21" s="238">
        <v>1.0289359021058699</v>
      </c>
      <c r="AB21" s="239">
        <v>-239.62214308795501</v>
      </c>
      <c r="AC21" s="224">
        <v>1.2999999999999999E-2</v>
      </c>
      <c r="AD21" s="224">
        <v>3.0000000000000001E-3</v>
      </c>
      <c r="AE21" s="232">
        <v>0</v>
      </c>
      <c r="AF21" s="232">
        <v>650</v>
      </c>
      <c r="AG21" s="223"/>
      <c r="AH21" s="236">
        <v>219.4</v>
      </c>
      <c r="AI21" s="222">
        <v>33.086169089004599</v>
      </c>
      <c r="AJ21" s="237" t="s">
        <v>54</v>
      </c>
      <c r="AK21" s="229">
        <v>0.52517728712705702</v>
      </c>
      <c r="AL21" s="230">
        <v>-236.797946622236</v>
      </c>
      <c r="AM21" s="224"/>
      <c r="AN21" s="224"/>
      <c r="AO21" s="232">
        <v>199</v>
      </c>
      <c r="AP21" s="232">
        <v>282</v>
      </c>
      <c r="AQ21" s="223"/>
      <c r="AR21" s="236">
        <v>40</v>
      </c>
      <c r="AS21" s="222">
        <v>6.03211833892518</v>
      </c>
      <c r="AT21" s="237" t="s">
        <v>55</v>
      </c>
      <c r="AU21" s="229">
        <v>0.37700739618282397</v>
      </c>
      <c r="AV21" s="230">
        <v>-75.859795967552003</v>
      </c>
      <c r="AW21" s="224"/>
      <c r="AX21" s="224"/>
      <c r="AY21" s="232">
        <v>67</v>
      </c>
      <c r="AZ21" s="232">
        <v>88</v>
      </c>
      <c r="BA21" s="223"/>
      <c r="BB21" s="240">
        <v>252.8</v>
      </c>
      <c r="BC21" s="236">
        <v>38.122987902007097</v>
      </c>
      <c r="BD21" s="237" t="s">
        <v>56</v>
      </c>
      <c r="BE21" s="234">
        <v>1.19134337193772</v>
      </c>
      <c r="BF21" s="235">
        <v>21.080408064896002</v>
      </c>
      <c r="BG21" s="224">
        <v>0.02</v>
      </c>
      <c r="BH21" s="224">
        <v>1.9E-2</v>
      </c>
      <c r="BI21" s="232">
        <v>0</v>
      </c>
      <c r="BJ21" s="232">
        <v>2</v>
      </c>
      <c r="BK21" s="225"/>
      <c r="BL21" s="241">
        <v>0.8</v>
      </c>
      <c r="BM21" s="238">
        <v>0.81</v>
      </c>
      <c r="BN21" s="242">
        <v>3.7500000000000001E-4</v>
      </c>
      <c r="BO21" s="243">
        <v>0.95</v>
      </c>
      <c r="BP21" s="234">
        <v>1</v>
      </c>
      <c r="BQ21" s="242">
        <v>2.5000000000000001E-3</v>
      </c>
    </row>
    <row r="22" spans="1:69" s="211" customFormat="1" ht="22.35" customHeight="1" x14ac:dyDescent="0.2">
      <c r="A22" s="221" t="s">
        <v>4</v>
      </c>
      <c r="B22" s="221" t="s">
        <v>65</v>
      </c>
      <c r="C22" s="221" t="s">
        <v>73</v>
      </c>
      <c r="D22" s="222">
        <v>4.3170066618888896</v>
      </c>
      <c r="E22" s="223"/>
      <c r="F22" s="224">
        <v>3.4000000000000002E-2</v>
      </c>
      <c r="G22" s="224">
        <v>0.02</v>
      </c>
      <c r="H22" s="225"/>
      <c r="I22" s="226">
        <v>5</v>
      </c>
      <c r="J22" s="226">
        <v>4</v>
      </c>
      <c r="K22" s="223"/>
      <c r="L22" s="227">
        <v>3333.9955100000002</v>
      </c>
      <c r="M22" s="227">
        <v>-863.20045000000005</v>
      </c>
      <c r="N22" s="227">
        <v>2470.7950599999999</v>
      </c>
      <c r="O22" s="222">
        <v>572.33987656598003</v>
      </c>
      <c r="P22" s="228">
        <v>242.99700000000001</v>
      </c>
      <c r="Q22" s="234">
        <v>2.3553372122535698</v>
      </c>
      <c r="R22" s="235">
        <v>1325.2655827416399</v>
      </c>
      <c r="S22" s="224">
        <v>0.01</v>
      </c>
      <c r="T22" s="224">
        <v>0.01</v>
      </c>
      <c r="U22" s="231">
        <v>0</v>
      </c>
      <c r="V22" s="232">
        <v>0</v>
      </c>
      <c r="W22" s="223"/>
      <c r="X22" s="231">
        <v>2346.31342</v>
      </c>
      <c r="Y22" s="222">
        <v>543.50470216170095</v>
      </c>
      <c r="Z22" s="233">
        <v>573</v>
      </c>
      <c r="AA22" s="238">
        <v>0.94852478562251497</v>
      </c>
      <c r="AB22" s="239">
        <v>-354.90672045046898</v>
      </c>
      <c r="AC22" s="224">
        <v>4.0000000000000001E-3</v>
      </c>
      <c r="AD22" s="224"/>
      <c r="AE22" s="232">
        <v>128</v>
      </c>
      <c r="AF22" s="232">
        <v>623</v>
      </c>
      <c r="AG22" s="223"/>
      <c r="AH22" s="236">
        <v>129.5</v>
      </c>
      <c r="AI22" s="222">
        <v>29.997637284937099</v>
      </c>
      <c r="AJ22" s="237" t="s">
        <v>54</v>
      </c>
      <c r="AK22" s="229">
        <v>0.47615297277677898</v>
      </c>
      <c r="AL22" s="230">
        <v>-167.492790311308</v>
      </c>
      <c r="AM22" s="224"/>
      <c r="AN22" s="224"/>
      <c r="AO22" s="232">
        <v>143</v>
      </c>
      <c r="AP22" s="232">
        <v>197</v>
      </c>
      <c r="AQ22" s="223"/>
      <c r="AR22" s="236">
        <v>35.1</v>
      </c>
      <c r="AS22" s="222">
        <v>8.1306337351451106</v>
      </c>
      <c r="AT22" s="237" t="s">
        <v>55</v>
      </c>
      <c r="AU22" s="229">
        <v>0.50816460844656897</v>
      </c>
      <c r="AV22" s="230">
        <v>-40.326740396522702</v>
      </c>
      <c r="AW22" s="224"/>
      <c r="AX22" s="224"/>
      <c r="AY22" s="232">
        <v>34</v>
      </c>
      <c r="AZ22" s="232">
        <v>48</v>
      </c>
      <c r="BA22" s="223"/>
      <c r="BB22" s="240">
        <v>152.4</v>
      </c>
      <c r="BC22" s="236">
        <v>35.302238781655703</v>
      </c>
      <c r="BD22" s="237" t="s">
        <v>56</v>
      </c>
      <c r="BE22" s="234">
        <v>1.10319496192674</v>
      </c>
      <c r="BF22" s="235">
        <v>1.5465192069546301</v>
      </c>
      <c r="BG22" s="224">
        <v>0.02</v>
      </c>
      <c r="BH22" s="224">
        <v>0.01</v>
      </c>
      <c r="BI22" s="232">
        <v>0</v>
      </c>
      <c r="BJ22" s="232">
        <v>14</v>
      </c>
      <c r="BK22" s="225"/>
      <c r="BL22" s="241">
        <v>0.8</v>
      </c>
      <c r="BM22" s="238">
        <v>0.81</v>
      </c>
      <c r="BN22" s="242">
        <v>3.7500000000000001E-4</v>
      </c>
      <c r="BO22" s="243">
        <v>0.95</v>
      </c>
      <c r="BP22" s="234">
        <v>1</v>
      </c>
      <c r="BQ22" s="242">
        <v>2.5000000000000001E-3</v>
      </c>
    </row>
    <row r="23" spans="1:69" s="211" customFormat="1" ht="22.35" customHeight="1" x14ac:dyDescent="0.2">
      <c r="A23" s="221" t="s">
        <v>4</v>
      </c>
      <c r="B23" s="221" t="s">
        <v>65</v>
      </c>
      <c r="C23" s="221" t="s">
        <v>74</v>
      </c>
      <c r="D23" s="222">
        <v>4.4760896213333297</v>
      </c>
      <c r="E23" s="223"/>
      <c r="F23" s="224">
        <v>0.01</v>
      </c>
      <c r="G23" s="224">
        <v>0.01</v>
      </c>
      <c r="H23" s="225"/>
      <c r="I23" s="226">
        <v>3</v>
      </c>
      <c r="J23" s="226">
        <v>3</v>
      </c>
      <c r="K23" s="223"/>
      <c r="L23" s="227">
        <v>4837.9179299999996</v>
      </c>
      <c r="M23" s="227">
        <v>2124.8075100000001</v>
      </c>
      <c r="N23" s="227">
        <v>6962.7254400000002</v>
      </c>
      <c r="O23" s="222">
        <v>1555.5375403600499</v>
      </c>
      <c r="P23" s="228">
        <v>251.20400000000001</v>
      </c>
      <c r="Q23" s="234">
        <v>6.1923279102245603</v>
      </c>
      <c r="R23" s="235">
        <v>5734.86795397674</v>
      </c>
      <c r="S23" s="224">
        <v>0.01</v>
      </c>
      <c r="T23" s="224">
        <v>0.01</v>
      </c>
      <c r="U23" s="231">
        <v>0</v>
      </c>
      <c r="V23" s="232">
        <v>0</v>
      </c>
      <c r="W23" s="223"/>
      <c r="X23" s="231">
        <v>2122.2380349999999</v>
      </c>
      <c r="Y23" s="222">
        <v>474.12769058181402</v>
      </c>
      <c r="Z23" s="233">
        <v>573</v>
      </c>
      <c r="AA23" s="244">
        <v>0.82744797658257196</v>
      </c>
      <c r="AB23" s="227">
        <v>-678.52285850220505</v>
      </c>
      <c r="AC23" s="224"/>
      <c r="AD23" s="224"/>
      <c r="AE23" s="232">
        <v>443</v>
      </c>
      <c r="AF23" s="232">
        <v>956</v>
      </c>
      <c r="AG23" s="223"/>
      <c r="AH23" s="236">
        <v>89.5</v>
      </c>
      <c r="AI23" s="222">
        <v>19.995131369451901</v>
      </c>
      <c r="AJ23" s="237" t="s">
        <v>54</v>
      </c>
      <c r="AK23" s="229">
        <v>0.31738303761034697</v>
      </c>
      <c r="AL23" s="230">
        <v>-218.437061589248</v>
      </c>
      <c r="AM23" s="224"/>
      <c r="AN23" s="224"/>
      <c r="AO23" s="232">
        <v>193</v>
      </c>
      <c r="AP23" s="232">
        <v>249</v>
      </c>
      <c r="AQ23" s="223"/>
      <c r="AR23" s="236">
        <v>17.8</v>
      </c>
      <c r="AS23" s="222">
        <v>3.97668534498596</v>
      </c>
      <c r="AT23" s="237" t="s">
        <v>55</v>
      </c>
      <c r="AU23" s="229">
        <v>0.248542834061623</v>
      </c>
      <c r="AV23" s="230">
        <v>-60.4062378639359</v>
      </c>
      <c r="AW23" s="224"/>
      <c r="AX23" s="224"/>
      <c r="AY23" s="232">
        <v>54</v>
      </c>
      <c r="AZ23" s="232">
        <v>69</v>
      </c>
      <c r="BA23" s="223"/>
      <c r="BB23" s="240">
        <v>115.6</v>
      </c>
      <c r="BC23" s="236">
        <v>25.8261138135043</v>
      </c>
      <c r="BD23" s="237" t="s">
        <v>56</v>
      </c>
      <c r="BE23" s="244">
        <v>0.80706605667200904</v>
      </c>
      <c r="BF23" s="227">
        <v>-40.812475727871899</v>
      </c>
      <c r="BG23" s="224"/>
      <c r="BH23" s="224"/>
      <c r="BI23" s="232">
        <v>28</v>
      </c>
      <c r="BJ23" s="232">
        <v>57</v>
      </c>
      <c r="BK23" s="225"/>
      <c r="BL23" s="241">
        <v>0.8</v>
      </c>
      <c r="BM23" s="238">
        <v>0.81</v>
      </c>
      <c r="BN23" s="242">
        <v>3.7500000000000001E-4</v>
      </c>
      <c r="BO23" s="243">
        <v>0.95</v>
      </c>
      <c r="BP23" s="234">
        <v>1</v>
      </c>
      <c r="BQ23" s="242">
        <v>2.5000000000000001E-3</v>
      </c>
    </row>
    <row r="24" spans="1:69" s="211" customFormat="1" ht="22.35" customHeight="1" x14ac:dyDescent="0.2">
      <c r="A24" s="221" t="s">
        <v>4</v>
      </c>
      <c r="B24" s="221" t="s">
        <v>65</v>
      </c>
      <c r="C24" s="221" t="s">
        <v>75</v>
      </c>
      <c r="D24" s="222">
        <v>5.2411436323333298</v>
      </c>
      <c r="E24" s="223"/>
      <c r="F24" s="224">
        <v>3.9E-2</v>
      </c>
      <c r="G24" s="224">
        <v>1.7999999999999999E-2</v>
      </c>
      <c r="H24" s="225"/>
      <c r="I24" s="226">
        <v>5</v>
      </c>
      <c r="J24" s="226">
        <v>5</v>
      </c>
      <c r="K24" s="223"/>
      <c r="L24" s="227">
        <v>4593.0861500000001</v>
      </c>
      <c r="M24" s="227">
        <v>3862.2051999999999</v>
      </c>
      <c r="N24" s="227">
        <v>8455.2913499999995</v>
      </c>
      <c r="O24" s="222">
        <v>1613.2531262524701</v>
      </c>
      <c r="P24" s="228">
        <v>248.62299999999999</v>
      </c>
      <c r="Q24" s="234">
        <v>6.48875255407774</v>
      </c>
      <c r="R24" s="235">
        <v>7032.3401621946396</v>
      </c>
      <c r="S24" s="224">
        <v>0.01</v>
      </c>
      <c r="T24" s="224">
        <v>0.01</v>
      </c>
      <c r="U24" s="231">
        <v>0</v>
      </c>
      <c r="V24" s="232">
        <v>0</v>
      </c>
      <c r="W24" s="223"/>
      <c r="X24" s="231">
        <v>3186.3464250000002</v>
      </c>
      <c r="Y24" s="222">
        <v>607.94869374366897</v>
      </c>
      <c r="Z24" s="233">
        <v>573</v>
      </c>
      <c r="AA24" s="238">
        <v>1.06099248471845</v>
      </c>
      <c r="AB24" s="239">
        <v>-93.121004049082302</v>
      </c>
      <c r="AC24" s="224">
        <v>1.7000000000000001E-2</v>
      </c>
      <c r="AD24" s="224">
        <v>6.0000000000000001E-3</v>
      </c>
      <c r="AE24" s="232">
        <v>0</v>
      </c>
      <c r="AF24" s="232">
        <v>418</v>
      </c>
      <c r="AG24" s="223"/>
      <c r="AH24" s="236">
        <v>240.3</v>
      </c>
      <c r="AI24" s="222">
        <v>45.8487721110248</v>
      </c>
      <c r="AJ24" s="237" t="s">
        <v>54</v>
      </c>
      <c r="AK24" s="244">
        <v>0.727758287476585</v>
      </c>
      <c r="AL24" s="227">
        <v>-120.269717330004</v>
      </c>
      <c r="AM24" s="224"/>
      <c r="AN24" s="224"/>
      <c r="AO24" s="232">
        <v>90</v>
      </c>
      <c r="AP24" s="232">
        <v>156</v>
      </c>
      <c r="AQ24" s="223"/>
      <c r="AR24" s="236">
        <v>49.1</v>
      </c>
      <c r="AS24" s="222">
        <v>9.3681843972173109</v>
      </c>
      <c r="AT24" s="237" t="s">
        <v>55</v>
      </c>
      <c r="AU24" s="229">
        <v>0.58551152482608204</v>
      </c>
      <c r="AV24" s="230">
        <v>-42.473261544127901</v>
      </c>
      <c r="AW24" s="224"/>
      <c r="AX24" s="224"/>
      <c r="AY24" s="232">
        <v>35</v>
      </c>
      <c r="AZ24" s="232">
        <v>52</v>
      </c>
      <c r="BA24" s="223"/>
      <c r="BB24" s="240">
        <v>171.6</v>
      </c>
      <c r="BC24" s="236">
        <v>32.740945877036502</v>
      </c>
      <c r="BD24" s="237" t="s">
        <v>56</v>
      </c>
      <c r="BE24" s="238">
        <v>1.02315455865739</v>
      </c>
      <c r="BF24" s="239">
        <v>-11.546523088255899</v>
      </c>
      <c r="BG24" s="224">
        <v>1.2E-2</v>
      </c>
      <c r="BH24" s="224">
        <v>2E-3</v>
      </c>
      <c r="BI24" s="232">
        <v>0</v>
      </c>
      <c r="BJ24" s="232">
        <v>30</v>
      </c>
      <c r="BK24" s="225"/>
      <c r="BL24" s="241">
        <v>0.8</v>
      </c>
      <c r="BM24" s="238">
        <v>0.84</v>
      </c>
      <c r="BN24" s="242">
        <v>1.5E-3</v>
      </c>
      <c r="BO24" s="243">
        <v>0.95</v>
      </c>
      <c r="BP24" s="234">
        <v>1</v>
      </c>
      <c r="BQ24" s="242">
        <v>2.5000000000000001E-3</v>
      </c>
    </row>
    <row r="25" spans="1:69" s="211" customFormat="1" ht="22.35" customHeight="1" x14ac:dyDescent="0.2">
      <c r="A25" s="221" t="s">
        <v>4</v>
      </c>
      <c r="B25" s="221" t="s">
        <v>65</v>
      </c>
      <c r="C25" s="221" t="s">
        <v>76</v>
      </c>
      <c r="D25" s="222">
        <v>4.2224398655555602</v>
      </c>
      <c r="E25" s="223"/>
      <c r="F25" s="224">
        <v>0.03</v>
      </c>
      <c r="G25" s="224">
        <v>2.3E-2</v>
      </c>
      <c r="H25" s="225"/>
      <c r="I25" s="226">
        <v>4</v>
      </c>
      <c r="J25" s="226">
        <v>4</v>
      </c>
      <c r="K25" s="223"/>
      <c r="L25" s="227">
        <v>780.26697999999999</v>
      </c>
      <c r="M25" s="227">
        <v>509.74955999999997</v>
      </c>
      <c r="N25" s="227">
        <v>1290.0165400000001</v>
      </c>
      <c r="O25" s="222">
        <v>305.51448477058898</v>
      </c>
      <c r="P25" s="228">
        <v>212.5</v>
      </c>
      <c r="Q25" s="234">
        <v>1.43771522244983</v>
      </c>
      <c r="R25" s="235">
        <v>310.19936919783203</v>
      </c>
      <c r="S25" s="224">
        <v>0.01</v>
      </c>
      <c r="T25" s="224">
        <v>0.01</v>
      </c>
      <c r="U25" s="231">
        <v>0</v>
      </c>
      <c r="V25" s="232">
        <v>0</v>
      </c>
      <c r="W25" s="223"/>
      <c r="X25" s="231">
        <v>1774.6279</v>
      </c>
      <c r="Y25" s="222">
        <v>420.28494342251798</v>
      </c>
      <c r="Z25" s="233">
        <v>573</v>
      </c>
      <c r="AA25" s="244">
        <v>0.73348157665360902</v>
      </c>
      <c r="AB25" s="227">
        <v>-867.42028291596296</v>
      </c>
      <c r="AC25" s="224"/>
      <c r="AD25" s="224"/>
      <c r="AE25" s="232">
        <v>645</v>
      </c>
      <c r="AF25" s="232">
        <v>1129</v>
      </c>
      <c r="AG25" s="223"/>
      <c r="AH25" s="236">
        <v>127.35</v>
      </c>
      <c r="AI25" s="222">
        <v>30.160287429752199</v>
      </c>
      <c r="AJ25" s="237" t="s">
        <v>54</v>
      </c>
      <c r="AK25" s="229">
        <v>0.47873472110717802</v>
      </c>
      <c r="AL25" s="230">
        <v>-163.13697299076</v>
      </c>
      <c r="AM25" s="224"/>
      <c r="AN25" s="224"/>
      <c r="AO25" s="232">
        <v>139</v>
      </c>
      <c r="AP25" s="232">
        <v>192</v>
      </c>
      <c r="AQ25" s="223"/>
      <c r="AR25" s="236">
        <v>34.4</v>
      </c>
      <c r="AS25" s="222">
        <v>8.1469484694423002</v>
      </c>
      <c r="AT25" s="237" t="s">
        <v>55</v>
      </c>
      <c r="AU25" s="229">
        <v>0.50918427934014399</v>
      </c>
      <c r="AV25" s="230">
        <v>-39.374469330986699</v>
      </c>
      <c r="AW25" s="224"/>
      <c r="AX25" s="224"/>
      <c r="AY25" s="232">
        <v>34</v>
      </c>
      <c r="AZ25" s="232">
        <v>47</v>
      </c>
      <c r="BA25" s="223"/>
      <c r="BB25" s="240">
        <v>152.4</v>
      </c>
      <c r="BC25" s="236">
        <v>36.092876358808297</v>
      </c>
      <c r="BD25" s="237" t="s">
        <v>56</v>
      </c>
      <c r="BE25" s="234">
        <v>1.12790238621276</v>
      </c>
      <c r="BF25" s="235">
        <v>4.8510613380265397</v>
      </c>
      <c r="BG25" s="224">
        <v>0.02</v>
      </c>
      <c r="BH25" s="224">
        <v>1.2999999999999999E-2</v>
      </c>
      <c r="BI25" s="232">
        <v>0</v>
      </c>
      <c r="BJ25" s="232">
        <v>10</v>
      </c>
      <c r="BK25" s="225"/>
      <c r="BL25" s="241">
        <v>0.8</v>
      </c>
      <c r="BM25" s="238">
        <v>0.82</v>
      </c>
      <c r="BN25" s="242">
        <v>7.5000000000000002E-4</v>
      </c>
      <c r="BO25" s="243">
        <v>0.95</v>
      </c>
      <c r="BP25" s="234">
        <v>1</v>
      </c>
      <c r="BQ25" s="242">
        <v>2.5000000000000001E-3</v>
      </c>
    </row>
    <row r="26" spans="1:69" s="211" customFormat="1" ht="22.35" customHeight="1" x14ac:dyDescent="0.2">
      <c r="A26" s="221" t="s">
        <v>4</v>
      </c>
      <c r="B26" s="221" t="s">
        <v>65</v>
      </c>
      <c r="C26" s="221" t="s">
        <v>77</v>
      </c>
      <c r="D26" s="222">
        <v>3.2460809161111102</v>
      </c>
      <c r="E26" s="223"/>
      <c r="F26" s="224">
        <v>3.1E-2</v>
      </c>
      <c r="G26" s="224">
        <v>0.03</v>
      </c>
      <c r="H26" s="225"/>
      <c r="I26" s="226">
        <v>4</v>
      </c>
      <c r="J26" s="226">
        <v>3</v>
      </c>
      <c r="K26" s="223"/>
      <c r="L26" s="227">
        <v>2890.8880300000001</v>
      </c>
      <c r="M26" s="227">
        <v>437.45783999999998</v>
      </c>
      <c r="N26" s="227">
        <v>3328.3458700000001</v>
      </c>
      <c r="O26" s="222">
        <v>1025.3428537411301</v>
      </c>
      <c r="P26" s="228">
        <v>231.042</v>
      </c>
      <c r="Q26" s="234">
        <v>4.4379067604207503</v>
      </c>
      <c r="R26" s="235">
        <v>2509.3665884940001</v>
      </c>
      <c r="S26" s="224">
        <v>0.01</v>
      </c>
      <c r="T26" s="224">
        <v>0.01</v>
      </c>
      <c r="U26" s="231">
        <v>0</v>
      </c>
      <c r="V26" s="232">
        <v>0</v>
      </c>
      <c r="W26" s="223"/>
      <c r="X26" s="231">
        <v>1706.43346</v>
      </c>
      <c r="Y26" s="222">
        <v>525.690364504022</v>
      </c>
      <c r="Z26" s="233">
        <v>573</v>
      </c>
      <c r="AA26" s="238">
        <v>0.91743519110649596</v>
      </c>
      <c r="AB26" s="239">
        <v>-324.69130650537898</v>
      </c>
      <c r="AC26" s="224">
        <v>1E-3</v>
      </c>
      <c r="AD26" s="224"/>
      <c r="AE26" s="232">
        <v>154</v>
      </c>
      <c r="AF26" s="232">
        <v>526</v>
      </c>
      <c r="AG26" s="223"/>
      <c r="AH26" s="236">
        <v>157.9</v>
      </c>
      <c r="AI26" s="222">
        <v>48.6432729437836</v>
      </c>
      <c r="AJ26" s="237" t="s">
        <v>54</v>
      </c>
      <c r="AK26" s="244">
        <v>0.77211544355212103</v>
      </c>
      <c r="AL26" s="227">
        <v>-65.417382704779897</v>
      </c>
      <c r="AM26" s="224"/>
      <c r="AN26" s="224"/>
      <c r="AO26" s="232">
        <v>47</v>
      </c>
      <c r="AP26" s="232">
        <v>88</v>
      </c>
      <c r="AQ26" s="223"/>
      <c r="AR26" s="236">
        <v>35.6</v>
      </c>
      <c r="AS26" s="222">
        <v>10.967071037357201</v>
      </c>
      <c r="AT26" s="237" t="s">
        <v>55</v>
      </c>
      <c r="AU26" s="229">
        <v>0.68544193983482304</v>
      </c>
      <c r="AV26" s="230">
        <v>-21.115525766293299</v>
      </c>
      <c r="AW26" s="224"/>
      <c r="AX26" s="224"/>
      <c r="AY26" s="232">
        <v>17</v>
      </c>
      <c r="AZ26" s="232">
        <v>27</v>
      </c>
      <c r="BA26" s="223"/>
      <c r="BB26" s="240">
        <v>141.6</v>
      </c>
      <c r="BC26" s="236">
        <v>43.621833114881298</v>
      </c>
      <c r="BD26" s="237" t="s">
        <v>56</v>
      </c>
      <c r="BE26" s="234">
        <v>1.3631822848400399</v>
      </c>
      <c r="BF26" s="235">
        <v>28.168948467413401</v>
      </c>
      <c r="BG26" s="224">
        <v>0.02</v>
      </c>
      <c r="BH26" s="224">
        <v>0.02</v>
      </c>
      <c r="BI26" s="232">
        <v>0</v>
      </c>
      <c r="BJ26" s="232">
        <v>0</v>
      </c>
      <c r="BK26" s="225"/>
      <c r="BL26" s="241">
        <v>0.8</v>
      </c>
      <c r="BM26" s="244">
        <v>0.78</v>
      </c>
      <c r="BN26" s="242"/>
      <c r="BO26" s="243">
        <v>0.95</v>
      </c>
      <c r="BP26" s="234">
        <v>1</v>
      </c>
      <c r="BQ26" s="242">
        <v>2.5000000000000001E-3</v>
      </c>
    </row>
    <row r="27" spans="1:69" s="211" customFormat="1" ht="22.35" customHeight="1" x14ac:dyDescent="0.2">
      <c r="A27" s="221" t="s">
        <v>4</v>
      </c>
      <c r="B27" s="221" t="s">
        <v>65</v>
      </c>
      <c r="C27" s="221" t="s">
        <v>78</v>
      </c>
      <c r="D27" s="222">
        <v>2.5803141951111099</v>
      </c>
      <c r="E27" s="223"/>
      <c r="F27" s="224">
        <v>2.8000000000000001E-2</v>
      </c>
      <c r="G27" s="224">
        <v>1.7000000000000001E-2</v>
      </c>
      <c r="H27" s="225"/>
      <c r="I27" s="226">
        <v>4</v>
      </c>
      <c r="J27" s="226">
        <v>4</v>
      </c>
      <c r="K27" s="223"/>
      <c r="L27" s="227">
        <v>567.50427999999999</v>
      </c>
      <c r="M27" s="227">
        <v>403.45866000000001</v>
      </c>
      <c r="N27" s="227">
        <v>970.96294</v>
      </c>
      <c r="O27" s="222">
        <v>376.29639903530801</v>
      </c>
      <c r="P27" s="228">
        <v>212.5</v>
      </c>
      <c r="Q27" s="234">
        <v>1.77080658369557</v>
      </c>
      <c r="R27" s="235">
        <v>372.201031024467</v>
      </c>
      <c r="S27" s="224">
        <v>0.01</v>
      </c>
      <c r="T27" s="224">
        <v>0.01</v>
      </c>
      <c r="U27" s="231">
        <v>0</v>
      </c>
      <c r="V27" s="232">
        <v>0</v>
      </c>
      <c r="W27" s="223"/>
      <c r="X27" s="231">
        <v>1242.4684850000001</v>
      </c>
      <c r="Y27" s="222">
        <v>481.51829236690998</v>
      </c>
      <c r="Z27" s="233">
        <v>573</v>
      </c>
      <c r="AA27" s="244">
        <v>0.84034605997715495</v>
      </c>
      <c r="AB27" s="227">
        <v>-372.07539190814299</v>
      </c>
      <c r="AC27" s="224"/>
      <c r="AD27" s="224"/>
      <c r="AE27" s="232">
        <v>237</v>
      </c>
      <c r="AF27" s="232">
        <v>532</v>
      </c>
      <c r="AG27" s="223"/>
      <c r="AH27" s="236">
        <v>138.55000000000001</v>
      </c>
      <c r="AI27" s="222">
        <v>53.695011352690699</v>
      </c>
      <c r="AJ27" s="237" t="s">
        <v>54</v>
      </c>
      <c r="AK27" s="244">
        <v>0.852301767503027</v>
      </c>
      <c r="AL27" s="227">
        <v>-38.965295366863899</v>
      </c>
      <c r="AM27" s="224"/>
      <c r="AN27" s="224"/>
      <c r="AO27" s="232">
        <v>25</v>
      </c>
      <c r="AP27" s="232">
        <v>57</v>
      </c>
      <c r="AQ27" s="223"/>
      <c r="AR27" s="236">
        <v>10.3</v>
      </c>
      <c r="AS27" s="222">
        <v>3.9917619410517098</v>
      </c>
      <c r="AT27" s="237" t="s">
        <v>55</v>
      </c>
      <c r="AU27" s="229">
        <v>0.249485121315732</v>
      </c>
      <c r="AV27" s="230">
        <v>-34.783249616981301</v>
      </c>
      <c r="AW27" s="224"/>
      <c r="AX27" s="224"/>
      <c r="AY27" s="232">
        <v>31</v>
      </c>
      <c r="AZ27" s="232">
        <v>40</v>
      </c>
      <c r="BA27" s="223"/>
      <c r="BB27" s="240">
        <v>88.4</v>
      </c>
      <c r="BC27" s="236">
        <v>34.259393746501999</v>
      </c>
      <c r="BD27" s="237" t="s">
        <v>56</v>
      </c>
      <c r="BE27" s="238">
        <v>1.0706060545781899</v>
      </c>
      <c r="BF27" s="239">
        <v>-1.76649923396262</v>
      </c>
      <c r="BG27" s="224">
        <v>1.7999999999999999E-2</v>
      </c>
      <c r="BH27" s="224">
        <v>7.0000000000000001E-3</v>
      </c>
      <c r="BI27" s="232">
        <v>0</v>
      </c>
      <c r="BJ27" s="232">
        <v>11</v>
      </c>
      <c r="BK27" s="225"/>
      <c r="BL27" s="241">
        <v>0.8</v>
      </c>
      <c r="BM27" s="238">
        <v>0.81</v>
      </c>
      <c r="BN27" s="242">
        <v>3.7500000000000001E-4</v>
      </c>
      <c r="BO27" s="243">
        <v>0.95</v>
      </c>
      <c r="BP27" s="234">
        <v>1</v>
      </c>
      <c r="BQ27" s="242">
        <v>2.5000000000000001E-3</v>
      </c>
    </row>
    <row r="28" spans="1:69" s="211" customFormat="1" ht="22.35" customHeight="1" x14ac:dyDescent="0.2">
      <c r="A28" s="221" t="s">
        <v>4</v>
      </c>
      <c r="B28" s="221" t="s">
        <v>65</v>
      </c>
      <c r="C28" s="221" t="s">
        <v>79</v>
      </c>
      <c r="D28" s="222">
        <v>9.6894159421111095</v>
      </c>
      <c r="E28" s="223"/>
      <c r="F28" s="224">
        <v>0.05</v>
      </c>
      <c r="G28" s="224">
        <v>0.05</v>
      </c>
      <c r="H28" s="225"/>
      <c r="I28" s="226">
        <v>4</v>
      </c>
      <c r="J28" s="226">
        <v>4</v>
      </c>
      <c r="K28" s="223"/>
      <c r="L28" s="227">
        <v>6569.8665700000001</v>
      </c>
      <c r="M28" s="227">
        <v>5853.5381799999996</v>
      </c>
      <c r="N28" s="227">
        <v>12423.40475</v>
      </c>
      <c r="O28" s="222">
        <v>1282.1623949496</v>
      </c>
      <c r="P28" s="228">
        <v>268.108</v>
      </c>
      <c r="Q28" s="234">
        <v>4.7822608611067201</v>
      </c>
      <c r="R28" s="235">
        <v>9586.5963070869802</v>
      </c>
      <c r="S28" s="224">
        <v>0.01</v>
      </c>
      <c r="T28" s="224">
        <v>0.01</v>
      </c>
      <c r="U28" s="231">
        <v>0</v>
      </c>
      <c r="V28" s="232">
        <v>0</v>
      </c>
      <c r="W28" s="223"/>
      <c r="X28" s="231">
        <v>6743.6315299999997</v>
      </c>
      <c r="Y28" s="222">
        <v>695.97915604918398</v>
      </c>
      <c r="Z28" s="233">
        <v>573</v>
      </c>
      <c r="AA28" s="234">
        <v>1.2146233089863601</v>
      </c>
      <c r="AB28" s="235">
        <v>680.80894436600602</v>
      </c>
      <c r="AC28" s="224">
        <v>0.02</v>
      </c>
      <c r="AD28" s="224">
        <v>0.02</v>
      </c>
      <c r="AE28" s="232">
        <v>0</v>
      </c>
      <c r="AF28" s="232">
        <v>0</v>
      </c>
      <c r="AG28" s="223"/>
      <c r="AH28" s="236">
        <v>389.2</v>
      </c>
      <c r="AI28" s="222">
        <v>40.167539749067899</v>
      </c>
      <c r="AJ28" s="237" t="s">
        <v>54</v>
      </c>
      <c r="AK28" s="229">
        <v>0.63757999601695003</v>
      </c>
      <c r="AL28" s="230">
        <v>-277.39305915347597</v>
      </c>
      <c r="AM28" s="224"/>
      <c r="AN28" s="224"/>
      <c r="AO28" s="232">
        <v>222</v>
      </c>
      <c r="AP28" s="232">
        <v>344</v>
      </c>
      <c r="AQ28" s="223"/>
      <c r="AR28" s="236">
        <v>92.1</v>
      </c>
      <c r="AS28" s="222">
        <v>9.5052168830656498</v>
      </c>
      <c r="AT28" s="237" t="s">
        <v>55</v>
      </c>
      <c r="AU28" s="229">
        <v>0.594076055191603</v>
      </c>
      <c r="AV28" s="230">
        <v>-77.1934753405653</v>
      </c>
      <c r="AW28" s="224"/>
      <c r="AX28" s="224"/>
      <c r="AY28" s="232">
        <v>63</v>
      </c>
      <c r="AZ28" s="232">
        <v>94</v>
      </c>
      <c r="BA28" s="223"/>
      <c r="BB28" s="240">
        <v>430.8</v>
      </c>
      <c r="BC28" s="236">
        <v>44.460884182678399</v>
      </c>
      <c r="BD28" s="237" t="s">
        <v>56</v>
      </c>
      <c r="BE28" s="234">
        <v>1.3894026307087</v>
      </c>
      <c r="BF28" s="235">
        <v>92.213049318869395</v>
      </c>
      <c r="BG28" s="224">
        <v>0.02</v>
      </c>
      <c r="BH28" s="224">
        <v>0.02</v>
      </c>
      <c r="BI28" s="232">
        <v>0</v>
      </c>
      <c r="BJ28" s="232">
        <v>0</v>
      </c>
      <c r="BK28" s="225"/>
      <c r="BL28" s="241">
        <v>0.8</v>
      </c>
      <c r="BM28" s="244">
        <v>0.73</v>
      </c>
      <c r="BN28" s="242"/>
      <c r="BO28" s="243">
        <v>0.95</v>
      </c>
      <c r="BP28" s="234">
        <v>1</v>
      </c>
      <c r="BQ28" s="242">
        <v>2.5000000000000001E-3</v>
      </c>
    </row>
    <row r="29" spans="1:69" s="211" customFormat="1" ht="22.35" customHeight="1" x14ac:dyDescent="0.2">
      <c r="A29" s="221" t="s">
        <v>4</v>
      </c>
      <c r="B29" s="221" t="s">
        <v>65</v>
      </c>
      <c r="C29" s="221" t="s">
        <v>80</v>
      </c>
      <c r="D29" s="222">
        <v>4.4281860372222202</v>
      </c>
      <c r="E29" s="223"/>
      <c r="F29" s="224">
        <v>2.5000000000000001E-2</v>
      </c>
      <c r="G29" s="224">
        <v>1.0999999999999999E-2</v>
      </c>
      <c r="H29" s="225"/>
      <c r="I29" s="226">
        <v>4</v>
      </c>
      <c r="J29" s="226">
        <v>3</v>
      </c>
      <c r="K29" s="223"/>
      <c r="L29" s="227">
        <v>3535.84602</v>
      </c>
      <c r="M29" s="227">
        <v>6.2009100000000004</v>
      </c>
      <c r="N29" s="227">
        <v>3542.04693</v>
      </c>
      <c r="O29" s="222">
        <v>799.88665792865095</v>
      </c>
      <c r="P29" s="228">
        <v>241.767</v>
      </c>
      <c r="Q29" s="234">
        <v>3.3085022270560098</v>
      </c>
      <c r="R29" s="235">
        <v>2372.9634650020698</v>
      </c>
      <c r="S29" s="224">
        <v>0.01</v>
      </c>
      <c r="T29" s="224">
        <v>0.01</v>
      </c>
      <c r="U29" s="231">
        <v>0</v>
      </c>
      <c r="V29" s="232">
        <v>0</v>
      </c>
      <c r="W29" s="223"/>
      <c r="X29" s="231">
        <v>2422.95847</v>
      </c>
      <c r="Y29" s="222">
        <v>547.16727112032299</v>
      </c>
      <c r="Z29" s="233">
        <v>573</v>
      </c>
      <c r="AA29" s="238">
        <v>0.95491670352586899</v>
      </c>
      <c r="AB29" s="239">
        <v>-347.82838446653898</v>
      </c>
      <c r="AC29" s="224">
        <v>5.0000000000000001E-3</v>
      </c>
      <c r="AD29" s="224"/>
      <c r="AE29" s="232">
        <v>115</v>
      </c>
      <c r="AF29" s="232">
        <v>622</v>
      </c>
      <c r="AG29" s="223"/>
      <c r="AH29" s="236">
        <v>168.9</v>
      </c>
      <c r="AI29" s="222">
        <v>38.142028943741003</v>
      </c>
      <c r="AJ29" s="237" t="s">
        <v>54</v>
      </c>
      <c r="AK29" s="229">
        <v>0.60542903085303201</v>
      </c>
      <c r="AL29" s="230">
        <v>-135.74148661673999</v>
      </c>
      <c r="AM29" s="224"/>
      <c r="AN29" s="224"/>
      <c r="AO29" s="232">
        <v>111</v>
      </c>
      <c r="AP29" s="232">
        <v>166</v>
      </c>
      <c r="AQ29" s="223"/>
      <c r="AR29" s="236">
        <v>18.5</v>
      </c>
      <c r="AS29" s="222">
        <v>4.1777829216057398</v>
      </c>
      <c r="AT29" s="237" t="s">
        <v>55</v>
      </c>
      <c r="AU29" s="229">
        <v>0.26111143260035902</v>
      </c>
      <c r="AV29" s="230">
        <v>-58.8692664423466</v>
      </c>
      <c r="AW29" s="224"/>
      <c r="AX29" s="224"/>
      <c r="AY29" s="232">
        <v>53</v>
      </c>
      <c r="AZ29" s="232">
        <v>67</v>
      </c>
      <c r="BA29" s="223"/>
      <c r="BB29" s="240">
        <v>142.19999999999999</v>
      </c>
      <c r="BC29" s="236">
        <v>32.112471970396498</v>
      </c>
      <c r="BD29" s="237" t="s">
        <v>56</v>
      </c>
      <c r="BE29" s="238">
        <v>1.0035147490748899</v>
      </c>
      <c r="BF29" s="239">
        <v>-12.5385328846933</v>
      </c>
      <c r="BG29" s="224">
        <v>0.01</v>
      </c>
      <c r="BH29" s="224">
        <v>1E-3</v>
      </c>
      <c r="BI29" s="232">
        <v>0</v>
      </c>
      <c r="BJ29" s="232">
        <v>28</v>
      </c>
      <c r="BK29" s="225"/>
      <c r="BL29" s="241">
        <v>0.8</v>
      </c>
      <c r="BM29" s="244">
        <v>0.78</v>
      </c>
      <c r="BN29" s="242"/>
      <c r="BO29" s="243">
        <v>0.95</v>
      </c>
      <c r="BP29" s="234">
        <v>1</v>
      </c>
      <c r="BQ29" s="242">
        <v>2.5000000000000001E-3</v>
      </c>
    </row>
    <row r="30" spans="1:69" s="211" customFormat="1" ht="22.35" customHeight="1" x14ac:dyDescent="0.2">
      <c r="A30" s="221" t="s">
        <v>81</v>
      </c>
      <c r="B30" s="221" t="s">
        <v>82</v>
      </c>
      <c r="C30" s="221" t="s">
        <v>83</v>
      </c>
      <c r="D30" s="222">
        <v>6.2436248350000003</v>
      </c>
      <c r="E30" s="223"/>
      <c r="F30" s="224">
        <v>2.5000000000000001E-2</v>
      </c>
      <c r="G30" s="224">
        <v>1.4E-2</v>
      </c>
      <c r="H30" s="225"/>
      <c r="I30" s="226">
        <v>3</v>
      </c>
      <c r="J30" s="226">
        <v>3</v>
      </c>
      <c r="K30" s="223"/>
      <c r="L30" s="227">
        <v>3248.8663299999998</v>
      </c>
      <c r="M30" s="227">
        <v>1849.6137699999999</v>
      </c>
      <c r="N30" s="227">
        <v>5098.4800999999998</v>
      </c>
      <c r="O30" s="222">
        <v>816.58975911226401</v>
      </c>
      <c r="P30" s="228">
        <v>244.696</v>
      </c>
      <c r="Q30" s="234">
        <v>3.3371602278429702</v>
      </c>
      <c r="R30" s="235">
        <v>3430.1333952933201</v>
      </c>
      <c r="S30" s="224">
        <v>0.01</v>
      </c>
      <c r="T30" s="224">
        <v>0.01</v>
      </c>
      <c r="U30" s="231">
        <v>0</v>
      </c>
      <c r="V30" s="232">
        <v>0</v>
      </c>
      <c r="W30" s="223"/>
      <c r="X30" s="231">
        <v>2262.3163599999998</v>
      </c>
      <c r="Y30" s="222">
        <v>362.34021418424999</v>
      </c>
      <c r="Z30" s="233">
        <v>573</v>
      </c>
      <c r="AA30" s="229">
        <v>0.63235639473690997</v>
      </c>
      <c r="AB30" s="230">
        <v>-1644.41959725686</v>
      </c>
      <c r="AC30" s="224"/>
      <c r="AD30" s="224"/>
      <c r="AE30" s="232">
        <v>1316</v>
      </c>
      <c r="AF30" s="232">
        <v>2031</v>
      </c>
      <c r="AG30" s="223"/>
      <c r="AH30" s="236">
        <v>351.2</v>
      </c>
      <c r="AI30" s="222">
        <v>56.249375848348798</v>
      </c>
      <c r="AJ30" s="237" t="s">
        <v>54</v>
      </c>
      <c r="AK30" s="244">
        <v>0.892847235688077</v>
      </c>
      <c r="AL30" s="227">
        <v>-78.336414148660097</v>
      </c>
      <c r="AM30" s="224"/>
      <c r="AN30" s="224"/>
      <c r="AO30" s="232">
        <v>43</v>
      </c>
      <c r="AP30" s="232">
        <v>121</v>
      </c>
      <c r="AQ30" s="223"/>
      <c r="AR30" s="236">
        <v>37.700000000000003</v>
      </c>
      <c r="AS30" s="222">
        <v>6.0381590816706998</v>
      </c>
      <c r="AT30" s="237" t="s">
        <v>55</v>
      </c>
      <c r="AU30" s="229">
        <v>0.37738494260441902</v>
      </c>
      <c r="AV30" s="230">
        <v>-71.388613117120002</v>
      </c>
      <c r="AW30" s="224"/>
      <c r="AX30" s="224"/>
      <c r="AY30" s="232">
        <v>63</v>
      </c>
      <c r="AZ30" s="232">
        <v>83</v>
      </c>
      <c r="BA30" s="223"/>
      <c r="BB30" s="240">
        <v>208.4</v>
      </c>
      <c r="BC30" s="236">
        <v>33.378046488598798</v>
      </c>
      <c r="BD30" s="237" t="s">
        <v>56</v>
      </c>
      <c r="BE30" s="238">
        <v>1.04306395276871</v>
      </c>
      <c r="BF30" s="239">
        <v>-9.7772262342400307</v>
      </c>
      <c r="BG30" s="224">
        <v>1.4999999999999999E-2</v>
      </c>
      <c r="BH30" s="224">
        <v>4.0000000000000001E-3</v>
      </c>
      <c r="BI30" s="232">
        <v>0</v>
      </c>
      <c r="BJ30" s="232">
        <v>32</v>
      </c>
      <c r="BK30" s="225"/>
      <c r="BL30" s="241">
        <v>0.8</v>
      </c>
      <c r="BM30" s="244">
        <v>0.74</v>
      </c>
      <c r="BN30" s="242"/>
      <c r="BO30" s="243">
        <v>0.95</v>
      </c>
      <c r="BP30" s="234">
        <v>1</v>
      </c>
      <c r="BQ30" s="242">
        <v>2.5000000000000001E-3</v>
      </c>
    </row>
    <row r="31" spans="1:69" s="211" customFormat="1" ht="22.35" customHeight="1" x14ac:dyDescent="0.2">
      <c r="A31" s="221" t="s">
        <v>81</v>
      </c>
      <c r="B31" s="221" t="s">
        <v>82</v>
      </c>
      <c r="C31" s="221" t="s">
        <v>84</v>
      </c>
      <c r="D31" s="222">
        <v>2.8402116402222202</v>
      </c>
      <c r="E31" s="223"/>
      <c r="F31" s="224">
        <v>4.2000000000000003E-2</v>
      </c>
      <c r="G31" s="224">
        <v>2.9000000000000001E-2</v>
      </c>
      <c r="H31" s="225"/>
      <c r="I31" s="226">
        <v>5</v>
      </c>
      <c r="J31" s="226">
        <v>3</v>
      </c>
      <c r="K31" s="223"/>
      <c r="L31" s="227">
        <v>1163.5511899999999</v>
      </c>
      <c r="M31" s="227">
        <v>780.40333999999996</v>
      </c>
      <c r="N31" s="227">
        <v>1943.95453</v>
      </c>
      <c r="O31" s="222">
        <v>684.44002639461803</v>
      </c>
      <c r="P31" s="228">
        <v>255.976</v>
      </c>
      <c r="Q31" s="234">
        <v>2.6738445260282901</v>
      </c>
      <c r="R31" s="235">
        <v>1150.04212181926</v>
      </c>
      <c r="S31" s="224">
        <v>0.01</v>
      </c>
      <c r="T31" s="224">
        <v>0.01</v>
      </c>
      <c r="U31" s="231">
        <v>0</v>
      </c>
      <c r="V31" s="232">
        <v>0</v>
      </c>
      <c r="W31" s="223"/>
      <c r="X31" s="231">
        <v>1935.332085</v>
      </c>
      <c r="Y31" s="222">
        <v>681.40418044641797</v>
      </c>
      <c r="Z31" s="233">
        <v>573</v>
      </c>
      <c r="AA31" s="234">
        <v>1.1891870513899101</v>
      </c>
      <c r="AB31" s="235">
        <v>158.16621832671299</v>
      </c>
      <c r="AC31" s="224">
        <v>0.02</v>
      </c>
      <c r="AD31" s="224">
        <v>1.9E-2</v>
      </c>
      <c r="AE31" s="232">
        <v>0</v>
      </c>
      <c r="AF31" s="232">
        <v>18</v>
      </c>
      <c r="AG31" s="223"/>
      <c r="AH31" s="236">
        <v>171.55</v>
      </c>
      <c r="AI31" s="222">
        <v>60.400428464752601</v>
      </c>
      <c r="AJ31" s="237" t="s">
        <v>54</v>
      </c>
      <c r="AK31" s="238">
        <v>0.95873695975797801</v>
      </c>
      <c r="AL31" s="239">
        <v>-23.8452000007279</v>
      </c>
      <c r="AM31" s="224">
        <v>5.0000000000000001E-3</v>
      </c>
      <c r="AN31" s="224"/>
      <c r="AO31" s="232">
        <v>8</v>
      </c>
      <c r="AP31" s="232">
        <v>44</v>
      </c>
      <c r="AQ31" s="223"/>
      <c r="AR31" s="236">
        <v>22.2</v>
      </c>
      <c r="AS31" s="222">
        <v>7.8163189269455398</v>
      </c>
      <c r="AT31" s="237" t="s">
        <v>55</v>
      </c>
      <c r="AU31" s="229">
        <v>0.48851993293409601</v>
      </c>
      <c r="AV31" s="230">
        <v>-27.424177777962601</v>
      </c>
      <c r="AW31" s="224"/>
      <c r="AX31" s="224"/>
      <c r="AY31" s="232">
        <v>24</v>
      </c>
      <c r="AZ31" s="232">
        <v>33</v>
      </c>
      <c r="BA31" s="223"/>
      <c r="BB31" s="240">
        <v>88.8</v>
      </c>
      <c r="BC31" s="236">
        <v>31.265275707782202</v>
      </c>
      <c r="BD31" s="237" t="s">
        <v>56</v>
      </c>
      <c r="BE31" s="238">
        <v>0.97703986586819302</v>
      </c>
      <c r="BF31" s="239">
        <v>-10.4483555559253</v>
      </c>
      <c r="BG31" s="224">
        <v>7.0000000000000001E-3</v>
      </c>
      <c r="BH31" s="224"/>
      <c r="BI31" s="232">
        <v>3</v>
      </c>
      <c r="BJ31" s="232">
        <v>21</v>
      </c>
      <c r="BK31" s="225"/>
      <c r="BL31" s="241">
        <v>0.8</v>
      </c>
      <c r="BM31" s="229">
        <v>0.67</v>
      </c>
      <c r="BN31" s="242"/>
      <c r="BO31" s="243">
        <v>0.95</v>
      </c>
      <c r="BP31" s="234">
        <v>1</v>
      </c>
      <c r="BQ31" s="242">
        <v>2.5000000000000001E-3</v>
      </c>
    </row>
    <row r="32" spans="1:69" s="211" customFormat="1" ht="22.35" customHeight="1" x14ac:dyDescent="0.2">
      <c r="A32" s="221" t="s">
        <v>81</v>
      </c>
      <c r="B32" s="221" t="s">
        <v>82</v>
      </c>
      <c r="C32" s="221" t="s">
        <v>85</v>
      </c>
      <c r="D32" s="222">
        <v>7.4919696311111101</v>
      </c>
      <c r="E32" s="223"/>
      <c r="F32" s="224">
        <v>0.01</v>
      </c>
      <c r="G32" s="224">
        <v>0.01</v>
      </c>
      <c r="H32" s="225"/>
      <c r="I32" s="226">
        <v>2</v>
      </c>
      <c r="J32" s="226">
        <v>2</v>
      </c>
      <c r="K32" s="223"/>
      <c r="L32" s="227">
        <v>5504.2335599999997</v>
      </c>
      <c r="M32" s="227">
        <v>1612.01063</v>
      </c>
      <c r="N32" s="227">
        <v>7116.2441900000003</v>
      </c>
      <c r="O32" s="222">
        <v>949.84957766634898</v>
      </c>
      <c r="P32" s="228">
        <v>282.02199999999999</v>
      </c>
      <c r="Q32" s="234">
        <v>3.3679981620807902</v>
      </c>
      <c r="R32" s="235">
        <v>4808.9571068387004</v>
      </c>
      <c r="S32" s="224">
        <v>0.01</v>
      </c>
      <c r="T32" s="224">
        <v>0.01</v>
      </c>
      <c r="U32" s="231">
        <v>0</v>
      </c>
      <c r="V32" s="232">
        <v>0</v>
      </c>
      <c r="W32" s="223"/>
      <c r="X32" s="231">
        <v>3464.2276649999999</v>
      </c>
      <c r="Y32" s="222">
        <v>462.392112564694</v>
      </c>
      <c r="Z32" s="233">
        <v>573</v>
      </c>
      <c r="AA32" s="244">
        <v>0.806967037634719</v>
      </c>
      <c r="AB32" s="227">
        <v>-1223.61760470032</v>
      </c>
      <c r="AC32" s="224"/>
      <c r="AD32" s="224"/>
      <c r="AE32" s="232">
        <v>829</v>
      </c>
      <c r="AF32" s="232">
        <v>1688</v>
      </c>
      <c r="AG32" s="223"/>
      <c r="AH32" s="236">
        <v>231.8</v>
      </c>
      <c r="AI32" s="222">
        <v>30.939794394978399</v>
      </c>
      <c r="AJ32" s="237" t="s">
        <v>54</v>
      </c>
      <c r="AK32" s="229">
        <v>0.49110784753934</v>
      </c>
      <c r="AL32" s="230">
        <v>-283.61754274191998</v>
      </c>
      <c r="AM32" s="224"/>
      <c r="AN32" s="224"/>
      <c r="AO32" s="232">
        <v>241</v>
      </c>
      <c r="AP32" s="232">
        <v>335</v>
      </c>
      <c r="AQ32" s="223"/>
      <c r="AR32" s="236">
        <v>45.2</v>
      </c>
      <c r="AS32" s="222">
        <v>6.0331264307723202</v>
      </c>
      <c r="AT32" s="237" t="s">
        <v>55</v>
      </c>
      <c r="AU32" s="229">
        <v>0.37707040192327002</v>
      </c>
      <c r="AV32" s="230">
        <v>-85.699693394773305</v>
      </c>
      <c r="AW32" s="224"/>
      <c r="AX32" s="224"/>
      <c r="AY32" s="232">
        <v>75</v>
      </c>
      <c r="AZ32" s="232">
        <v>99</v>
      </c>
      <c r="BA32" s="223"/>
      <c r="BB32" s="240">
        <v>178</v>
      </c>
      <c r="BC32" s="236">
        <v>23.758772227377701</v>
      </c>
      <c r="BD32" s="237" t="s">
        <v>56</v>
      </c>
      <c r="BE32" s="244">
        <v>0.74246163210555405</v>
      </c>
      <c r="BF32" s="227">
        <v>-83.799386789546602</v>
      </c>
      <c r="BG32" s="224"/>
      <c r="BH32" s="224"/>
      <c r="BI32" s="232">
        <v>62</v>
      </c>
      <c r="BJ32" s="232">
        <v>110</v>
      </c>
      <c r="BK32" s="225"/>
      <c r="BL32" s="241">
        <v>0.8</v>
      </c>
      <c r="BM32" s="229">
        <v>0.69</v>
      </c>
      <c r="BN32" s="242"/>
      <c r="BO32" s="243">
        <v>0.95</v>
      </c>
      <c r="BP32" s="234">
        <v>1</v>
      </c>
      <c r="BQ32" s="242">
        <v>2.5000000000000001E-3</v>
      </c>
    </row>
    <row r="33" spans="1:69" s="211" customFormat="1" ht="22.35" customHeight="1" x14ac:dyDescent="0.2">
      <c r="A33" s="221" t="s">
        <v>81</v>
      </c>
      <c r="B33" s="221" t="s">
        <v>82</v>
      </c>
      <c r="C33" s="221" t="s">
        <v>86</v>
      </c>
      <c r="D33" s="222">
        <v>8.0712319791111096</v>
      </c>
      <c r="E33" s="223"/>
      <c r="F33" s="224">
        <v>0.03</v>
      </c>
      <c r="G33" s="224">
        <v>0.02</v>
      </c>
      <c r="H33" s="225"/>
      <c r="I33" s="226">
        <v>3</v>
      </c>
      <c r="J33" s="226">
        <v>3</v>
      </c>
      <c r="K33" s="223"/>
      <c r="L33" s="227">
        <v>3706.5583200000001</v>
      </c>
      <c r="M33" s="227">
        <v>4222.6799600000004</v>
      </c>
      <c r="N33" s="227">
        <v>7929.2382799999996</v>
      </c>
      <c r="O33" s="222">
        <v>982.407431792495</v>
      </c>
      <c r="P33" s="228">
        <v>276.94400000000002</v>
      </c>
      <c r="Q33" s="234">
        <v>3.5473143732758099</v>
      </c>
      <c r="R33" s="235">
        <v>5488.3133180085397</v>
      </c>
      <c r="S33" s="224">
        <v>0.01</v>
      </c>
      <c r="T33" s="224">
        <v>0.01</v>
      </c>
      <c r="U33" s="231">
        <v>0</v>
      </c>
      <c r="V33" s="232">
        <v>0</v>
      </c>
      <c r="W33" s="223"/>
      <c r="X33" s="231">
        <v>3939.0106700000001</v>
      </c>
      <c r="Y33" s="222">
        <v>488.03090782106398</v>
      </c>
      <c r="Z33" s="233">
        <v>573</v>
      </c>
      <c r="AA33" s="244">
        <v>0.85171188101407302</v>
      </c>
      <c r="AB33" s="227">
        <v>-1111.28831904149</v>
      </c>
      <c r="AC33" s="224"/>
      <c r="AD33" s="224"/>
      <c r="AE33" s="232">
        <v>686</v>
      </c>
      <c r="AF33" s="232">
        <v>1611</v>
      </c>
      <c r="AG33" s="223"/>
      <c r="AH33" s="236">
        <v>353.65</v>
      </c>
      <c r="AI33" s="222">
        <v>43.8161114579868</v>
      </c>
      <c r="AJ33" s="237" t="s">
        <v>54</v>
      </c>
      <c r="AK33" s="229">
        <v>0.69549383266645703</v>
      </c>
      <c r="AL33" s="230">
        <v>-201.61847523492801</v>
      </c>
      <c r="AM33" s="224"/>
      <c r="AN33" s="224"/>
      <c r="AO33" s="232">
        <v>155</v>
      </c>
      <c r="AP33" s="232">
        <v>257</v>
      </c>
      <c r="AQ33" s="223"/>
      <c r="AR33" s="236">
        <v>61.6</v>
      </c>
      <c r="AS33" s="222">
        <v>7.6320442975031497</v>
      </c>
      <c r="AT33" s="237" t="s">
        <v>55</v>
      </c>
      <c r="AU33" s="229">
        <v>0.47700276859394702</v>
      </c>
      <c r="AV33" s="230">
        <v>-79.420565139029307</v>
      </c>
      <c r="AW33" s="224"/>
      <c r="AX33" s="224"/>
      <c r="AY33" s="232">
        <v>68</v>
      </c>
      <c r="AZ33" s="232">
        <v>94</v>
      </c>
      <c r="BA33" s="223"/>
      <c r="BB33" s="240">
        <v>283.8</v>
      </c>
      <c r="BC33" s="236">
        <v>35.161918370639498</v>
      </c>
      <c r="BD33" s="237" t="s">
        <v>56</v>
      </c>
      <c r="BE33" s="234">
        <v>1.0988099490824801</v>
      </c>
      <c r="BF33" s="235">
        <v>1.75886972194138</v>
      </c>
      <c r="BG33" s="224">
        <v>0.02</v>
      </c>
      <c r="BH33" s="224">
        <v>0.01</v>
      </c>
      <c r="BI33" s="232">
        <v>0</v>
      </c>
      <c r="BJ33" s="232">
        <v>27</v>
      </c>
      <c r="BK33" s="225"/>
      <c r="BL33" s="241">
        <v>0.8</v>
      </c>
      <c r="BM33" s="229">
        <v>0.65</v>
      </c>
      <c r="BN33" s="242"/>
      <c r="BO33" s="243">
        <v>0.95</v>
      </c>
      <c r="BP33" s="234">
        <v>1</v>
      </c>
      <c r="BQ33" s="242">
        <v>2.5000000000000001E-3</v>
      </c>
    </row>
    <row r="34" spans="1:69" s="211" customFormat="1" ht="22.35" customHeight="1" x14ac:dyDescent="0.2">
      <c r="A34" s="221" t="s">
        <v>81</v>
      </c>
      <c r="B34" s="221" t="s">
        <v>82</v>
      </c>
      <c r="C34" s="221" t="s">
        <v>87</v>
      </c>
      <c r="D34" s="222">
        <v>1.4323658323333299</v>
      </c>
      <c r="E34" s="223"/>
      <c r="F34" s="224">
        <v>0.01</v>
      </c>
      <c r="G34" s="224">
        <v>0.01</v>
      </c>
      <c r="H34" s="225"/>
      <c r="I34" s="226">
        <v>3</v>
      </c>
      <c r="J34" s="226">
        <v>3</v>
      </c>
      <c r="K34" s="223"/>
      <c r="L34" s="227">
        <v>1280.3933300000001</v>
      </c>
      <c r="M34" s="227">
        <v>-22.667369999999998</v>
      </c>
      <c r="N34" s="227">
        <v>1257.72596</v>
      </c>
      <c r="O34" s="222">
        <v>878.07592977218405</v>
      </c>
      <c r="P34" s="228">
        <v>276.94400000000002</v>
      </c>
      <c r="Q34" s="234">
        <v>3.1705901906962599</v>
      </c>
      <c r="R34" s="235">
        <v>824.54580560786405</v>
      </c>
      <c r="S34" s="224">
        <v>0.01</v>
      </c>
      <c r="T34" s="224">
        <v>0.01</v>
      </c>
      <c r="U34" s="231">
        <v>0</v>
      </c>
      <c r="V34" s="232">
        <v>0</v>
      </c>
      <c r="W34" s="223"/>
      <c r="X34" s="231">
        <v>434.900645</v>
      </c>
      <c r="Y34" s="222">
        <v>303.62400106371098</v>
      </c>
      <c r="Z34" s="233">
        <v>573</v>
      </c>
      <c r="AA34" s="229">
        <v>0.529884818610317</v>
      </c>
      <c r="AB34" s="230">
        <v>-461.35357414428199</v>
      </c>
      <c r="AC34" s="224"/>
      <c r="AD34" s="224"/>
      <c r="AE34" s="232">
        <v>386</v>
      </c>
      <c r="AF34" s="232">
        <v>550</v>
      </c>
      <c r="AG34" s="223"/>
      <c r="AH34" s="236">
        <v>30.3</v>
      </c>
      <c r="AI34" s="222">
        <v>21.1538137227422</v>
      </c>
      <c r="AJ34" s="237" t="s">
        <v>54</v>
      </c>
      <c r="AK34" s="229">
        <v>0.335774820995909</v>
      </c>
      <c r="AL34" s="230">
        <v>-68.241039801203797</v>
      </c>
      <c r="AM34" s="224"/>
      <c r="AN34" s="224"/>
      <c r="AO34" s="232">
        <v>60</v>
      </c>
      <c r="AP34" s="232">
        <v>78</v>
      </c>
      <c r="AQ34" s="223"/>
      <c r="AR34" s="236">
        <v>4.8</v>
      </c>
      <c r="AS34" s="222">
        <v>3.3510992036027298</v>
      </c>
      <c r="AT34" s="237" t="s">
        <v>55</v>
      </c>
      <c r="AU34" s="229">
        <v>0.209443700225171</v>
      </c>
      <c r="AV34" s="230">
        <v>-20.226295822527899</v>
      </c>
      <c r="AW34" s="224"/>
      <c r="AX34" s="224"/>
      <c r="AY34" s="232">
        <v>19</v>
      </c>
      <c r="AZ34" s="232">
        <v>23</v>
      </c>
      <c r="BA34" s="223"/>
      <c r="BB34" s="240">
        <v>27.4</v>
      </c>
      <c r="BC34" s="236">
        <v>19.129191287232299</v>
      </c>
      <c r="BD34" s="237" t="s">
        <v>56</v>
      </c>
      <c r="BE34" s="229">
        <v>0.59778722772600801</v>
      </c>
      <c r="BF34" s="230">
        <v>-22.6525916450559</v>
      </c>
      <c r="BG34" s="224"/>
      <c r="BH34" s="224"/>
      <c r="BI34" s="232">
        <v>19</v>
      </c>
      <c r="BJ34" s="232">
        <v>28</v>
      </c>
      <c r="BK34" s="225"/>
      <c r="BL34" s="241">
        <v>0.8</v>
      </c>
      <c r="BM34" s="238">
        <v>0.81</v>
      </c>
      <c r="BN34" s="242">
        <v>3.7500000000000001E-4</v>
      </c>
      <c r="BO34" s="243">
        <v>0.95</v>
      </c>
      <c r="BP34" s="234">
        <v>1</v>
      </c>
      <c r="BQ34" s="242">
        <v>2.5000000000000001E-3</v>
      </c>
    </row>
    <row r="35" spans="1:69" s="211" customFormat="1" ht="22.35" customHeight="1" x14ac:dyDescent="0.2">
      <c r="A35" s="221" t="s">
        <v>81</v>
      </c>
      <c r="B35" s="221" t="s">
        <v>82</v>
      </c>
      <c r="C35" s="221" t="s">
        <v>88</v>
      </c>
      <c r="D35" s="222">
        <v>2.4192814678888901</v>
      </c>
      <c r="E35" s="223"/>
      <c r="F35" s="224">
        <v>3.7999999999999999E-2</v>
      </c>
      <c r="G35" s="224">
        <v>2.3E-2</v>
      </c>
      <c r="H35" s="225"/>
      <c r="I35" s="226">
        <v>4</v>
      </c>
      <c r="J35" s="226">
        <v>3</v>
      </c>
      <c r="K35" s="223"/>
      <c r="L35" s="227">
        <v>1550.0249899999999</v>
      </c>
      <c r="M35" s="227">
        <v>639.32248000000004</v>
      </c>
      <c r="N35" s="227">
        <v>2189.3474700000002</v>
      </c>
      <c r="O35" s="222">
        <v>904.95773189651504</v>
      </c>
      <c r="P35" s="228">
        <v>237.21100000000001</v>
      </c>
      <c r="Q35" s="234">
        <v>3.8149905860036601</v>
      </c>
      <c r="R35" s="235">
        <v>1562.6703175028999</v>
      </c>
      <c r="S35" s="224">
        <v>0.01</v>
      </c>
      <c r="T35" s="224">
        <v>0.01</v>
      </c>
      <c r="U35" s="231">
        <v>0</v>
      </c>
      <c r="V35" s="232">
        <v>0</v>
      </c>
      <c r="W35" s="223"/>
      <c r="X35" s="231">
        <v>1570.8900349999999</v>
      </c>
      <c r="Y35" s="222">
        <v>649.32090616590699</v>
      </c>
      <c r="Z35" s="233">
        <v>573</v>
      </c>
      <c r="AA35" s="234">
        <v>1.13319529871886</v>
      </c>
      <c r="AB35" s="235">
        <v>57.106912038435198</v>
      </c>
      <c r="AC35" s="224">
        <v>0.02</v>
      </c>
      <c r="AD35" s="224">
        <v>1.2999999999999999E-2</v>
      </c>
      <c r="AE35" s="232">
        <v>0</v>
      </c>
      <c r="AF35" s="232">
        <v>93</v>
      </c>
      <c r="AG35" s="223"/>
      <c r="AH35" s="236">
        <v>149.69999999999999</v>
      </c>
      <c r="AI35" s="222">
        <v>61.8778765459775</v>
      </c>
      <c r="AJ35" s="237" t="s">
        <v>54</v>
      </c>
      <c r="AK35" s="238">
        <v>0.98218851660281803</v>
      </c>
      <c r="AL35" s="239">
        <v>-16.7368878648841</v>
      </c>
      <c r="AM35" s="224">
        <v>8.0000000000000002E-3</v>
      </c>
      <c r="AN35" s="224"/>
      <c r="AO35" s="232">
        <v>3</v>
      </c>
      <c r="AP35" s="232">
        <v>34</v>
      </c>
      <c r="AQ35" s="223"/>
      <c r="AR35" s="236">
        <v>24.4</v>
      </c>
      <c r="AS35" s="222">
        <v>10.0856391965387</v>
      </c>
      <c r="AT35" s="237" t="s">
        <v>55</v>
      </c>
      <c r="AU35" s="229">
        <v>0.630352449783672</v>
      </c>
      <c r="AV35" s="230">
        <v>-17.869685806954699</v>
      </c>
      <c r="AW35" s="224"/>
      <c r="AX35" s="224"/>
      <c r="AY35" s="232">
        <v>15</v>
      </c>
      <c r="AZ35" s="232">
        <v>23</v>
      </c>
      <c r="BA35" s="223"/>
      <c r="BB35" s="240">
        <v>68.2</v>
      </c>
      <c r="BC35" s="236">
        <v>28.190188246063201</v>
      </c>
      <c r="BD35" s="237" t="s">
        <v>56</v>
      </c>
      <c r="BE35" s="244">
        <v>0.88094338268947603</v>
      </c>
      <c r="BF35" s="227">
        <v>-16.3393716139094</v>
      </c>
      <c r="BG35" s="224"/>
      <c r="BH35" s="224"/>
      <c r="BI35" s="232">
        <v>10</v>
      </c>
      <c r="BJ35" s="232">
        <v>25</v>
      </c>
      <c r="BK35" s="225"/>
      <c r="BL35" s="241">
        <v>0.8</v>
      </c>
      <c r="BM35" s="229">
        <v>0.64</v>
      </c>
      <c r="BN35" s="242"/>
      <c r="BO35" s="243">
        <v>0.95</v>
      </c>
      <c r="BP35" s="234">
        <v>1</v>
      </c>
      <c r="BQ35" s="242">
        <v>2.5000000000000001E-3</v>
      </c>
    </row>
    <row r="36" spans="1:69" s="211" customFormat="1" ht="22.35" customHeight="1" x14ac:dyDescent="0.2">
      <c r="A36" s="221" t="s">
        <v>81</v>
      </c>
      <c r="B36" s="221" t="s">
        <v>82</v>
      </c>
      <c r="C36" s="221" t="s">
        <v>89</v>
      </c>
      <c r="D36" s="222">
        <v>2.4492784859999999</v>
      </c>
      <c r="E36" s="223"/>
      <c r="F36" s="224">
        <v>0.03</v>
      </c>
      <c r="G36" s="224">
        <v>2.9000000000000001E-2</v>
      </c>
      <c r="H36" s="225"/>
      <c r="I36" s="226">
        <v>3</v>
      </c>
      <c r="J36" s="226">
        <v>3</v>
      </c>
      <c r="K36" s="223"/>
      <c r="L36" s="227">
        <v>1200.03495</v>
      </c>
      <c r="M36" s="227">
        <v>2091.0634</v>
      </c>
      <c r="N36" s="227">
        <v>3291.0983500000002</v>
      </c>
      <c r="O36" s="222">
        <v>1343.70116293913</v>
      </c>
      <c r="P36" s="228">
        <v>282.02199999999999</v>
      </c>
      <c r="Q36" s="234">
        <v>4.7645260403058298</v>
      </c>
      <c r="R36" s="235">
        <v>2536.7988944408698</v>
      </c>
      <c r="S36" s="224">
        <v>0.01</v>
      </c>
      <c r="T36" s="224">
        <v>0.01</v>
      </c>
      <c r="U36" s="231">
        <v>0</v>
      </c>
      <c r="V36" s="232">
        <v>0</v>
      </c>
      <c r="W36" s="223"/>
      <c r="X36" s="231">
        <v>1176.94487</v>
      </c>
      <c r="Y36" s="222">
        <v>480.52717431985798</v>
      </c>
      <c r="Z36" s="233">
        <v>573</v>
      </c>
      <c r="AA36" s="244">
        <v>0.83861636006955997</v>
      </c>
      <c r="AB36" s="227">
        <v>-355.607867145976</v>
      </c>
      <c r="AC36" s="224"/>
      <c r="AD36" s="224"/>
      <c r="AE36" s="232">
        <v>227</v>
      </c>
      <c r="AF36" s="232">
        <v>508</v>
      </c>
      <c r="AG36" s="223"/>
      <c r="AH36" s="236">
        <v>139.4</v>
      </c>
      <c r="AI36" s="222">
        <v>56.914720313270202</v>
      </c>
      <c r="AJ36" s="237" t="s">
        <v>54</v>
      </c>
      <c r="AK36" s="244">
        <v>0.90340825894079702</v>
      </c>
      <c r="AL36" s="227">
        <v>-29.100562722856001</v>
      </c>
      <c r="AM36" s="224"/>
      <c r="AN36" s="224"/>
      <c r="AO36" s="232">
        <v>15</v>
      </c>
      <c r="AP36" s="232">
        <v>46</v>
      </c>
      <c r="AQ36" s="223"/>
      <c r="AR36" s="236">
        <v>15.6</v>
      </c>
      <c r="AS36" s="222">
        <v>6.3692226462483204</v>
      </c>
      <c r="AT36" s="237" t="s">
        <v>55</v>
      </c>
      <c r="AU36" s="229">
        <v>0.39807641539052002</v>
      </c>
      <c r="AV36" s="230">
        <v>-27.193793707392</v>
      </c>
      <c r="AW36" s="224"/>
      <c r="AX36" s="224"/>
      <c r="AY36" s="232">
        <v>24</v>
      </c>
      <c r="AZ36" s="232">
        <v>32</v>
      </c>
      <c r="BA36" s="223"/>
      <c r="BB36" s="240">
        <v>93.6</v>
      </c>
      <c r="BC36" s="236">
        <v>38.215335877489899</v>
      </c>
      <c r="BD36" s="237" t="s">
        <v>56</v>
      </c>
      <c r="BE36" s="234">
        <v>1.19422924617156</v>
      </c>
      <c r="BF36" s="235">
        <v>8.0124125852160102</v>
      </c>
      <c r="BG36" s="224">
        <v>0.02</v>
      </c>
      <c r="BH36" s="224">
        <v>1.9E-2</v>
      </c>
      <c r="BI36" s="232">
        <v>0</v>
      </c>
      <c r="BJ36" s="232">
        <v>1</v>
      </c>
      <c r="BK36" s="225"/>
      <c r="BL36" s="241">
        <v>0.8</v>
      </c>
      <c r="BM36" s="244">
        <v>0.76</v>
      </c>
      <c r="BN36" s="242"/>
      <c r="BO36" s="243">
        <v>0.95</v>
      </c>
      <c r="BP36" s="234">
        <v>1</v>
      </c>
      <c r="BQ36" s="242">
        <v>2.5000000000000001E-3</v>
      </c>
    </row>
    <row r="37" spans="1:69" s="211" customFormat="1" ht="22.35" customHeight="1" x14ac:dyDescent="0.2">
      <c r="A37" s="221" t="s">
        <v>81</v>
      </c>
      <c r="B37" s="221" t="s">
        <v>82</v>
      </c>
      <c r="C37" s="221" t="s">
        <v>90</v>
      </c>
      <c r="D37" s="222">
        <v>3.7485407748888901</v>
      </c>
      <c r="E37" s="223"/>
      <c r="F37" s="224">
        <v>2.8000000000000001E-2</v>
      </c>
      <c r="G37" s="224">
        <v>1.7000000000000001E-2</v>
      </c>
      <c r="H37" s="225"/>
      <c r="I37" s="226">
        <v>2</v>
      </c>
      <c r="J37" s="226">
        <v>2</v>
      </c>
      <c r="K37" s="223"/>
      <c r="L37" s="227">
        <v>1043.1998000000001</v>
      </c>
      <c r="M37" s="227">
        <v>1898.29962</v>
      </c>
      <c r="N37" s="227">
        <v>2941.4994200000001</v>
      </c>
      <c r="O37" s="222">
        <v>784.70519507345898</v>
      </c>
      <c r="P37" s="228">
        <v>231.66</v>
      </c>
      <c r="Q37" s="234">
        <v>3.3873141460479101</v>
      </c>
      <c r="R37" s="235">
        <v>1993.2208641454499</v>
      </c>
      <c r="S37" s="224">
        <v>0.01</v>
      </c>
      <c r="T37" s="224">
        <v>0.01</v>
      </c>
      <c r="U37" s="231">
        <v>0</v>
      </c>
      <c r="V37" s="232">
        <v>0</v>
      </c>
      <c r="W37" s="223"/>
      <c r="X37" s="231">
        <v>2297.4682699999998</v>
      </c>
      <c r="Y37" s="222">
        <v>612.89669980129804</v>
      </c>
      <c r="Z37" s="233">
        <v>573</v>
      </c>
      <c r="AA37" s="238">
        <v>1.06962774834432</v>
      </c>
      <c r="AB37" s="239">
        <v>-48.053669500377097</v>
      </c>
      <c r="AC37" s="224">
        <v>1.7999999999999999E-2</v>
      </c>
      <c r="AD37" s="224">
        <v>7.0000000000000001E-3</v>
      </c>
      <c r="AE37" s="232">
        <v>0</v>
      </c>
      <c r="AF37" s="232">
        <v>281</v>
      </c>
      <c r="AG37" s="223"/>
      <c r="AH37" s="236">
        <v>195.2</v>
      </c>
      <c r="AI37" s="222">
        <v>52.073596559926997</v>
      </c>
      <c r="AJ37" s="237" t="s">
        <v>54</v>
      </c>
      <c r="AK37" s="244">
        <v>0.826565024760745</v>
      </c>
      <c r="AL37" s="227">
        <v>-62.684611149256099</v>
      </c>
      <c r="AM37" s="224"/>
      <c r="AN37" s="224"/>
      <c r="AO37" s="232">
        <v>41</v>
      </c>
      <c r="AP37" s="232">
        <v>89</v>
      </c>
      <c r="AQ37" s="223"/>
      <c r="AR37" s="236">
        <v>18.100000000000001</v>
      </c>
      <c r="AS37" s="222">
        <v>4.8285455826571599</v>
      </c>
      <c r="AT37" s="237" t="s">
        <v>55</v>
      </c>
      <c r="AU37" s="229">
        <v>0.301784098916072</v>
      </c>
      <c r="AV37" s="230">
        <v>-47.394504418858702</v>
      </c>
      <c r="AW37" s="224"/>
      <c r="AX37" s="224"/>
      <c r="AY37" s="232">
        <v>42</v>
      </c>
      <c r="AZ37" s="232">
        <v>54</v>
      </c>
      <c r="BA37" s="223"/>
      <c r="BB37" s="240">
        <v>95</v>
      </c>
      <c r="BC37" s="236">
        <v>25.343195047095598</v>
      </c>
      <c r="BD37" s="237" t="s">
        <v>56</v>
      </c>
      <c r="BE37" s="244">
        <v>0.791974845221737</v>
      </c>
      <c r="BF37" s="227">
        <v>-35.9890088377174</v>
      </c>
      <c r="BG37" s="224"/>
      <c r="BH37" s="224"/>
      <c r="BI37" s="232">
        <v>25</v>
      </c>
      <c r="BJ37" s="232">
        <v>49</v>
      </c>
      <c r="BK37" s="225"/>
      <c r="BL37" s="241">
        <v>0.8</v>
      </c>
      <c r="BM37" s="229">
        <v>0.67</v>
      </c>
      <c r="BN37" s="242"/>
      <c r="BO37" s="243">
        <v>0.95</v>
      </c>
      <c r="BP37" s="244">
        <v>0.94</v>
      </c>
      <c r="BQ37" s="242"/>
    </row>
    <row r="38" spans="1:69" s="211" customFormat="1" ht="22.35" customHeight="1" x14ac:dyDescent="0.2">
      <c r="A38" s="221" t="s">
        <v>81</v>
      </c>
      <c r="B38" s="221" t="s">
        <v>82</v>
      </c>
      <c r="C38" s="221" t="s">
        <v>91</v>
      </c>
      <c r="D38" s="222">
        <v>5.80392696766667</v>
      </c>
      <c r="E38" s="223"/>
      <c r="F38" s="224">
        <v>2.1000000000000001E-2</v>
      </c>
      <c r="G38" s="224">
        <v>1.0999999999999999E-2</v>
      </c>
      <c r="H38" s="225"/>
      <c r="I38" s="226">
        <v>2</v>
      </c>
      <c r="J38" s="226">
        <v>2</v>
      </c>
      <c r="K38" s="223"/>
      <c r="L38" s="227">
        <v>788.31001000000003</v>
      </c>
      <c r="M38" s="227">
        <v>1131.4118100000001</v>
      </c>
      <c r="N38" s="227">
        <v>1919.72182</v>
      </c>
      <c r="O38" s="222">
        <v>330.76257346011698</v>
      </c>
      <c r="P38" s="228">
        <v>236.59800000000001</v>
      </c>
      <c r="Q38" s="234">
        <v>1.39799395371101</v>
      </c>
      <c r="R38" s="235">
        <v>420.190136135969</v>
      </c>
      <c r="S38" s="224">
        <v>0.01</v>
      </c>
      <c r="T38" s="224">
        <v>0.01</v>
      </c>
      <c r="U38" s="231">
        <v>0</v>
      </c>
      <c r="V38" s="232">
        <v>0</v>
      </c>
      <c r="W38" s="223"/>
      <c r="X38" s="231">
        <v>3349.5492949999998</v>
      </c>
      <c r="Y38" s="222">
        <v>577.117753834626</v>
      </c>
      <c r="Z38" s="233">
        <v>573</v>
      </c>
      <c r="AA38" s="238">
        <v>1.00718630686671</v>
      </c>
      <c r="AB38" s="239">
        <v>-282.06067150051803</v>
      </c>
      <c r="AC38" s="224">
        <v>1.0999999999999999E-2</v>
      </c>
      <c r="AD38" s="224">
        <v>1E-3</v>
      </c>
      <c r="AE38" s="232">
        <v>0</v>
      </c>
      <c r="AF38" s="232">
        <v>642</v>
      </c>
      <c r="AG38" s="223"/>
      <c r="AH38" s="236">
        <v>267.25</v>
      </c>
      <c r="AI38" s="222">
        <v>46.046409868496603</v>
      </c>
      <c r="AJ38" s="237" t="s">
        <v>54</v>
      </c>
      <c r="AK38" s="244">
        <v>0.73089539473804099</v>
      </c>
      <c r="AL38" s="227">
        <v>-132.03695966759599</v>
      </c>
      <c r="AM38" s="224"/>
      <c r="AN38" s="224"/>
      <c r="AO38" s="232">
        <v>99</v>
      </c>
      <c r="AP38" s="232">
        <v>172</v>
      </c>
      <c r="AQ38" s="223"/>
      <c r="AR38" s="236">
        <v>40.5</v>
      </c>
      <c r="AS38" s="222">
        <v>6.9780340492950899</v>
      </c>
      <c r="AT38" s="237" t="s">
        <v>55</v>
      </c>
      <c r="AU38" s="229">
        <v>0.43612712808094301</v>
      </c>
      <c r="AV38" s="230">
        <v>-60.906211979072097</v>
      </c>
      <c r="AW38" s="224"/>
      <c r="AX38" s="224"/>
      <c r="AY38" s="232">
        <v>53</v>
      </c>
      <c r="AZ38" s="232">
        <v>71</v>
      </c>
      <c r="BA38" s="223"/>
      <c r="BB38" s="240">
        <v>163.19999999999999</v>
      </c>
      <c r="BC38" s="236">
        <v>28.118892761603899</v>
      </c>
      <c r="BD38" s="237" t="s">
        <v>56</v>
      </c>
      <c r="BE38" s="244">
        <v>0.87871539880012195</v>
      </c>
      <c r="BF38" s="227">
        <v>-39.612423958144099</v>
      </c>
      <c r="BG38" s="224"/>
      <c r="BH38" s="224"/>
      <c r="BI38" s="232">
        <v>23</v>
      </c>
      <c r="BJ38" s="232">
        <v>60</v>
      </c>
      <c r="BK38" s="225"/>
      <c r="BL38" s="241">
        <v>0.8</v>
      </c>
      <c r="BM38" s="229">
        <v>0.68</v>
      </c>
      <c r="BN38" s="242"/>
      <c r="BO38" s="243">
        <v>0.95</v>
      </c>
      <c r="BP38" s="244">
        <v>0.88</v>
      </c>
      <c r="BQ38" s="242"/>
    </row>
    <row r="39" spans="1:69" s="211" customFormat="1" ht="22.35" customHeight="1" x14ac:dyDescent="0.2">
      <c r="A39" s="221" t="s">
        <v>81</v>
      </c>
      <c r="B39" s="221" t="s">
        <v>82</v>
      </c>
      <c r="C39" s="221" t="s">
        <v>92</v>
      </c>
      <c r="D39" s="222">
        <v>2.9206349206666702</v>
      </c>
      <c r="E39" s="223"/>
      <c r="F39" s="224">
        <v>2.3E-2</v>
      </c>
      <c r="G39" s="224">
        <v>1.2999999999999999E-2</v>
      </c>
      <c r="H39" s="225"/>
      <c r="I39" s="226">
        <v>3</v>
      </c>
      <c r="J39" s="226">
        <v>3</v>
      </c>
      <c r="K39" s="223"/>
      <c r="L39" s="227">
        <v>1574.1693299999999</v>
      </c>
      <c r="M39" s="227">
        <v>1694.03964</v>
      </c>
      <c r="N39" s="227">
        <v>3268.2089700000001</v>
      </c>
      <c r="O39" s="222">
        <v>1119.0063321074001</v>
      </c>
      <c r="P39" s="228">
        <v>240.53200000000001</v>
      </c>
      <c r="Q39" s="234">
        <v>4.6522139761337398</v>
      </c>
      <c r="R39" s="235">
        <v>2501.07224465833</v>
      </c>
      <c r="S39" s="224">
        <v>0.01</v>
      </c>
      <c r="T39" s="224">
        <v>0.01</v>
      </c>
      <c r="U39" s="231">
        <v>0</v>
      </c>
      <c r="V39" s="232">
        <v>0</v>
      </c>
      <c r="W39" s="223"/>
      <c r="X39" s="231">
        <v>1218.7596349999999</v>
      </c>
      <c r="Y39" s="222">
        <v>417.29270110959499</v>
      </c>
      <c r="Z39" s="233">
        <v>573</v>
      </c>
      <c r="AA39" s="244">
        <v>0.72825951328027005</v>
      </c>
      <c r="AB39" s="227">
        <v>-608.72836501986603</v>
      </c>
      <c r="AC39" s="224"/>
      <c r="AD39" s="224"/>
      <c r="AE39" s="232">
        <v>455</v>
      </c>
      <c r="AF39" s="232">
        <v>790</v>
      </c>
      <c r="AG39" s="223"/>
      <c r="AH39" s="236">
        <v>136.75</v>
      </c>
      <c r="AI39" s="222">
        <v>46.822010869056299</v>
      </c>
      <c r="AJ39" s="237" t="s">
        <v>54</v>
      </c>
      <c r="AK39" s="244">
        <v>0.74320652173105195</v>
      </c>
      <c r="AL39" s="227">
        <v>-64.178000002184206</v>
      </c>
      <c r="AM39" s="224"/>
      <c r="AN39" s="224"/>
      <c r="AO39" s="232">
        <v>48</v>
      </c>
      <c r="AP39" s="232">
        <v>85</v>
      </c>
      <c r="AQ39" s="223"/>
      <c r="AR39" s="236">
        <v>21.1</v>
      </c>
      <c r="AS39" s="222">
        <v>7.2244565216606</v>
      </c>
      <c r="AT39" s="237" t="s">
        <v>55</v>
      </c>
      <c r="AU39" s="229">
        <v>0.451528532603787</v>
      </c>
      <c r="AV39" s="230">
        <v>-29.929333333888099</v>
      </c>
      <c r="AW39" s="224"/>
      <c r="AX39" s="224"/>
      <c r="AY39" s="232">
        <v>26</v>
      </c>
      <c r="AZ39" s="232">
        <v>35</v>
      </c>
      <c r="BA39" s="223"/>
      <c r="BB39" s="240">
        <v>96.2</v>
      </c>
      <c r="BC39" s="236">
        <v>32.938043477902802</v>
      </c>
      <c r="BD39" s="237" t="s">
        <v>56</v>
      </c>
      <c r="BE39" s="238">
        <v>1.0293138586844599</v>
      </c>
      <c r="BF39" s="239">
        <v>-5.8586666677761103</v>
      </c>
      <c r="BG39" s="224">
        <v>1.2999999999999999E-2</v>
      </c>
      <c r="BH39" s="224">
        <v>3.0000000000000001E-3</v>
      </c>
      <c r="BI39" s="232">
        <v>0</v>
      </c>
      <c r="BJ39" s="232">
        <v>16</v>
      </c>
      <c r="BK39" s="225"/>
      <c r="BL39" s="241">
        <v>0.8</v>
      </c>
      <c r="BM39" s="229">
        <v>0.69</v>
      </c>
      <c r="BN39" s="242"/>
      <c r="BO39" s="243">
        <v>0.95</v>
      </c>
      <c r="BP39" s="234">
        <v>1</v>
      </c>
      <c r="BQ39" s="242">
        <v>2.5000000000000001E-3</v>
      </c>
    </row>
    <row r="40" spans="1:69" s="211" customFormat="1" ht="22.35" customHeight="1" x14ac:dyDescent="0.2">
      <c r="A40" s="221" t="s">
        <v>81</v>
      </c>
      <c r="B40" s="221" t="s">
        <v>82</v>
      </c>
      <c r="C40" s="221" t="s">
        <v>93</v>
      </c>
      <c r="D40" s="222">
        <v>4.1371847502222199</v>
      </c>
      <c r="E40" s="223"/>
      <c r="F40" s="224">
        <v>3.6999999999999998E-2</v>
      </c>
      <c r="G40" s="224">
        <v>2.5999999999999999E-2</v>
      </c>
      <c r="H40" s="225"/>
      <c r="I40" s="226">
        <v>4</v>
      </c>
      <c r="J40" s="226">
        <v>3</v>
      </c>
      <c r="K40" s="223"/>
      <c r="L40" s="227">
        <v>1609.9491499999999</v>
      </c>
      <c r="M40" s="227">
        <v>366.17039999999997</v>
      </c>
      <c r="N40" s="227">
        <v>1976.1195499999999</v>
      </c>
      <c r="O40" s="222">
        <v>477.64836943620998</v>
      </c>
      <c r="P40" s="228">
        <v>228.25</v>
      </c>
      <c r="Q40" s="234">
        <v>2.0926544115496601</v>
      </c>
      <c r="R40" s="235">
        <v>944.93038819186199</v>
      </c>
      <c r="S40" s="224">
        <v>0.01</v>
      </c>
      <c r="T40" s="224">
        <v>0.01</v>
      </c>
      <c r="U40" s="231">
        <v>0</v>
      </c>
      <c r="V40" s="232">
        <v>0</v>
      </c>
      <c r="W40" s="223"/>
      <c r="X40" s="231">
        <v>2754.0213650000001</v>
      </c>
      <c r="Y40" s="222">
        <v>665.67521908516903</v>
      </c>
      <c r="Z40" s="233">
        <v>573</v>
      </c>
      <c r="AA40" s="234">
        <v>1.16173685704218</v>
      </c>
      <c r="AB40" s="235">
        <v>165.31867182995299</v>
      </c>
      <c r="AC40" s="224">
        <v>0.02</v>
      </c>
      <c r="AD40" s="224">
        <v>1.6E-2</v>
      </c>
      <c r="AE40" s="232">
        <v>0</v>
      </c>
      <c r="AF40" s="232">
        <v>91</v>
      </c>
      <c r="AG40" s="223"/>
      <c r="AH40" s="236">
        <v>176.3</v>
      </c>
      <c r="AI40" s="222">
        <v>42.613518767932803</v>
      </c>
      <c r="AJ40" s="237" t="s">
        <v>54</v>
      </c>
      <c r="AK40" s="229">
        <v>0.676405059808457</v>
      </c>
      <c r="AL40" s="230">
        <v>-108.321762076288</v>
      </c>
      <c r="AM40" s="224"/>
      <c r="AN40" s="224"/>
      <c r="AO40" s="232">
        <v>85</v>
      </c>
      <c r="AP40" s="232">
        <v>137</v>
      </c>
      <c r="AQ40" s="223"/>
      <c r="AR40" s="236">
        <v>28.8</v>
      </c>
      <c r="AS40" s="222">
        <v>6.96125547655397</v>
      </c>
      <c r="AT40" s="237" t="s">
        <v>55</v>
      </c>
      <c r="AU40" s="229">
        <v>0.43507846728462302</v>
      </c>
      <c r="AV40" s="230">
        <v>-43.484891955882603</v>
      </c>
      <c r="AW40" s="224"/>
      <c r="AX40" s="224"/>
      <c r="AY40" s="232">
        <v>38</v>
      </c>
      <c r="AZ40" s="232">
        <v>51</v>
      </c>
      <c r="BA40" s="223"/>
      <c r="BB40" s="240">
        <v>129</v>
      </c>
      <c r="BC40" s="236">
        <v>31.1806234887313</v>
      </c>
      <c r="BD40" s="237" t="s">
        <v>56</v>
      </c>
      <c r="BE40" s="238">
        <v>0.974394484022853</v>
      </c>
      <c r="BF40" s="239">
        <v>-15.569783911765301</v>
      </c>
      <c r="BG40" s="224">
        <v>7.0000000000000001E-3</v>
      </c>
      <c r="BH40" s="224"/>
      <c r="BI40" s="232">
        <v>4</v>
      </c>
      <c r="BJ40" s="232">
        <v>30</v>
      </c>
      <c r="BK40" s="225"/>
      <c r="BL40" s="241">
        <v>0.8</v>
      </c>
      <c r="BM40" s="244">
        <v>0.72</v>
      </c>
      <c r="BN40" s="242"/>
      <c r="BO40" s="243">
        <v>0.95</v>
      </c>
      <c r="BP40" s="234">
        <v>1</v>
      </c>
      <c r="BQ40" s="242">
        <v>2.5000000000000001E-3</v>
      </c>
    </row>
    <row r="41" spans="1:69" s="211" customFormat="1" ht="22.35" customHeight="1" x14ac:dyDescent="0.2">
      <c r="A41" s="221" t="s">
        <v>81</v>
      </c>
      <c r="B41" s="221" t="s">
        <v>82</v>
      </c>
      <c r="C41" s="221" t="s">
        <v>94</v>
      </c>
      <c r="D41" s="222">
        <v>7.6785695595555596</v>
      </c>
      <c r="E41" s="223"/>
      <c r="F41" s="224">
        <v>3.9E-2</v>
      </c>
      <c r="G41" s="224">
        <v>2.4E-2</v>
      </c>
      <c r="H41" s="225"/>
      <c r="I41" s="226">
        <v>4</v>
      </c>
      <c r="J41" s="226">
        <v>3</v>
      </c>
      <c r="K41" s="223"/>
      <c r="L41" s="227">
        <v>5600.0351899999996</v>
      </c>
      <c r="M41" s="227">
        <v>2271.65805</v>
      </c>
      <c r="N41" s="227">
        <v>7871.6932399999996</v>
      </c>
      <c r="O41" s="222">
        <v>1025.15099706352</v>
      </c>
      <c r="P41" s="228">
        <v>287.5</v>
      </c>
      <c r="Q41" s="234">
        <v>3.5657425984818101</v>
      </c>
      <c r="R41" s="235">
        <v>5461.0063267775304</v>
      </c>
      <c r="S41" s="224">
        <v>0.01</v>
      </c>
      <c r="T41" s="224">
        <v>0.01</v>
      </c>
      <c r="U41" s="231">
        <v>0</v>
      </c>
      <c r="V41" s="232">
        <v>0</v>
      </c>
      <c r="W41" s="223"/>
      <c r="X41" s="231">
        <v>5036.8174150000004</v>
      </c>
      <c r="Y41" s="222">
        <v>655.95777650173898</v>
      </c>
      <c r="Z41" s="233">
        <v>573</v>
      </c>
      <c r="AA41" s="234">
        <v>1.1447779694620199</v>
      </c>
      <c r="AB41" s="235">
        <v>232.21358447313401</v>
      </c>
      <c r="AC41" s="224">
        <v>0.02</v>
      </c>
      <c r="AD41" s="224">
        <v>1.4E-2</v>
      </c>
      <c r="AE41" s="232">
        <v>0</v>
      </c>
      <c r="AF41" s="232">
        <v>243</v>
      </c>
      <c r="AG41" s="223"/>
      <c r="AH41" s="236">
        <v>321.55</v>
      </c>
      <c r="AI41" s="222">
        <v>41.8762892627376</v>
      </c>
      <c r="AJ41" s="237" t="s">
        <v>54</v>
      </c>
      <c r="AK41" s="229">
        <v>0.66470300417043804</v>
      </c>
      <c r="AL41" s="230">
        <v>-206.704871419184</v>
      </c>
      <c r="AM41" s="224"/>
      <c r="AN41" s="224"/>
      <c r="AO41" s="232">
        <v>163</v>
      </c>
      <c r="AP41" s="232">
        <v>259</v>
      </c>
      <c r="AQ41" s="223"/>
      <c r="AR41" s="236">
        <v>72.400000000000006</v>
      </c>
      <c r="AS41" s="222">
        <v>9.4288395043452091</v>
      </c>
      <c r="AT41" s="237" t="s">
        <v>55</v>
      </c>
      <c r="AU41" s="229">
        <v>0.58930246902157601</v>
      </c>
      <c r="AV41" s="230">
        <v>-61.759967344554802</v>
      </c>
      <c r="AW41" s="224"/>
      <c r="AX41" s="224"/>
      <c r="AY41" s="232">
        <v>51</v>
      </c>
      <c r="AZ41" s="232">
        <v>76</v>
      </c>
      <c r="BA41" s="223"/>
      <c r="BB41" s="240">
        <v>244</v>
      </c>
      <c r="BC41" s="236">
        <v>31.776751920721399</v>
      </c>
      <c r="BD41" s="237" t="s">
        <v>56</v>
      </c>
      <c r="BE41" s="238">
        <v>0.99302349752254404</v>
      </c>
      <c r="BF41" s="239">
        <v>-24.319934689109498</v>
      </c>
      <c r="BG41" s="224">
        <v>8.9999999999999993E-3</v>
      </c>
      <c r="BH41" s="224"/>
      <c r="BI41" s="232">
        <v>2</v>
      </c>
      <c r="BJ41" s="232">
        <v>51</v>
      </c>
      <c r="BK41" s="225"/>
      <c r="BL41" s="241">
        <v>0.8</v>
      </c>
      <c r="BM41" s="244">
        <v>0.71</v>
      </c>
      <c r="BN41" s="242"/>
      <c r="BO41" s="243">
        <v>0.95</v>
      </c>
      <c r="BP41" s="238">
        <v>0.97</v>
      </c>
      <c r="BQ41" s="242">
        <v>1E-3</v>
      </c>
    </row>
    <row r="42" spans="1:69" s="211" customFormat="1" ht="22.35" customHeight="1" x14ac:dyDescent="0.2">
      <c r="A42" s="221" t="s">
        <v>81</v>
      </c>
      <c r="B42" s="221" t="s">
        <v>82</v>
      </c>
      <c r="C42" s="221" t="s">
        <v>95</v>
      </c>
      <c r="D42" s="222">
        <v>2.4205745912222199</v>
      </c>
      <c r="E42" s="223"/>
      <c r="F42" s="224">
        <v>0.01</v>
      </c>
      <c r="G42" s="224">
        <v>0.01</v>
      </c>
      <c r="H42" s="225"/>
      <c r="I42" s="226">
        <v>2</v>
      </c>
      <c r="J42" s="226">
        <v>2</v>
      </c>
      <c r="K42" s="223"/>
      <c r="L42" s="227">
        <v>1286.5758000000001</v>
      </c>
      <c r="M42" s="227">
        <v>1059.86815</v>
      </c>
      <c r="N42" s="227">
        <v>2346.4439499999999</v>
      </c>
      <c r="O42" s="222">
        <v>969.37477510875203</v>
      </c>
      <c r="P42" s="228">
        <v>276.94400000000002</v>
      </c>
      <c r="Q42" s="234">
        <v>3.50025555747282</v>
      </c>
      <c r="R42" s="235">
        <v>1614.40688832614</v>
      </c>
      <c r="S42" s="224">
        <v>0.01</v>
      </c>
      <c r="T42" s="224">
        <v>0.01</v>
      </c>
      <c r="U42" s="231">
        <v>0</v>
      </c>
      <c r="V42" s="232">
        <v>0</v>
      </c>
      <c r="W42" s="223"/>
      <c r="X42" s="231">
        <v>1126.5673999999999</v>
      </c>
      <c r="Y42" s="222">
        <v>465.41321390602599</v>
      </c>
      <c r="Z42" s="233">
        <v>573</v>
      </c>
      <c r="AA42" s="244">
        <v>0.81223946580458295</v>
      </c>
      <c r="AB42" s="227">
        <v>-388.02485092120298</v>
      </c>
      <c r="AC42" s="224"/>
      <c r="AD42" s="224"/>
      <c r="AE42" s="232">
        <v>261</v>
      </c>
      <c r="AF42" s="232">
        <v>538</v>
      </c>
      <c r="AG42" s="223"/>
      <c r="AH42" s="236">
        <v>97.35</v>
      </c>
      <c r="AI42" s="222">
        <v>40.217723656615298</v>
      </c>
      <c r="AJ42" s="237" t="s">
        <v>54</v>
      </c>
      <c r="AK42" s="229">
        <v>0.63837656597802095</v>
      </c>
      <c r="AL42" s="230">
        <v>-69.175849577723795</v>
      </c>
      <c r="AM42" s="224"/>
      <c r="AN42" s="224"/>
      <c r="AO42" s="232">
        <v>56</v>
      </c>
      <c r="AP42" s="232">
        <v>86</v>
      </c>
      <c r="AQ42" s="223"/>
      <c r="AR42" s="236">
        <v>8.6</v>
      </c>
      <c r="AS42" s="222">
        <v>3.55287543345549</v>
      </c>
      <c r="AT42" s="237" t="s">
        <v>55</v>
      </c>
      <c r="AU42" s="229">
        <v>0.22205471459096801</v>
      </c>
      <c r="AV42" s="230">
        <v>-33.692279257834599</v>
      </c>
      <c r="AW42" s="224"/>
      <c r="AX42" s="224"/>
      <c r="AY42" s="232">
        <v>31</v>
      </c>
      <c r="AZ42" s="232">
        <v>38</v>
      </c>
      <c r="BA42" s="223"/>
      <c r="BB42" s="240">
        <v>62.6</v>
      </c>
      <c r="BC42" s="236">
        <v>25.861628155152701</v>
      </c>
      <c r="BD42" s="237" t="s">
        <v>56</v>
      </c>
      <c r="BE42" s="244">
        <v>0.80817587984852302</v>
      </c>
      <c r="BF42" s="227">
        <v>-21.984558515669299</v>
      </c>
      <c r="BG42" s="224"/>
      <c r="BH42" s="224"/>
      <c r="BI42" s="232">
        <v>15</v>
      </c>
      <c r="BJ42" s="232">
        <v>31</v>
      </c>
      <c r="BK42" s="225"/>
      <c r="BL42" s="241">
        <v>0.8</v>
      </c>
      <c r="BM42" s="244">
        <v>0.75</v>
      </c>
      <c r="BN42" s="242"/>
      <c r="BO42" s="243">
        <v>0.95</v>
      </c>
      <c r="BP42" s="234">
        <v>1</v>
      </c>
      <c r="BQ42" s="242">
        <v>2.5000000000000001E-3</v>
      </c>
    </row>
    <row r="43" spans="1:69" s="211" customFormat="1" ht="22.35" customHeight="1" x14ac:dyDescent="0.2">
      <c r="A43" s="221" t="s">
        <v>81</v>
      </c>
      <c r="B43" s="221" t="s">
        <v>82</v>
      </c>
      <c r="C43" s="221" t="s">
        <v>96</v>
      </c>
      <c r="D43" s="222">
        <v>1.61576985288889</v>
      </c>
      <c r="E43" s="223"/>
      <c r="F43" s="224">
        <v>0.01</v>
      </c>
      <c r="G43" s="224">
        <v>0.01</v>
      </c>
      <c r="H43" s="225"/>
      <c r="I43" s="226">
        <v>2</v>
      </c>
      <c r="J43" s="226">
        <v>2</v>
      </c>
      <c r="K43" s="223"/>
      <c r="L43" s="227">
        <v>478.08506</v>
      </c>
      <c r="M43" s="227">
        <v>740.70351000000005</v>
      </c>
      <c r="N43" s="227">
        <v>1218.7885699999999</v>
      </c>
      <c r="O43" s="222">
        <v>754.30827467221695</v>
      </c>
      <c r="P43" s="228">
        <v>244.696</v>
      </c>
      <c r="Q43" s="234">
        <v>3.0826342673039901</v>
      </c>
      <c r="R43" s="235">
        <v>787.04188744462999</v>
      </c>
      <c r="S43" s="224">
        <v>0.01</v>
      </c>
      <c r="T43" s="224">
        <v>0.01</v>
      </c>
      <c r="U43" s="231">
        <v>0</v>
      </c>
      <c r="V43" s="232">
        <v>0</v>
      </c>
      <c r="W43" s="223"/>
      <c r="X43" s="231">
        <v>744.47915999999998</v>
      </c>
      <c r="Y43" s="222">
        <v>460.75816965449701</v>
      </c>
      <c r="Z43" s="233">
        <v>573</v>
      </c>
      <c r="AA43" s="244">
        <v>0.80411547932721905</v>
      </c>
      <c r="AB43" s="227">
        <v>-266.53388927022502</v>
      </c>
      <c r="AC43" s="224"/>
      <c r="AD43" s="224"/>
      <c r="AE43" s="232">
        <v>182</v>
      </c>
      <c r="AF43" s="232">
        <v>367</v>
      </c>
      <c r="AG43" s="223"/>
      <c r="AH43" s="236">
        <v>75.099999999999994</v>
      </c>
      <c r="AI43" s="222">
        <v>46.479391768404497</v>
      </c>
      <c r="AJ43" s="237" t="s">
        <v>54</v>
      </c>
      <c r="AK43" s="244">
        <v>0.73776812330800801</v>
      </c>
      <c r="AL43" s="227">
        <v>-36.058502799344097</v>
      </c>
      <c r="AM43" s="224"/>
      <c r="AN43" s="224"/>
      <c r="AO43" s="232">
        <v>27</v>
      </c>
      <c r="AP43" s="232">
        <v>48</v>
      </c>
      <c r="AQ43" s="223"/>
      <c r="AR43" s="236">
        <v>7</v>
      </c>
      <c r="AS43" s="222">
        <v>4.3323001648313104</v>
      </c>
      <c r="AT43" s="237" t="s">
        <v>55</v>
      </c>
      <c r="AU43" s="229">
        <v>0.27076876030195701</v>
      </c>
      <c r="AV43" s="230">
        <v>-21.230730869674701</v>
      </c>
      <c r="AW43" s="224"/>
      <c r="AX43" s="224"/>
      <c r="AY43" s="232">
        <v>19</v>
      </c>
      <c r="AZ43" s="232">
        <v>25</v>
      </c>
      <c r="BA43" s="223"/>
      <c r="BB43" s="240">
        <v>42</v>
      </c>
      <c r="BC43" s="236">
        <v>25.9938009889879</v>
      </c>
      <c r="BD43" s="237" t="s">
        <v>56</v>
      </c>
      <c r="BE43" s="244">
        <v>0.81230628090587098</v>
      </c>
      <c r="BF43" s="227">
        <v>-14.461461739349399</v>
      </c>
      <c r="BG43" s="224"/>
      <c r="BH43" s="224"/>
      <c r="BI43" s="232">
        <v>10</v>
      </c>
      <c r="BJ43" s="232">
        <v>21</v>
      </c>
      <c r="BK43" s="225"/>
      <c r="BL43" s="241">
        <v>0.8</v>
      </c>
      <c r="BM43" s="229">
        <v>0.68</v>
      </c>
      <c r="BN43" s="242"/>
      <c r="BO43" s="243">
        <v>0.95</v>
      </c>
      <c r="BP43" s="234">
        <v>1</v>
      </c>
      <c r="BQ43" s="242">
        <v>2.5000000000000001E-3</v>
      </c>
    </row>
    <row r="44" spans="1:69" s="211" customFormat="1" ht="22.35" customHeight="1" x14ac:dyDescent="0.2">
      <c r="A44" s="221" t="s">
        <v>81</v>
      </c>
      <c r="B44" s="221" t="s">
        <v>82</v>
      </c>
      <c r="C44" s="221" t="s">
        <v>97</v>
      </c>
      <c r="D44" s="222">
        <v>2.3852260407777801</v>
      </c>
      <c r="E44" s="223"/>
      <c r="F44" s="224">
        <v>5.1999999999999998E-2</v>
      </c>
      <c r="G44" s="224">
        <v>4.2999999999999997E-2</v>
      </c>
      <c r="H44" s="225"/>
      <c r="I44" s="226">
        <v>6</v>
      </c>
      <c r="J44" s="226">
        <v>5</v>
      </c>
      <c r="K44" s="223"/>
      <c r="L44" s="227">
        <v>733.21160999999995</v>
      </c>
      <c r="M44" s="227">
        <v>756.20520999999997</v>
      </c>
      <c r="N44" s="227">
        <v>1489.4168199999999</v>
      </c>
      <c r="O44" s="222">
        <v>624.43424419193798</v>
      </c>
      <c r="P44" s="228">
        <v>239.304</v>
      </c>
      <c r="Q44" s="234">
        <v>2.6093765427737901</v>
      </c>
      <c r="R44" s="235">
        <v>866.10962735118403</v>
      </c>
      <c r="S44" s="224">
        <v>0.01</v>
      </c>
      <c r="T44" s="224">
        <v>0.01</v>
      </c>
      <c r="U44" s="231">
        <v>0</v>
      </c>
      <c r="V44" s="232">
        <v>0</v>
      </c>
      <c r="W44" s="223"/>
      <c r="X44" s="231">
        <v>1267.73696</v>
      </c>
      <c r="Y44" s="222">
        <v>531.495522154627</v>
      </c>
      <c r="Z44" s="233">
        <v>573</v>
      </c>
      <c r="AA44" s="238">
        <v>0.92756635629079798</v>
      </c>
      <c r="AB44" s="239">
        <v>-224.73713733130899</v>
      </c>
      <c r="AC44" s="224">
        <v>2E-3</v>
      </c>
      <c r="AD44" s="224"/>
      <c r="AE44" s="232">
        <v>99</v>
      </c>
      <c r="AF44" s="232">
        <v>373</v>
      </c>
      <c r="AG44" s="223"/>
      <c r="AH44" s="236">
        <v>170.1</v>
      </c>
      <c r="AI44" s="222">
        <v>71.313995861177801</v>
      </c>
      <c r="AJ44" s="237" t="s">
        <v>54</v>
      </c>
      <c r="AK44" s="234">
        <v>1.13196818827266</v>
      </c>
      <c r="AL44" s="235">
        <v>6.00598929865183</v>
      </c>
      <c r="AM44" s="224">
        <v>0.02</v>
      </c>
      <c r="AN44" s="224">
        <v>1.2999999999999999E-2</v>
      </c>
      <c r="AO44" s="232">
        <v>0</v>
      </c>
      <c r="AP44" s="232">
        <v>11</v>
      </c>
      <c r="AQ44" s="223"/>
      <c r="AR44" s="236">
        <v>31.4</v>
      </c>
      <c r="AS44" s="222">
        <v>13.164370782133901</v>
      </c>
      <c r="AT44" s="237" t="s">
        <v>55</v>
      </c>
      <c r="AU44" s="244">
        <v>0.82277317388337101</v>
      </c>
      <c r="AV44" s="227">
        <v>-10.2746693844694</v>
      </c>
      <c r="AW44" s="224"/>
      <c r="AX44" s="224"/>
      <c r="AY44" s="232">
        <v>7</v>
      </c>
      <c r="AZ44" s="232">
        <v>15</v>
      </c>
      <c r="BA44" s="223"/>
      <c r="BB44" s="240">
        <v>110.6</v>
      </c>
      <c r="BC44" s="236">
        <v>46.368770971465402</v>
      </c>
      <c r="BD44" s="237" t="s">
        <v>56</v>
      </c>
      <c r="BE44" s="234">
        <v>1.44902409285829</v>
      </c>
      <c r="BF44" s="235">
        <v>27.250661231061301</v>
      </c>
      <c r="BG44" s="224">
        <v>0.02</v>
      </c>
      <c r="BH44" s="224">
        <v>0.02</v>
      </c>
      <c r="BI44" s="232">
        <v>0</v>
      </c>
      <c r="BJ44" s="232">
        <v>0</v>
      </c>
      <c r="BK44" s="225"/>
      <c r="BL44" s="241">
        <v>0.8</v>
      </c>
      <c r="BM44" s="238">
        <v>0.82</v>
      </c>
      <c r="BN44" s="242">
        <v>7.5000000000000002E-4</v>
      </c>
      <c r="BO44" s="243">
        <v>0.95</v>
      </c>
      <c r="BP44" s="234">
        <v>1</v>
      </c>
      <c r="BQ44" s="242">
        <v>2.5000000000000001E-3</v>
      </c>
    </row>
    <row r="45" spans="1:69" s="211" customFormat="1" ht="22.35" customHeight="1" x14ac:dyDescent="0.2">
      <c r="A45" s="221" t="s">
        <v>81</v>
      </c>
      <c r="B45" s="221" t="s">
        <v>82</v>
      </c>
      <c r="C45" s="221" t="s">
        <v>98</v>
      </c>
      <c r="D45" s="222">
        <v>2.94060150377778</v>
      </c>
      <c r="E45" s="223"/>
      <c r="F45" s="224">
        <v>4.7E-2</v>
      </c>
      <c r="G45" s="224">
        <v>3.5999999999999997E-2</v>
      </c>
      <c r="H45" s="225"/>
      <c r="I45" s="226">
        <v>5</v>
      </c>
      <c r="J45" s="226">
        <v>5</v>
      </c>
      <c r="K45" s="223"/>
      <c r="L45" s="227">
        <v>3012.4400599999999</v>
      </c>
      <c r="M45" s="227">
        <v>1848.6750300000001</v>
      </c>
      <c r="N45" s="227">
        <v>4861.1150900000002</v>
      </c>
      <c r="O45" s="222">
        <v>1653.10229344403</v>
      </c>
      <c r="P45" s="228">
        <v>287.5</v>
      </c>
      <c r="Q45" s="234">
        <v>5.7499210206748899</v>
      </c>
      <c r="R45" s="235">
        <v>3937.9132478889701</v>
      </c>
      <c r="S45" s="224">
        <v>0.01</v>
      </c>
      <c r="T45" s="224">
        <v>0.01</v>
      </c>
      <c r="U45" s="231">
        <v>0</v>
      </c>
      <c r="V45" s="232">
        <v>0</v>
      </c>
      <c r="W45" s="223"/>
      <c r="X45" s="231">
        <v>1787.14922</v>
      </c>
      <c r="Y45" s="222">
        <v>607.74954297753595</v>
      </c>
      <c r="Z45" s="233">
        <v>573</v>
      </c>
      <c r="AA45" s="238">
        <v>1.0606449266623701</v>
      </c>
      <c r="AB45" s="239">
        <v>-52.832190537817702</v>
      </c>
      <c r="AC45" s="224">
        <v>1.7000000000000001E-2</v>
      </c>
      <c r="AD45" s="224">
        <v>6.0000000000000001E-3</v>
      </c>
      <c r="AE45" s="232">
        <v>0</v>
      </c>
      <c r="AF45" s="232">
        <v>235</v>
      </c>
      <c r="AG45" s="223"/>
      <c r="AH45" s="236">
        <v>102.85</v>
      </c>
      <c r="AI45" s="222">
        <v>34.975837381525203</v>
      </c>
      <c r="AJ45" s="237" t="s">
        <v>54</v>
      </c>
      <c r="AK45" s="229">
        <v>0.55517202192897097</v>
      </c>
      <c r="AL45" s="230">
        <v>-99.451621053896204</v>
      </c>
      <c r="AM45" s="224"/>
      <c r="AN45" s="224"/>
      <c r="AO45" s="232">
        <v>83</v>
      </c>
      <c r="AP45" s="232">
        <v>120</v>
      </c>
      <c r="AQ45" s="223"/>
      <c r="AR45" s="236">
        <v>17.8</v>
      </c>
      <c r="AS45" s="222">
        <v>6.0531833290340202</v>
      </c>
      <c r="AT45" s="237" t="s">
        <v>55</v>
      </c>
      <c r="AU45" s="229">
        <v>0.37832395806462599</v>
      </c>
      <c r="AV45" s="230">
        <v>-33.578189474005399</v>
      </c>
      <c r="AW45" s="224"/>
      <c r="AX45" s="224"/>
      <c r="AY45" s="232">
        <v>30</v>
      </c>
      <c r="AZ45" s="232">
        <v>39</v>
      </c>
      <c r="BA45" s="223"/>
      <c r="BB45" s="240">
        <v>119</v>
      </c>
      <c r="BC45" s="236">
        <v>40.467911019946499</v>
      </c>
      <c r="BD45" s="237" t="s">
        <v>56</v>
      </c>
      <c r="BE45" s="234">
        <v>1.2646222193733301</v>
      </c>
      <c r="BF45" s="235">
        <v>16.243621051989201</v>
      </c>
      <c r="BG45" s="224">
        <v>0.02</v>
      </c>
      <c r="BH45" s="224">
        <v>0.02</v>
      </c>
      <c r="BI45" s="232">
        <v>0</v>
      </c>
      <c r="BJ45" s="232">
        <v>0</v>
      </c>
      <c r="BK45" s="225"/>
      <c r="BL45" s="241">
        <v>0.8</v>
      </c>
      <c r="BM45" s="238">
        <v>0.81</v>
      </c>
      <c r="BN45" s="242">
        <v>3.7500000000000001E-4</v>
      </c>
      <c r="BO45" s="243">
        <v>0.95</v>
      </c>
      <c r="BP45" s="234">
        <v>1</v>
      </c>
      <c r="BQ45" s="242">
        <v>2.5000000000000001E-3</v>
      </c>
    </row>
    <row r="46" spans="1:69" s="211" customFormat="1" ht="22.35" customHeight="1" x14ac:dyDescent="0.2">
      <c r="A46" s="221" t="s">
        <v>81</v>
      </c>
      <c r="B46" s="221" t="s">
        <v>82</v>
      </c>
      <c r="C46" s="221" t="s">
        <v>99</v>
      </c>
      <c r="D46" s="222">
        <v>8.6630214135555601</v>
      </c>
      <c r="E46" s="223"/>
      <c r="F46" s="224">
        <v>0.02</v>
      </c>
      <c r="G46" s="224">
        <v>1.0999999999999999E-2</v>
      </c>
      <c r="H46" s="225"/>
      <c r="I46" s="226">
        <v>3</v>
      </c>
      <c r="J46" s="226">
        <v>3</v>
      </c>
      <c r="K46" s="223"/>
      <c r="L46" s="227">
        <v>3919.2051000000001</v>
      </c>
      <c r="M46" s="227">
        <v>4469.9478600000002</v>
      </c>
      <c r="N46" s="227">
        <v>8389.1529599999994</v>
      </c>
      <c r="O46" s="222">
        <v>968.38649698741199</v>
      </c>
      <c r="P46" s="228">
        <v>276.44</v>
      </c>
      <c r="Q46" s="234">
        <v>3.5030621364035999</v>
      </c>
      <c r="R46" s="235">
        <v>5774.0252015968799</v>
      </c>
      <c r="S46" s="224">
        <v>0.01</v>
      </c>
      <c r="T46" s="224">
        <v>0.01</v>
      </c>
      <c r="U46" s="231">
        <v>0</v>
      </c>
      <c r="V46" s="232">
        <v>0</v>
      </c>
      <c r="W46" s="223"/>
      <c r="X46" s="231">
        <v>4243.0989099999997</v>
      </c>
      <c r="Y46" s="222">
        <v>489.79434627283302</v>
      </c>
      <c r="Z46" s="233">
        <v>573</v>
      </c>
      <c r="AA46" s="244">
        <v>0.85478943503112303</v>
      </c>
      <c r="AB46" s="227">
        <v>-1177.49219680433</v>
      </c>
      <c r="AC46" s="224"/>
      <c r="AD46" s="224"/>
      <c r="AE46" s="232">
        <v>721</v>
      </c>
      <c r="AF46" s="232">
        <v>1714</v>
      </c>
      <c r="AG46" s="223"/>
      <c r="AH46" s="236">
        <v>480.75</v>
      </c>
      <c r="AI46" s="222">
        <v>55.494495170904401</v>
      </c>
      <c r="AJ46" s="237" t="s">
        <v>54</v>
      </c>
      <c r="AK46" s="244">
        <v>0.88086500271276802</v>
      </c>
      <c r="AL46" s="227">
        <v>-115.231221166968</v>
      </c>
      <c r="AM46" s="224"/>
      <c r="AN46" s="224"/>
      <c r="AO46" s="232">
        <v>66</v>
      </c>
      <c r="AP46" s="232">
        <v>175</v>
      </c>
      <c r="AQ46" s="223"/>
      <c r="AR46" s="236">
        <v>20</v>
      </c>
      <c r="AS46" s="222">
        <v>2.30866334564345</v>
      </c>
      <c r="AT46" s="237" t="s">
        <v>55</v>
      </c>
      <c r="AU46" s="229">
        <v>0.14429145910271601</v>
      </c>
      <c r="AV46" s="230">
        <v>-131.36031013764301</v>
      </c>
      <c r="AW46" s="224"/>
      <c r="AX46" s="224"/>
      <c r="AY46" s="232">
        <v>119</v>
      </c>
      <c r="AZ46" s="232">
        <v>147</v>
      </c>
      <c r="BA46" s="223"/>
      <c r="BB46" s="240">
        <v>278</v>
      </c>
      <c r="BC46" s="236">
        <v>32.090420504443898</v>
      </c>
      <c r="BD46" s="237" t="s">
        <v>56</v>
      </c>
      <c r="BE46" s="238">
        <v>1.00282564076387</v>
      </c>
      <c r="BF46" s="239">
        <v>-24.720620275285501</v>
      </c>
      <c r="BG46" s="224">
        <v>0.01</v>
      </c>
      <c r="BH46" s="224">
        <v>1E-3</v>
      </c>
      <c r="BI46" s="232">
        <v>0</v>
      </c>
      <c r="BJ46" s="232">
        <v>55</v>
      </c>
      <c r="BK46" s="225"/>
      <c r="BL46" s="241">
        <v>0.8</v>
      </c>
      <c r="BM46" s="244">
        <v>0.7</v>
      </c>
      <c r="BN46" s="242"/>
      <c r="BO46" s="243">
        <v>0.95</v>
      </c>
      <c r="BP46" s="234">
        <v>1</v>
      </c>
      <c r="BQ46" s="242">
        <v>2.5000000000000001E-3</v>
      </c>
    </row>
    <row r="47" spans="1:69" s="211" customFormat="1" ht="22.35" customHeight="1" x14ac:dyDescent="0.2">
      <c r="A47" s="221" t="s">
        <v>81</v>
      </c>
      <c r="B47" s="221" t="s">
        <v>82</v>
      </c>
      <c r="C47" s="221" t="s">
        <v>100</v>
      </c>
      <c r="D47" s="222">
        <v>2.3098195907777801</v>
      </c>
      <c r="E47" s="223"/>
      <c r="F47" s="224">
        <v>0.01</v>
      </c>
      <c r="G47" s="224">
        <v>0.01</v>
      </c>
      <c r="H47" s="225"/>
      <c r="I47" s="226">
        <v>2</v>
      </c>
      <c r="J47" s="226">
        <v>2</v>
      </c>
      <c r="K47" s="223"/>
      <c r="L47" s="227">
        <v>245.21225999999999</v>
      </c>
      <c r="M47" s="227">
        <v>1114.6409699999999</v>
      </c>
      <c r="N47" s="227">
        <v>1359.8532299999999</v>
      </c>
      <c r="O47" s="222">
        <v>588.72703107609402</v>
      </c>
      <c r="P47" s="228">
        <v>236.59800000000001</v>
      </c>
      <c r="Q47" s="234">
        <v>2.4883009622908698</v>
      </c>
      <c r="R47" s="235">
        <v>763.07665447158502</v>
      </c>
      <c r="S47" s="224">
        <v>0.01</v>
      </c>
      <c r="T47" s="224">
        <v>0.01</v>
      </c>
      <c r="U47" s="231">
        <v>0</v>
      </c>
      <c r="V47" s="232">
        <v>0</v>
      </c>
      <c r="W47" s="223"/>
      <c r="X47" s="231">
        <v>1076.2046</v>
      </c>
      <c r="Y47" s="222">
        <v>465.92582567784598</v>
      </c>
      <c r="Z47" s="233">
        <v>573</v>
      </c>
      <c r="AA47" s="244">
        <v>0.81313407622660705</v>
      </c>
      <c r="AB47" s="227">
        <v>-369.08647506310899</v>
      </c>
      <c r="AC47" s="224"/>
      <c r="AD47" s="224"/>
      <c r="AE47" s="232">
        <v>248</v>
      </c>
      <c r="AF47" s="232">
        <v>513</v>
      </c>
      <c r="AG47" s="223"/>
      <c r="AH47" s="236">
        <v>96.25</v>
      </c>
      <c r="AI47" s="222">
        <v>41.6699210554319</v>
      </c>
      <c r="AJ47" s="237" t="s">
        <v>54</v>
      </c>
      <c r="AK47" s="229">
        <v>0.66142731834018897</v>
      </c>
      <c r="AL47" s="230">
        <v>-62.6563485671482</v>
      </c>
      <c r="AM47" s="224"/>
      <c r="AN47" s="224"/>
      <c r="AO47" s="232">
        <v>50</v>
      </c>
      <c r="AP47" s="232">
        <v>79</v>
      </c>
      <c r="AQ47" s="223"/>
      <c r="AR47" s="236">
        <v>1</v>
      </c>
      <c r="AS47" s="222">
        <v>0.43293424473176001</v>
      </c>
      <c r="AT47" s="237" t="s">
        <v>55</v>
      </c>
      <c r="AU47" s="229">
        <v>2.7058390295735001E-2</v>
      </c>
      <c r="AV47" s="230">
        <v>-39.357167890069398</v>
      </c>
      <c r="AW47" s="224"/>
      <c r="AX47" s="224"/>
      <c r="AY47" s="232">
        <v>36</v>
      </c>
      <c r="AZ47" s="232">
        <v>44</v>
      </c>
      <c r="BA47" s="223"/>
      <c r="BB47" s="240">
        <v>63.2</v>
      </c>
      <c r="BC47" s="236">
        <v>27.361444267047201</v>
      </c>
      <c r="BD47" s="237" t="s">
        <v>56</v>
      </c>
      <c r="BE47" s="244">
        <v>0.85504513334522603</v>
      </c>
      <c r="BF47" s="227">
        <v>-17.514335780138801</v>
      </c>
      <c r="BG47" s="224"/>
      <c r="BH47" s="224"/>
      <c r="BI47" s="232">
        <v>11</v>
      </c>
      <c r="BJ47" s="232">
        <v>26</v>
      </c>
      <c r="BK47" s="225"/>
      <c r="BL47" s="241">
        <v>0.8</v>
      </c>
      <c r="BM47" s="244">
        <v>0.72</v>
      </c>
      <c r="BN47" s="242"/>
      <c r="BO47" s="243">
        <v>0.95</v>
      </c>
      <c r="BP47" s="234">
        <v>1</v>
      </c>
      <c r="BQ47" s="242">
        <v>2.5000000000000001E-3</v>
      </c>
    </row>
    <row r="48" spans="1:69" s="211" customFormat="1" ht="22.35" customHeight="1" x14ac:dyDescent="0.2">
      <c r="A48" s="221" t="s">
        <v>81</v>
      </c>
      <c r="B48" s="221" t="s">
        <v>101</v>
      </c>
      <c r="C48" s="221" t="s">
        <v>102</v>
      </c>
      <c r="D48" s="222">
        <v>2.9631336405555602</v>
      </c>
      <c r="E48" s="223"/>
      <c r="F48" s="224">
        <v>0.04</v>
      </c>
      <c r="G48" s="224">
        <v>0.04</v>
      </c>
      <c r="H48" s="225"/>
      <c r="I48" s="226">
        <v>4</v>
      </c>
      <c r="J48" s="226">
        <v>4</v>
      </c>
      <c r="K48" s="223"/>
      <c r="L48" s="227">
        <v>1553.1058599999999</v>
      </c>
      <c r="M48" s="227">
        <v>1460.2248500000001</v>
      </c>
      <c r="N48" s="227">
        <v>3013.3307100000002</v>
      </c>
      <c r="O48" s="222">
        <v>1016.94053510021</v>
      </c>
      <c r="P48" s="228">
        <v>287.5</v>
      </c>
      <c r="Q48" s="234">
        <v>3.53718446991377</v>
      </c>
      <c r="R48" s="235">
        <v>2083.0549035475801</v>
      </c>
      <c r="S48" s="224">
        <v>0.01</v>
      </c>
      <c r="T48" s="224">
        <v>0.01</v>
      </c>
      <c r="U48" s="231">
        <v>0</v>
      </c>
      <c r="V48" s="232">
        <v>0</v>
      </c>
      <c r="W48" s="223"/>
      <c r="X48" s="231">
        <v>1375.4146149999999</v>
      </c>
      <c r="Y48" s="222">
        <v>464.17569433085902</v>
      </c>
      <c r="Z48" s="233">
        <v>573</v>
      </c>
      <c r="AA48" s="244">
        <v>0.81007974577811304</v>
      </c>
      <c r="AB48" s="227">
        <v>-478.66551403386302</v>
      </c>
      <c r="AC48" s="224"/>
      <c r="AD48" s="224"/>
      <c r="AE48" s="232">
        <v>323</v>
      </c>
      <c r="AF48" s="232">
        <v>663</v>
      </c>
      <c r="AG48" s="223"/>
      <c r="AH48" s="236">
        <v>155.5</v>
      </c>
      <c r="AI48" s="222">
        <v>52.4782270606078</v>
      </c>
      <c r="AJ48" s="237" t="s">
        <v>54</v>
      </c>
      <c r="AK48" s="244">
        <v>0.83298773112075897</v>
      </c>
      <c r="AL48" s="227">
        <v>-48.3517419356603</v>
      </c>
      <c r="AM48" s="224"/>
      <c r="AN48" s="224"/>
      <c r="AO48" s="232">
        <v>32</v>
      </c>
      <c r="AP48" s="232">
        <v>69</v>
      </c>
      <c r="AQ48" s="223"/>
      <c r="AR48" s="236">
        <v>56.9</v>
      </c>
      <c r="AS48" s="222">
        <v>19.2026438569041</v>
      </c>
      <c r="AT48" s="237" t="s">
        <v>55</v>
      </c>
      <c r="AU48" s="234">
        <v>1.20016524105651</v>
      </c>
      <c r="AV48" s="235">
        <v>5.1281290322132396</v>
      </c>
      <c r="AW48" s="224">
        <v>0.01</v>
      </c>
      <c r="AX48" s="224">
        <v>0.01</v>
      </c>
      <c r="AY48" s="232">
        <v>0</v>
      </c>
      <c r="AZ48" s="232">
        <v>0</v>
      </c>
      <c r="BA48" s="223"/>
      <c r="BB48" s="240">
        <v>118</v>
      </c>
      <c r="BC48" s="236">
        <v>39.8227060652844</v>
      </c>
      <c r="BD48" s="237" t="s">
        <v>56</v>
      </c>
      <c r="BE48" s="234">
        <v>1.24445956454014</v>
      </c>
      <c r="BF48" s="235">
        <v>14.4562580644265</v>
      </c>
      <c r="BG48" s="224">
        <v>0.02</v>
      </c>
      <c r="BH48" s="224">
        <v>0.02</v>
      </c>
      <c r="BI48" s="232">
        <v>0</v>
      </c>
      <c r="BJ48" s="232">
        <v>0</v>
      </c>
      <c r="BK48" s="225"/>
      <c r="BL48" s="241">
        <v>0.8</v>
      </c>
      <c r="BM48" s="229">
        <v>0.64</v>
      </c>
      <c r="BN48" s="242"/>
      <c r="BO48" s="243">
        <v>0.95</v>
      </c>
      <c r="BP48" s="234">
        <v>1</v>
      </c>
      <c r="BQ48" s="242">
        <v>2.5000000000000001E-3</v>
      </c>
    </row>
    <row r="49" spans="1:69" s="211" customFormat="1" ht="22.35" customHeight="1" x14ac:dyDescent="0.2">
      <c r="A49" s="221" t="s">
        <v>81</v>
      </c>
      <c r="B49" s="221" t="s">
        <v>101</v>
      </c>
      <c r="C49" s="221" t="s">
        <v>103</v>
      </c>
      <c r="D49" s="222">
        <v>3.6627518924444402</v>
      </c>
      <c r="E49" s="223"/>
      <c r="F49" s="224">
        <v>0.01</v>
      </c>
      <c r="G49" s="224">
        <v>0.01</v>
      </c>
      <c r="H49" s="225"/>
      <c r="I49" s="226">
        <v>2</v>
      </c>
      <c r="J49" s="226">
        <v>2</v>
      </c>
      <c r="K49" s="223"/>
      <c r="L49" s="227">
        <v>3311.2720100000001</v>
      </c>
      <c r="M49" s="227">
        <v>305.02474000000001</v>
      </c>
      <c r="N49" s="227">
        <v>3616.29675</v>
      </c>
      <c r="O49" s="222">
        <v>987.31687435879201</v>
      </c>
      <c r="P49" s="228">
        <v>265.84899999999999</v>
      </c>
      <c r="Q49" s="234">
        <v>3.7138257971961202</v>
      </c>
      <c r="R49" s="235">
        <v>2552.97384078293</v>
      </c>
      <c r="S49" s="224">
        <v>0.01</v>
      </c>
      <c r="T49" s="224">
        <v>0.01</v>
      </c>
      <c r="U49" s="231">
        <v>0</v>
      </c>
      <c r="V49" s="232">
        <v>0</v>
      </c>
      <c r="W49" s="223"/>
      <c r="X49" s="231">
        <v>1623.6324750000001</v>
      </c>
      <c r="Y49" s="222">
        <v>443.28213394667603</v>
      </c>
      <c r="Z49" s="233">
        <v>573</v>
      </c>
      <c r="AA49" s="244">
        <v>0.77361628961025497</v>
      </c>
      <c r="AB49" s="227">
        <v>-668.20998813276503</v>
      </c>
      <c r="AC49" s="224"/>
      <c r="AD49" s="224"/>
      <c r="AE49" s="232">
        <v>476</v>
      </c>
      <c r="AF49" s="232">
        <v>895</v>
      </c>
      <c r="AG49" s="223"/>
      <c r="AH49" s="236">
        <v>120.5</v>
      </c>
      <c r="AI49" s="222">
        <v>32.898761242487801</v>
      </c>
      <c r="AJ49" s="237" t="s">
        <v>54</v>
      </c>
      <c r="AK49" s="229">
        <v>0.52220255940456795</v>
      </c>
      <c r="AL49" s="230">
        <v>-131.482679192608</v>
      </c>
      <c r="AM49" s="224"/>
      <c r="AN49" s="224"/>
      <c r="AO49" s="232">
        <v>111</v>
      </c>
      <c r="AP49" s="232">
        <v>157</v>
      </c>
      <c r="AQ49" s="223"/>
      <c r="AR49" s="236">
        <v>3.8</v>
      </c>
      <c r="AS49" s="222">
        <v>1.03747130889173</v>
      </c>
      <c r="AT49" s="237" t="s">
        <v>55</v>
      </c>
      <c r="AU49" s="229">
        <v>6.4841956805733098E-2</v>
      </c>
      <c r="AV49" s="230">
        <v>-60.195601064789301</v>
      </c>
      <c r="AW49" s="224"/>
      <c r="AX49" s="224"/>
      <c r="AY49" s="232">
        <v>55</v>
      </c>
      <c r="AZ49" s="232">
        <v>67</v>
      </c>
      <c r="BA49" s="223"/>
      <c r="BB49" s="240">
        <v>90.6</v>
      </c>
      <c r="BC49" s="236">
        <v>24.735500154102802</v>
      </c>
      <c r="BD49" s="237" t="s">
        <v>56</v>
      </c>
      <c r="BE49" s="244">
        <v>0.772984379815713</v>
      </c>
      <c r="BF49" s="227">
        <v>-37.391202129578502</v>
      </c>
      <c r="BG49" s="224"/>
      <c r="BH49" s="224"/>
      <c r="BI49" s="232">
        <v>27</v>
      </c>
      <c r="BJ49" s="232">
        <v>51</v>
      </c>
      <c r="BK49" s="225"/>
      <c r="BL49" s="241">
        <v>0.8</v>
      </c>
      <c r="BM49" s="229">
        <v>0.64</v>
      </c>
      <c r="BN49" s="242"/>
      <c r="BO49" s="243">
        <v>0.95</v>
      </c>
      <c r="BP49" s="234">
        <v>1</v>
      </c>
      <c r="BQ49" s="242">
        <v>2.5000000000000001E-3</v>
      </c>
    </row>
    <row r="50" spans="1:69" s="211" customFormat="1" ht="22.35" customHeight="1" x14ac:dyDescent="0.2">
      <c r="A50" s="221" t="s">
        <v>81</v>
      </c>
      <c r="B50" s="221" t="s">
        <v>101</v>
      </c>
      <c r="C50" s="221" t="s">
        <v>104</v>
      </c>
      <c r="D50" s="222">
        <v>4.5139963626666697</v>
      </c>
      <c r="E50" s="223"/>
      <c r="F50" s="224">
        <v>0.01</v>
      </c>
      <c r="G50" s="224">
        <v>0.01</v>
      </c>
      <c r="H50" s="225"/>
      <c r="I50" s="226">
        <v>2</v>
      </c>
      <c r="J50" s="226">
        <v>2</v>
      </c>
      <c r="K50" s="223"/>
      <c r="L50" s="227">
        <v>3301.9454799999999</v>
      </c>
      <c r="M50" s="227">
        <v>2189.7244500000002</v>
      </c>
      <c r="N50" s="227">
        <v>5491.66993</v>
      </c>
      <c r="O50" s="222">
        <v>1216.58714114598</v>
      </c>
      <c r="P50" s="228">
        <v>287.5</v>
      </c>
      <c r="Q50" s="234">
        <v>4.2316074474642802</v>
      </c>
      <c r="R50" s="235">
        <v>4074.5007719408</v>
      </c>
      <c r="S50" s="224">
        <v>0.01</v>
      </c>
      <c r="T50" s="224">
        <v>0.01</v>
      </c>
      <c r="U50" s="231">
        <v>0</v>
      </c>
      <c r="V50" s="232">
        <v>0</v>
      </c>
      <c r="W50" s="223"/>
      <c r="X50" s="231">
        <v>1433.9956099999999</v>
      </c>
      <c r="Y50" s="222">
        <v>317.67761752312498</v>
      </c>
      <c r="Z50" s="233">
        <v>573</v>
      </c>
      <c r="AA50" s="229">
        <v>0.55441119986583798</v>
      </c>
      <c r="AB50" s="230">
        <v>-1390.48413806234</v>
      </c>
      <c r="AC50" s="224"/>
      <c r="AD50" s="224"/>
      <c r="AE50" s="232">
        <v>1153</v>
      </c>
      <c r="AF50" s="232">
        <v>1670</v>
      </c>
      <c r="AG50" s="223"/>
      <c r="AH50" s="236">
        <v>143.1</v>
      </c>
      <c r="AI50" s="222">
        <v>31.701399049303401</v>
      </c>
      <c r="AJ50" s="237" t="s">
        <v>54</v>
      </c>
      <c r="AK50" s="229">
        <v>0.50319681030640295</v>
      </c>
      <c r="AL50" s="230">
        <v>-167.44489376601601</v>
      </c>
      <c r="AM50" s="224"/>
      <c r="AN50" s="224"/>
      <c r="AO50" s="232">
        <v>142</v>
      </c>
      <c r="AP50" s="232">
        <v>199</v>
      </c>
      <c r="AQ50" s="223"/>
      <c r="AR50" s="236">
        <v>17.100000000000001</v>
      </c>
      <c r="AS50" s="222">
        <v>3.7882174964576398</v>
      </c>
      <c r="AT50" s="237" t="s">
        <v>55</v>
      </c>
      <c r="AU50" s="229">
        <v>0.23676359352860299</v>
      </c>
      <c r="AV50" s="230">
        <v>-61.768544448512102</v>
      </c>
      <c r="AW50" s="224"/>
      <c r="AX50" s="224"/>
      <c r="AY50" s="232">
        <v>56</v>
      </c>
      <c r="AZ50" s="232">
        <v>70</v>
      </c>
      <c r="BA50" s="223"/>
      <c r="BB50" s="240">
        <v>102.6</v>
      </c>
      <c r="BC50" s="236">
        <v>22.729304978745802</v>
      </c>
      <c r="BD50" s="237" t="s">
        <v>56</v>
      </c>
      <c r="BE50" s="229">
        <v>0.71029078058580697</v>
      </c>
      <c r="BF50" s="230">
        <v>-55.1370888970241</v>
      </c>
      <c r="BG50" s="224"/>
      <c r="BH50" s="224"/>
      <c r="BI50" s="232">
        <v>42</v>
      </c>
      <c r="BJ50" s="232">
        <v>71</v>
      </c>
      <c r="BK50" s="225"/>
      <c r="BL50" s="241">
        <v>0.8</v>
      </c>
      <c r="BM50" s="229">
        <v>0.68</v>
      </c>
      <c r="BN50" s="242"/>
      <c r="BO50" s="243">
        <v>0.95</v>
      </c>
      <c r="BP50" s="234">
        <v>1</v>
      </c>
      <c r="BQ50" s="242">
        <v>2.5000000000000001E-3</v>
      </c>
    </row>
    <row r="51" spans="1:69" s="211" customFormat="1" ht="22.35" customHeight="1" x14ac:dyDescent="0.2">
      <c r="A51" s="221" t="s">
        <v>81</v>
      </c>
      <c r="B51" s="221" t="s">
        <v>101</v>
      </c>
      <c r="C51" s="221" t="s">
        <v>105</v>
      </c>
      <c r="D51" s="222">
        <v>2.2098362645555598</v>
      </c>
      <c r="E51" s="223"/>
      <c r="F51" s="224">
        <v>4.2999999999999997E-2</v>
      </c>
      <c r="G51" s="224">
        <v>3.3000000000000002E-2</v>
      </c>
      <c r="H51" s="225"/>
      <c r="I51" s="226">
        <v>4</v>
      </c>
      <c r="J51" s="226">
        <v>4</v>
      </c>
      <c r="K51" s="223"/>
      <c r="L51" s="227">
        <v>-422.94718999999998</v>
      </c>
      <c r="M51" s="227">
        <v>2039.14518</v>
      </c>
      <c r="N51" s="227">
        <v>1616.1979899999999</v>
      </c>
      <c r="O51" s="222">
        <v>731.36549341815203</v>
      </c>
      <c r="P51" s="228">
        <v>287.5</v>
      </c>
      <c r="Q51" s="234">
        <v>2.5438799771066201</v>
      </c>
      <c r="R51" s="235">
        <v>922.41989474278205</v>
      </c>
      <c r="S51" s="224">
        <v>0.01</v>
      </c>
      <c r="T51" s="224">
        <v>0.01</v>
      </c>
      <c r="U51" s="231">
        <v>0</v>
      </c>
      <c r="V51" s="232">
        <v>0</v>
      </c>
      <c r="W51" s="223"/>
      <c r="X51" s="231">
        <v>1098.531555</v>
      </c>
      <c r="Y51" s="222">
        <v>497.10993190752902</v>
      </c>
      <c r="Z51" s="233">
        <v>573</v>
      </c>
      <c r="AA51" s="244">
        <v>0.86755660018765901</v>
      </c>
      <c r="AB51" s="227">
        <v>-284.198353112647</v>
      </c>
      <c r="AC51" s="224"/>
      <c r="AD51" s="224"/>
      <c r="AE51" s="232">
        <v>168</v>
      </c>
      <c r="AF51" s="232">
        <v>421</v>
      </c>
      <c r="AG51" s="223"/>
      <c r="AH51" s="236">
        <v>143.44999999999999</v>
      </c>
      <c r="AI51" s="222">
        <v>64.914311662294494</v>
      </c>
      <c r="AJ51" s="237" t="s">
        <v>54</v>
      </c>
      <c r="AK51" s="238">
        <v>1.0303858994015</v>
      </c>
      <c r="AL51" s="239">
        <v>-8.5778956563642907</v>
      </c>
      <c r="AM51" s="224">
        <v>1.2999999999999999E-2</v>
      </c>
      <c r="AN51" s="224">
        <v>3.0000000000000001E-3</v>
      </c>
      <c r="AO51" s="232">
        <v>0</v>
      </c>
      <c r="AP51" s="232">
        <v>24</v>
      </c>
      <c r="AQ51" s="223"/>
      <c r="AR51" s="236">
        <v>9.3000000000000007</v>
      </c>
      <c r="AS51" s="222">
        <v>4.2084565943488199</v>
      </c>
      <c r="AT51" s="237" t="s">
        <v>55</v>
      </c>
      <c r="AU51" s="229">
        <v>0.26302853714680102</v>
      </c>
      <c r="AV51" s="230">
        <v>-29.310259214314701</v>
      </c>
      <c r="AW51" s="224"/>
      <c r="AX51" s="224"/>
      <c r="AY51" s="232">
        <v>27</v>
      </c>
      <c r="AZ51" s="232">
        <v>34</v>
      </c>
      <c r="BA51" s="223"/>
      <c r="BB51" s="240">
        <v>102.6</v>
      </c>
      <c r="BC51" s="236">
        <v>46.428779202170901</v>
      </c>
      <c r="BD51" s="237" t="s">
        <v>56</v>
      </c>
      <c r="BE51" s="234">
        <v>1.45089935006784</v>
      </c>
      <c r="BF51" s="235">
        <v>25.379481571370501</v>
      </c>
      <c r="BG51" s="224">
        <v>0.02</v>
      </c>
      <c r="BH51" s="224">
        <v>0.02</v>
      </c>
      <c r="BI51" s="232">
        <v>0</v>
      </c>
      <c r="BJ51" s="232">
        <v>0</v>
      </c>
      <c r="BK51" s="225"/>
      <c r="BL51" s="241">
        <v>0.8</v>
      </c>
      <c r="BM51" s="244">
        <v>0.73</v>
      </c>
      <c r="BN51" s="242"/>
      <c r="BO51" s="243">
        <v>0.95</v>
      </c>
      <c r="BP51" s="234">
        <v>1</v>
      </c>
      <c r="BQ51" s="242">
        <v>2.5000000000000001E-3</v>
      </c>
    </row>
    <row r="52" spans="1:69" s="211" customFormat="1" ht="22.35" customHeight="1" x14ac:dyDescent="0.2">
      <c r="A52" s="221" t="s">
        <v>81</v>
      </c>
      <c r="B52" s="221" t="s">
        <v>101</v>
      </c>
      <c r="C52" s="221" t="s">
        <v>106</v>
      </c>
      <c r="D52" s="222">
        <v>7.7514398572222198</v>
      </c>
      <c r="E52" s="223"/>
      <c r="F52" s="224">
        <v>3.4000000000000002E-2</v>
      </c>
      <c r="G52" s="224">
        <v>1.4E-2</v>
      </c>
      <c r="H52" s="225"/>
      <c r="I52" s="226">
        <v>4</v>
      </c>
      <c r="J52" s="226">
        <v>3</v>
      </c>
      <c r="K52" s="223"/>
      <c r="L52" s="227">
        <v>6012.0926799999997</v>
      </c>
      <c r="M52" s="227">
        <v>3321.23855</v>
      </c>
      <c r="N52" s="227">
        <v>9333.3312299999998</v>
      </c>
      <c r="O52" s="222">
        <v>1204.0771007600499</v>
      </c>
      <c r="P52" s="228">
        <v>287.5</v>
      </c>
      <c r="Q52" s="234">
        <v>4.1880942635132197</v>
      </c>
      <c r="R52" s="235">
        <v>6899.7666868250799</v>
      </c>
      <c r="S52" s="224">
        <v>0.01</v>
      </c>
      <c r="T52" s="224">
        <v>0.01</v>
      </c>
      <c r="U52" s="231">
        <v>0</v>
      </c>
      <c r="V52" s="232">
        <v>0</v>
      </c>
      <c r="W52" s="223"/>
      <c r="X52" s="231">
        <v>4627.2380400000002</v>
      </c>
      <c r="Y52" s="222">
        <v>596.95206635560498</v>
      </c>
      <c r="Z52" s="233">
        <v>573</v>
      </c>
      <c r="AA52" s="238">
        <v>1.0418011629242701</v>
      </c>
      <c r="AB52" s="239">
        <v>-222.96190170165801</v>
      </c>
      <c r="AC52" s="224">
        <v>1.4E-2</v>
      </c>
      <c r="AD52" s="224">
        <v>4.0000000000000001E-3</v>
      </c>
      <c r="AE52" s="232">
        <v>0</v>
      </c>
      <c r="AF52" s="232">
        <v>703</v>
      </c>
      <c r="AG52" s="223"/>
      <c r="AH52" s="236">
        <v>415.7</v>
      </c>
      <c r="AI52" s="222">
        <v>53.6287460984015</v>
      </c>
      <c r="AJ52" s="237" t="s">
        <v>54</v>
      </c>
      <c r="AK52" s="244">
        <v>0.85124993806986504</v>
      </c>
      <c r="AL52" s="227">
        <v>-117.56805641746</v>
      </c>
      <c r="AM52" s="224"/>
      <c r="AN52" s="224"/>
      <c r="AO52" s="232">
        <v>73</v>
      </c>
      <c r="AP52" s="232">
        <v>171</v>
      </c>
      <c r="AQ52" s="223"/>
      <c r="AR52" s="236">
        <v>80.599999999999994</v>
      </c>
      <c r="AS52" s="222">
        <v>10.3980681634139</v>
      </c>
      <c r="AT52" s="237" t="s">
        <v>55</v>
      </c>
      <c r="AU52" s="229">
        <v>0.64987926021336895</v>
      </c>
      <c r="AV52" s="230">
        <v>-54.833157185386597</v>
      </c>
      <c r="AW52" s="224"/>
      <c r="AX52" s="224"/>
      <c r="AY52" s="232">
        <v>44</v>
      </c>
      <c r="AZ52" s="232">
        <v>69</v>
      </c>
      <c r="BA52" s="223"/>
      <c r="BB52" s="240">
        <v>247.6</v>
      </c>
      <c r="BC52" s="236">
        <v>31.942452571479901</v>
      </c>
      <c r="BD52" s="237" t="s">
        <v>56</v>
      </c>
      <c r="BE52" s="238">
        <v>0.99820164285874802</v>
      </c>
      <c r="BF52" s="239">
        <v>-23.266314370773301</v>
      </c>
      <c r="BG52" s="224">
        <v>0.01</v>
      </c>
      <c r="BH52" s="224">
        <v>0</v>
      </c>
      <c r="BI52" s="232">
        <v>1</v>
      </c>
      <c r="BJ52" s="232">
        <v>51</v>
      </c>
      <c r="BK52" s="225"/>
      <c r="BL52" s="241">
        <v>0.8</v>
      </c>
      <c r="BM52" s="244">
        <v>0.73</v>
      </c>
      <c r="BN52" s="242"/>
      <c r="BO52" s="243">
        <v>0.95</v>
      </c>
      <c r="BP52" s="234">
        <v>1</v>
      </c>
      <c r="BQ52" s="242">
        <v>2.5000000000000001E-3</v>
      </c>
    </row>
    <row r="53" spans="1:69" s="211" customFormat="1" ht="22.35" customHeight="1" x14ac:dyDescent="0.2">
      <c r="A53" s="221" t="s">
        <v>81</v>
      </c>
      <c r="B53" s="221" t="s">
        <v>101</v>
      </c>
      <c r="C53" s="221" t="s">
        <v>107</v>
      </c>
      <c r="D53" s="222">
        <v>4.7798890690000002</v>
      </c>
      <c r="E53" s="223"/>
      <c r="F53" s="224">
        <v>2.4E-2</v>
      </c>
      <c r="G53" s="224">
        <v>1.4E-2</v>
      </c>
      <c r="H53" s="225"/>
      <c r="I53" s="226">
        <v>3</v>
      </c>
      <c r="J53" s="226">
        <v>3</v>
      </c>
      <c r="K53" s="223"/>
      <c r="L53" s="227">
        <v>942.15089999999998</v>
      </c>
      <c r="M53" s="227">
        <v>1482.28673</v>
      </c>
      <c r="N53" s="227">
        <v>2424.4376299999999</v>
      </c>
      <c r="O53" s="222">
        <v>507.21629623660198</v>
      </c>
      <c r="P53" s="228">
        <v>284.87700000000001</v>
      </c>
      <c r="Q53" s="234">
        <v>1.78047471798917</v>
      </c>
      <c r="R53" s="235">
        <v>937.48256952601105</v>
      </c>
      <c r="S53" s="224">
        <v>0.01</v>
      </c>
      <c r="T53" s="224">
        <v>0.01</v>
      </c>
      <c r="U53" s="231">
        <v>0</v>
      </c>
      <c r="V53" s="232">
        <v>0</v>
      </c>
      <c r="W53" s="223"/>
      <c r="X53" s="231">
        <v>2289.9461249999999</v>
      </c>
      <c r="Y53" s="222">
        <v>479.079345136158</v>
      </c>
      <c r="Z53" s="233">
        <v>573</v>
      </c>
      <c r="AA53" s="244">
        <v>0.83608960756746598</v>
      </c>
      <c r="AB53" s="227">
        <v>-700.90694369840401</v>
      </c>
      <c r="AC53" s="224"/>
      <c r="AD53" s="224"/>
      <c r="AE53" s="232">
        <v>449</v>
      </c>
      <c r="AF53" s="232">
        <v>997</v>
      </c>
      <c r="AG53" s="223"/>
      <c r="AH53" s="236">
        <v>163.15</v>
      </c>
      <c r="AI53" s="222">
        <v>34.132591289222603</v>
      </c>
      <c r="AJ53" s="237" t="s">
        <v>54</v>
      </c>
      <c r="AK53" s="229">
        <v>0.54178716332099397</v>
      </c>
      <c r="AL53" s="230">
        <v>-165.687248390924</v>
      </c>
      <c r="AM53" s="224"/>
      <c r="AN53" s="224"/>
      <c r="AO53" s="232">
        <v>138</v>
      </c>
      <c r="AP53" s="232">
        <v>199</v>
      </c>
      <c r="AQ53" s="223"/>
      <c r="AR53" s="236">
        <v>23.2</v>
      </c>
      <c r="AS53" s="222">
        <v>4.8536691260187901</v>
      </c>
      <c r="AT53" s="237" t="s">
        <v>55</v>
      </c>
      <c r="AU53" s="229">
        <v>0.30335432037617399</v>
      </c>
      <c r="AV53" s="230">
        <v>-60.314221813567997</v>
      </c>
      <c r="AW53" s="224"/>
      <c r="AX53" s="224"/>
      <c r="AY53" s="232">
        <v>54</v>
      </c>
      <c r="AZ53" s="232">
        <v>69</v>
      </c>
      <c r="BA53" s="223"/>
      <c r="BB53" s="240">
        <v>158.80000000000001</v>
      </c>
      <c r="BC53" s="236">
        <v>33.2225283280941</v>
      </c>
      <c r="BD53" s="237" t="s">
        <v>56</v>
      </c>
      <c r="BE53" s="238">
        <v>1.03820401025294</v>
      </c>
      <c r="BF53" s="239">
        <v>-8.22844362713602</v>
      </c>
      <c r="BG53" s="224">
        <v>1.4E-2</v>
      </c>
      <c r="BH53" s="224">
        <v>4.0000000000000001E-3</v>
      </c>
      <c r="BI53" s="232">
        <v>0</v>
      </c>
      <c r="BJ53" s="232">
        <v>25</v>
      </c>
      <c r="BK53" s="225"/>
      <c r="BL53" s="241">
        <v>0.8</v>
      </c>
      <c r="BM53" s="244">
        <v>0.7</v>
      </c>
      <c r="BN53" s="242"/>
      <c r="BO53" s="243">
        <v>0.95</v>
      </c>
      <c r="BP53" s="234">
        <v>1</v>
      </c>
      <c r="BQ53" s="242">
        <v>2.5000000000000001E-3</v>
      </c>
    </row>
    <row r="54" spans="1:69" s="211" customFormat="1" ht="22.35" customHeight="1" x14ac:dyDescent="0.2">
      <c r="A54" s="221" t="s">
        <v>81</v>
      </c>
      <c r="B54" s="221" t="s">
        <v>101</v>
      </c>
      <c r="C54" s="221" t="s">
        <v>108</v>
      </c>
      <c r="D54" s="222">
        <v>2.5187938062222202</v>
      </c>
      <c r="E54" s="223"/>
      <c r="F54" s="224">
        <v>5.2999999999999999E-2</v>
      </c>
      <c r="G54" s="224">
        <v>3.5000000000000003E-2</v>
      </c>
      <c r="H54" s="225"/>
      <c r="I54" s="226">
        <v>5</v>
      </c>
      <c r="J54" s="226">
        <v>4</v>
      </c>
      <c r="K54" s="223"/>
      <c r="L54" s="227">
        <v>1242.9356600000001</v>
      </c>
      <c r="M54" s="227">
        <v>-56.166049999999998</v>
      </c>
      <c r="N54" s="227">
        <v>1186.7696100000001</v>
      </c>
      <c r="O54" s="222">
        <v>471.16584417045198</v>
      </c>
      <c r="P54" s="228">
        <v>239.02500000000001</v>
      </c>
      <c r="Q54" s="234">
        <v>1.9711990133686901</v>
      </c>
      <c r="R54" s="235">
        <v>529.32588903076498</v>
      </c>
      <c r="S54" s="224">
        <v>0.01</v>
      </c>
      <c r="T54" s="224">
        <v>0.01</v>
      </c>
      <c r="U54" s="231">
        <v>0</v>
      </c>
      <c r="V54" s="232">
        <v>0</v>
      </c>
      <c r="W54" s="223"/>
      <c r="X54" s="231">
        <v>1750.849835</v>
      </c>
      <c r="Y54" s="222">
        <v>695.11439589649797</v>
      </c>
      <c r="Z54" s="233">
        <v>573</v>
      </c>
      <c r="AA54" s="234">
        <v>1.21311412896422</v>
      </c>
      <c r="AB54" s="235">
        <v>174.800249745857</v>
      </c>
      <c r="AC54" s="224">
        <v>0.02</v>
      </c>
      <c r="AD54" s="224">
        <v>0.02</v>
      </c>
      <c r="AE54" s="232">
        <v>0</v>
      </c>
      <c r="AF54" s="232">
        <v>0</v>
      </c>
      <c r="AG54" s="223"/>
      <c r="AH54" s="236">
        <v>167.3</v>
      </c>
      <c r="AI54" s="222">
        <v>66.420681036580206</v>
      </c>
      <c r="AJ54" s="237" t="s">
        <v>54</v>
      </c>
      <c r="AK54" s="238">
        <v>1.0542965243901601</v>
      </c>
      <c r="AL54" s="239">
        <v>-5.9829386928638497</v>
      </c>
      <c r="AM54" s="224">
        <v>1.6E-2</v>
      </c>
      <c r="AN54" s="224">
        <v>5.0000000000000001E-3</v>
      </c>
      <c r="AO54" s="232">
        <v>0</v>
      </c>
      <c r="AP54" s="232">
        <v>24</v>
      </c>
      <c r="AQ54" s="223"/>
      <c r="AR54" s="236">
        <v>15.8</v>
      </c>
      <c r="AS54" s="222">
        <v>6.2728437559950203</v>
      </c>
      <c r="AT54" s="237" t="s">
        <v>55</v>
      </c>
      <c r="AU54" s="229">
        <v>0.39205273474968899</v>
      </c>
      <c r="AV54" s="230">
        <v>-28.2083653823146</v>
      </c>
      <c r="AW54" s="224"/>
      <c r="AX54" s="224"/>
      <c r="AY54" s="232">
        <v>25</v>
      </c>
      <c r="AZ54" s="232">
        <v>33</v>
      </c>
      <c r="BA54" s="223"/>
      <c r="BB54" s="240">
        <v>78.8</v>
      </c>
      <c r="BC54" s="236">
        <v>31.284815694456199</v>
      </c>
      <c r="BD54" s="237" t="s">
        <v>56</v>
      </c>
      <c r="BE54" s="238">
        <v>0.977650490451756</v>
      </c>
      <c r="BF54" s="239">
        <v>-9.2167307646292702</v>
      </c>
      <c r="BG54" s="224">
        <v>7.0000000000000001E-3</v>
      </c>
      <c r="BH54" s="224"/>
      <c r="BI54" s="232">
        <v>2</v>
      </c>
      <c r="BJ54" s="232">
        <v>18</v>
      </c>
      <c r="BK54" s="225"/>
      <c r="BL54" s="241">
        <v>0.8</v>
      </c>
      <c r="BM54" s="244">
        <v>0.7</v>
      </c>
      <c r="BN54" s="242"/>
      <c r="BO54" s="243">
        <v>0.95</v>
      </c>
      <c r="BP54" s="234">
        <v>1</v>
      </c>
      <c r="BQ54" s="242">
        <v>2.5000000000000001E-3</v>
      </c>
    </row>
    <row r="55" spans="1:69" s="211" customFormat="1" ht="22.35" customHeight="1" x14ac:dyDescent="0.2">
      <c r="A55" s="221" t="s">
        <v>81</v>
      </c>
      <c r="B55" s="221" t="s">
        <v>101</v>
      </c>
      <c r="C55" s="221" t="s">
        <v>109</v>
      </c>
      <c r="D55" s="222">
        <v>2.56970437377778</v>
      </c>
      <c r="E55" s="223"/>
      <c r="F55" s="224">
        <v>0.01</v>
      </c>
      <c r="G55" s="224">
        <v>0.01</v>
      </c>
      <c r="H55" s="225"/>
      <c r="I55" s="226">
        <v>2</v>
      </c>
      <c r="J55" s="226">
        <v>2</v>
      </c>
      <c r="K55" s="223"/>
      <c r="L55" s="227">
        <v>466.75184999999999</v>
      </c>
      <c r="M55" s="227">
        <v>391.03870000000001</v>
      </c>
      <c r="N55" s="227">
        <v>857.79055000000005</v>
      </c>
      <c r="O55" s="222">
        <v>333.80903996320097</v>
      </c>
      <c r="P55" s="228">
        <v>273.43799999999999</v>
      </c>
      <c r="Q55" s="234">
        <v>1.2207851138583601</v>
      </c>
      <c r="R55" s="235">
        <v>90.491481583702793</v>
      </c>
      <c r="S55" s="224">
        <v>0.01</v>
      </c>
      <c r="T55" s="224">
        <v>0.01</v>
      </c>
      <c r="U55" s="231">
        <v>0</v>
      </c>
      <c r="V55" s="232">
        <v>0</v>
      </c>
      <c r="W55" s="223"/>
      <c r="X55" s="231">
        <v>1005.73497</v>
      </c>
      <c r="Y55" s="222">
        <v>391.381584692346</v>
      </c>
      <c r="Z55" s="233">
        <v>573</v>
      </c>
      <c r="AA55" s="229">
        <v>0.68303941482084896</v>
      </c>
      <c r="AB55" s="230">
        <v>-602.17017194273706</v>
      </c>
      <c r="AC55" s="224"/>
      <c r="AD55" s="224"/>
      <c r="AE55" s="232">
        <v>467</v>
      </c>
      <c r="AF55" s="232">
        <v>762</v>
      </c>
      <c r="AG55" s="223"/>
      <c r="AH55" s="236">
        <v>97.9</v>
      </c>
      <c r="AI55" s="222">
        <v>38.097767587201098</v>
      </c>
      <c r="AJ55" s="237" t="s">
        <v>54</v>
      </c>
      <c r="AK55" s="229">
        <v>0.60472646963811305</v>
      </c>
      <c r="AL55" s="230">
        <v>-78.885382098416201</v>
      </c>
      <c r="AM55" s="224"/>
      <c r="AN55" s="224"/>
      <c r="AO55" s="232">
        <v>64</v>
      </c>
      <c r="AP55" s="232">
        <v>97</v>
      </c>
      <c r="AQ55" s="223"/>
      <c r="AR55" s="236">
        <v>7</v>
      </c>
      <c r="AS55" s="222">
        <v>2.7240487549582002</v>
      </c>
      <c r="AT55" s="237" t="s">
        <v>55</v>
      </c>
      <c r="AU55" s="229">
        <v>0.17025304718488701</v>
      </c>
      <c r="AV55" s="230">
        <v>-37.897874818645398</v>
      </c>
      <c r="AW55" s="224"/>
      <c r="AX55" s="224"/>
      <c r="AY55" s="232">
        <v>35</v>
      </c>
      <c r="AZ55" s="232">
        <v>43</v>
      </c>
      <c r="BA55" s="223"/>
      <c r="BB55" s="240">
        <v>59.4</v>
      </c>
      <c r="BC55" s="236">
        <v>23.115499434930999</v>
      </c>
      <c r="BD55" s="237" t="s">
        <v>56</v>
      </c>
      <c r="BE55" s="229">
        <v>0.72235935734159396</v>
      </c>
      <c r="BF55" s="230">
        <v>-30.395749637290798</v>
      </c>
      <c r="BG55" s="224"/>
      <c r="BH55" s="224"/>
      <c r="BI55" s="232">
        <v>23</v>
      </c>
      <c r="BJ55" s="232">
        <v>40</v>
      </c>
      <c r="BK55" s="225"/>
      <c r="BL55" s="241">
        <v>0.8</v>
      </c>
      <c r="BM55" s="244">
        <v>0.74</v>
      </c>
      <c r="BN55" s="242"/>
      <c r="BO55" s="243">
        <v>0.95</v>
      </c>
      <c r="BP55" s="234">
        <v>1</v>
      </c>
      <c r="BQ55" s="242">
        <v>2.5000000000000001E-3</v>
      </c>
    </row>
    <row r="56" spans="1:69" s="211" customFormat="1" ht="22.35" customHeight="1" x14ac:dyDescent="0.2">
      <c r="A56" s="221" t="s">
        <v>81</v>
      </c>
      <c r="B56" s="221" t="s">
        <v>101</v>
      </c>
      <c r="C56" s="221" t="s">
        <v>110</v>
      </c>
      <c r="D56" s="222">
        <v>5.2395012254444397</v>
      </c>
      <c r="E56" s="223"/>
      <c r="F56" s="224">
        <v>2.7E-2</v>
      </c>
      <c r="G56" s="224">
        <v>1.7000000000000001E-2</v>
      </c>
      <c r="H56" s="225"/>
      <c r="I56" s="226">
        <v>3</v>
      </c>
      <c r="J56" s="226">
        <v>3</v>
      </c>
      <c r="K56" s="223"/>
      <c r="L56" s="227">
        <v>2040.5803000000001</v>
      </c>
      <c r="M56" s="227">
        <v>1305.0040100000001</v>
      </c>
      <c r="N56" s="227">
        <v>3345.5843100000002</v>
      </c>
      <c r="O56" s="222">
        <v>638.531067375828</v>
      </c>
      <c r="P56" s="228">
        <v>287.5</v>
      </c>
      <c r="Q56" s="234">
        <v>2.22097762565505</v>
      </c>
      <c r="R56" s="235">
        <v>1700.64290027172</v>
      </c>
      <c r="S56" s="224">
        <v>0.01</v>
      </c>
      <c r="T56" s="224">
        <v>0.01</v>
      </c>
      <c r="U56" s="231">
        <v>0</v>
      </c>
      <c r="V56" s="232">
        <v>0</v>
      </c>
      <c r="W56" s="223"/>
      <c r="X56" s="231">
        <v>2171.8479699999998</v>
      </c>
      <c r="Y56" s="222">
        <v>414.51425938272803</v>
      </c>
      <c r="Z56" s="233">
        <v>573</v>
      </c>
      <c r="AA56" s="229">
        <v>0.72341057483896698</v>
      </c>
      <c r="AB56" s="230">
        <v>-1106.59177878019</v>
      </c>
      <c r="AC56" s="224"/>
      <c r="AD56" s="224"/>
      <c r="AE56" s="232">
        <v>831</v>
      </c>
      <c r="AF56" s="232">
        <v>1431</v>
      </c>
      <c r="AG56" s="223"/>
      <c r="AH56" s="236">
        <v>145.80000000000001</v>
      </c>
      <c r="AI56" s="222">
        <v>27.827076228545501</v>
      </c>
      <c r="AJ56" s="237" t="s">
        <v>54</v>
      </c>
      <c r="AK56" s="229">
        <v>0.44169962267532498</v>
      </c>
      <c r="AL56" s="230">
        <v>-214.65672630567599</v>
      </c>
      <c r="AM56" s="224"/>
      <c r="AN56" s="224"/>
      <c r="AO56" s="232">
        <v>185</v>
      </c>
      <c r="AP56" s="232">
        <v>251</v>
      </c>
      <c r="AQ56" s="223"/>
      <c r="AR56" s="236">
        <v>26.3</v>
      </c>
      <c r="AS56" s="222">
        <v>5.0195617613905803</v>
      </c>
      <c r="AT56" s="237" t="s">
        <v>55</v>
      </c>
      <c r="AU56" s="229">
        <v>0.31372261008691099</v>
      </c>
      <c r="AV56" s="230">
        <v>-65.244565410965293</v>
      </c>
      <c r="AW56" s="224"/>
      <c r="AX56" s="224"/>
      <c r="AY56" s="232">
        <v>58</v>
      </c>
      <c r="AZ56" s="232">
        <v>75</v>
      </c>
      <c r="BA56" s="223"/>
      <c r="BB56" s="240">
        <v>178.8</v>
      </c>
      <c r="BC56" s="236">
        <v>34.125385662989899</v>
      </c>
      <c r="BD56" s="237" t="s">
        <v>56</v>
      </c>
      <c r="BE56" s="238">
        <v>1.0664183019684399</v>
      </c>
      <c r="BF56" s="239">
        <v>-4.2891308219305104</v>
      </c>
      <c r="BG56" s="224">
        <v>1.7000000000000001E-2</v>
      </c>
      <c r="BH56" s="224">
        <v>7.0000000000000001E-3</v>
      </c>
      <c r="BI56" s="232">
        <v>0</v>
      </c>
      <c r="BJ56" s="232">
        <v>23</v>
      </c>
      <c r="BK56" s="225"/>
      <c r="BL56" s="241">
        <v>0.8</v>
      </c>
      <c r="BM56" s="244">
        <v>0.7</v>
      </c>
      <c r="BN56" s="242"/>
      <c r="BO56" s="243">
        <v>0.95</v>
      </c>
      <c r="BP56" s="234">
        <v>1</v>
      </c>
      <c r="BQ56" s="242">
        <v>2.5000000000000001E-3</v>
      </c>
    </row>
    <row r="57" spans="1:69" s="211" customFormat="1" ht="22.35" customHeight="1" x14ac:dyDescent="0.2">
      <c r="A57" s="221" t="s">
        <v>81</v>
      </c>
      <c r="B57" s="221" t="s">
        <v>101</v>
      </c>
      <c r="C57" s="221" t="s">
        <v>111</v>
      </c>
      <c r="D57" s="222">
        <v>2.6352440239999999</v>
      </c>
      <c r="E57" s="223"/>
      <c r="F57" s="224">
        <v>0.06</v>
      </c>
      <c r="G57" s="224">
        <v>0.06</v>
      </c>
      <c r="H57" s="225"/>
      <c r="I57" s="226">
        <v>5</v>
      </c>
      <c r="J57" s="226">
        <v>5</v>
      </c>
      <c r="K57" s="223"/>
      <c r="L57" s="227">
        <v>1834.59843</v>
      </c>
      <c r="M57" s="227">
        <v>2826.4283099999998</v>
      </c>
      <c r="N57" s="227">
        <v>4661.0267400000002</v>
      </c>
      <c r="O57" s="222">
        <v>1768.7268038749201</v>
      </c>
      <c r="P57" s="228">
        <v>269.755</v>
      </c>
      <c r="Q57" s="234">
        <v>6.5567896938886001</v>
      </c>
      <c r="R57" s="235">
        <v>3884.7564251500198</v>
      </c>
      <c r="S57" s="224">
        <v>0.01</v>
      </c>
      <c r="T57" s="224">
        <v>0.01</v>
      </c>
      <c r="U57" s="231">
        <v>0</v>
      </c>
      <c r="V57" s="232">
        <v>0</v>
      </c>
      <c r="W57" s="223"/>
      <c r="X57" s="231">
        <v>1869.0135700000001</v>
      </c>
      <c r="Y57" s="222">
        <v>709.23738104642405</v>
      </c>
      <c r="Z57" s="233">
        <v>573</v>
      </c>
      <c r="AA57" s="234">
        <v>1.23776157250685</v>
      </c>
      <c r="AB57" s="235">
        <v>220.09922027881601</v>
      </c>
      <c r="AC57" s="224">
        <v>0.02</v>
      </c>
      <c r="AD57" s="224">
        <v>0.02</v>
      </c>
      <c r="AE57" s="232">
        <v>0</v>
      </c>
      <c r="AF57" s="232">
        <v>0</v>
      </c>
      <c r="AG57" s="223"/>
      <c r="AH57" s="236">
        <v>148.94999999999999</v>
      </c>
      <c r="AI57" s="222">
        <v>56.522279775028501</v>
      </c>
      <c r="AJ57" s="237" t="s">
        <v>54</v>
      </c>
      <c r="AK57" s="244">
        <v>0.89717904404807203</v>
      </c>
      <c r="AL57" s="227">
        <v>-32.344247875104003</v>
      </c>
      <c r="AM57" s="224"/>
      <c r="AN57" s="224"/>
      <c r="AO57" s="232">
        <v>18</v>
      </c>
      <c r="AP57" s="232">
        <v>51</v>
      </c>
      <c r="AQ57" s="223"/>
      <c r="AR57" s="236">
        <v>63.4</v>
      </c>
      <c r="AS57" s="222">
        <v>24.058493036165199</v>
      </c>
      <c r="AT57" s="237" t="s">
        <v>55</v>
      </c>
      <c r="AU57" s="234">
        <v>1.5036558147603301</v>
      </c>
      <c r="AV57" s="235">
        <v>17.357016412671999</v>
      </c>
      <c r="AW57" s="224">
        <v>0.01</v>
      </c>
      <c r="AX57" s="224">
        <v>0.01</v>
      </c>
      <c r="AY57" s="232">
        <v>0</v>
      </c>
      <c r="AZ57" s="232">
        <v>0</v>
      </c>
      <c r="BA57" s="223"/>
      <c r="BB57" s="240">
        <v>134.80000000000001</v>
      </c>
      <c r="BC57" s="236">
        <v>51.152758064275602</v>
      </c>
      <c r="BD57" s="237" t="s">
        <v>56</v>
      </c>
      <c r="BE57" s="234">
        <v>1.5985236895086099</v>
      </c>
      <c r="BF57" s="235">
        <v>42.714032825343999</v>
      </c>
      <c r="BG57" s="224">
        <v>0.02</v>
      </c>
      <c r="BH57" s="224">
        <v>0.02</v>
      </c>
      <c r="BI57" s="232">
        <v>0</v>
      </c>
      <c r="BJ57" s="232">
        <v>0</v>
      </c>
      <c r="BK57" s="225"/>
      <c r="BL57" s="241">
        <v>0.8</v>
      </c>
      <c r="BM57" s="244">
        <v>0.73</v>
      </c>
      <c r="BN57" s="242"/>
      <c r="BO57" s="243">
        <v>0.95</v>
      </c>
      <c r="BP57" s="234">
        <v>1</v>
      </c>
      <c r="BQ57" s="242">
        <v>2.5000000000000001E-3</v>
      </c>
    </row>
    <row r="58" spans="1:69" s="211" customFormat="1" ht="22.35" customHeight="1" x14ac:dyDescent="0.2">
      <c r="A58" s="221" t="s">
        <v>81</v>
      </c>
      <c r="B58" s="221" t="s">
        <v>101</v>
      </c>
      <c r="C58" s="221" t="s">
        <v>112</v>
      </c>
      <c r="D58" s="222">
        <v>5.3559300766666702</v>
      </c>
      <c r="E58" s="223"/>
      <c r="F58" s="224">
        <v>0.03</v>
      </c>
      <c r="G58" s="224">
        <v>0.02</v>
      </c>
      <c r="H58" s="225"/>
      <c r="I58" s="226">
        <v>3</v>
      </c>
      <c r="J58" s="226">
        <v>3</v>
      </c>
      <c r="K58" s="223"/>
      <c r="L58" s="227">
        <v>3012.1510400000002</v>
      </c>
      <c r="M58" s="227">
        <v>703.85756000000003</v>
      </c>
      <c r="N58" s="227">
        <v>3716.0086000000001</v>
      </c>
      <c r="O58" s="222">
        <v>693.812007776006</v>
      </c>
      <c r="P58" s="228">
        <v>280.08499999999998</v>
      </c>
      <c r="Q58" s="234">
        <v>2.4771480364032601</v>
      </c>
      <c r="R58" s="235">
        <v>2077.88228232868</v>
      </c>
      <c r="S58" s="224">
        <v>0.01</v>
      </c>
      <c r="T58" s="224">
        <v>0.01</v>
      </c>
      <c r="U58" s="231">
        <v>0</v>
      </c>
      <c r="V58" s="232">
        <v>0</v>
      </c>
      <c r="W58" s="223"/>
      <c r="X58" s="231">
        <v>1907.5543150000001</v>
      </c>
      <c r="Y58" s="222">
        <v>356.15743441280898</v>
      </c>
      <c r="Z58" s="233">
        <v>573</v>
      </c>
      <c r="AA58" s="229">
        <v>0.62156620316371602</v>
      </c>
      <c r="AB58" s="230">
        <v>-1443.7368288515599</v>
      </c>
      <c r="AC58" s="224"/>
      <c r="AD58" s="224"/>
      <c r="AE58" s="232">
        <v>1162</v>
      </c>
      <c r="AF58" s="232">
        <v>1776</v>
      </c>
      <c r="AG58" s="223"/>
      <c r="AH58" s="236">
        <v>237.7</v>
      </c>
      <c r="AI58" s="222">
        <v>44.380713825139402</v>
      </c>
      <c r="AJ58" s="237" t="s">
        <v>54</v>
      </c>
      <c r="AK58" s="229">
        <v>0.70445577500221201</v>
      </c>
      <c r="AL58" s="230">
        <v>-130.76656555436</v>
      </c>
      <c r="AM58" s="224"/>
      <c r="AN58" s="224"/>
      <c r="AO58" s="232">
        <v>100</v>
      </c>
      <c r="AP58" s="232">
        <v>168</v>
      </c>
      <c r="AQ58" s="223"/>
      <c r="AR58" s="236">
        <v>26.9</v>
      </c>
      <c r="AS58" s="222">
        <v>5.0224703487431599</v>
      </c>
      <c r="AT58" s="237" t="s">
        <v>55</v>
      </c>
      <c r="AU58" s="229">
        <v>0.31390439679644699</v>
      </c>
      <c r="AV58" s="230">
        <v>-66.678810299520094</v>
      </c>
      <c r="AW58" s="224"/>
      <c r="AX58" s="224"/>
      <c r="AY58" s="232">
        <v>59</v>
      </c>
      <c r="AZ58" s="232">
        <v>76</v>
      </c>
      <c r="BA58" s="223"/>
      <c r="BB58" s="240">
        <v>188.2</v>
      </c>
      <c r="BC58" s="236">
        <v>35.138621547712297</v>
      </c>
      <c r="BD58" s="237" t="s">
        <v>56</v>
      </c>
      <c r="BE58" s="234">
        <v>1.09808192336601</v>
      </c>
      <c r="BF58" s="235">
        <v>1.0423794009598999</v>
      </c>
      <c r="BG58" s="224">
        <v>0.02</v>
      </c>
      <c r="BH58" s="224">
        <v>0.01</v>
      </c>
      <c r="BI58" s="232">
        <v>0</v>
      </c>
      <c r="BJ58" s="232">
        <v>18</v>
      </c>
      <c r="BK58" s="225"/>
      <c r="BL58" s="241">
        <v>0.8</v>
      </c>
      <c r="BM58" s="229">
        <v>0.65</v>
      </c>
      <c r="BN58" s="242"/>
      <c r="BO58" s="243">
        <v>0.95</v>
      </c>
      <c r="BP58" s="234">
        <v>1</v>
      </c>
      <c r="BQ58" s="242">
        <v>2.5000000000000001E-3</v>
      </c>
    </row>
    <row r="59" spans="1:69" s="211" customFormat="1" ht="22.35" customHeight="1" x14ac:dyDescent="0.2">
      <c r="A59" s="221" t="s">
        <v>81</v>
      </c>
      <c r="B59" s="221" t="s">
        <v>101</v>
      </c>
      <c r="C59" s="221" t="s">
        <v>113</v>
      </c>
      <c r="D59" s="222">
        <v>1.38279080044444</v>
      </c>
      <c r="E59" s="223"/>
      <c r="F59" s="224">
        <v>0.01</v>
      </c>
      <c r="G59" s="224">
        <v>0.01</v>
      </c>
      <c r="H59" s="225"/>
      <c r="I59" s="226">
        <v>2</v>
      </c>
      <c r="J59" s="226">
        <v>2</v>
      </c>
      <c r="K59" s="223"/>
      <c r="L59" s="227">
        <v>155.45249000000001</v>
      </c>
      <c r="M59" s="227">
        <v>1435.7973300000001</v>
      </c>
      <c r="N59" s="227">
        <v>1591.24982</v>
      </c>
      <c r="O59" s="222">
        <v>1150.7523910981699</v>
      </c>
      <c r="P59" s="228">
        <v>280.08499999999998</v>
      </c>
      <c r="Q59" s="234">
        <v>4.1085827198820697</v>
      </c>
      <c r="R59" s="235">
        <v>1168.31935421401</v>
      </c>
      <c r="S59" s="224">
        <v>0.01</v>
      </c>
      <c r="T59" s="224">
        <v>0.01</v>
      </c>
      <c r="U59" s="231">
        <v>0</v>
      </c>
      <c r="V59" s="232">
        <v>0</v>
      </c>
      <c r="W59" s="223"/>
      <c r="X59" s="231">
        <v>698.67079000000001</v>
      </c>
      <c r="Y59" s="222">
        <v>505.26138138570099</v>
      </c>
      <c r="Z59" s="233">
        <v>573</v>
      </c>
      <c r="AA59" s="244">
        <v>0.881782515507332</v>
      </c>
      <c r="AB59" s="227">
        <v>-166.563538490893</v>
      </c>
      <c r="AC59" s="224"/>
      <c r="AD59" s="224"/>
      <c r="AE59" s="232">
        <v>94</v>
      </c>
      <c r="AF59" s="232">
        <v>253</v>
      </c>
      <c r="AG59" s="223"/>
      <c r="AH59" s="236">
        <v>61.3</v>
      </c>
      <c r="AI59" s="222">
        <v>44.330639154019202</v>
      </c>
      <c r="AJ59" s="237" t="s">
        <v>54</v>
      </c>
      <c r="AK59" s="229">
        <v>0.703660938952685</v>
      </c>
      <c r="AL59" s="230">
        <v>-33.8304759073757</v>
      </c>
      <c r="AM59" s="224"/>
      <c r="AN59" s="224"/>
      <c r="AO59" s="232">
        <v>26</v>
      </c>
      <c r="AP59" s="232">
        <v>44</v>
      </c>
      <c r="AQ59" s="223"/>
      <c r="AR59" s="236">
        <v>4</v>
      </c>
      <c r="AS59" s="222">
        <v>2.8927007604580202</v>
      </c>
      <c r="AT59" s="237" t="s">
        <v>55</v>
      </c>
      <c r="AU59" s="229">
        <v>0.18079379752862601</v>
      </c>
      <c r="AV59" s="230">
        <v>-20.1601208653653</v>
      </c>
      <c r="AW59" s="224"/>
      <c r="AX59" s="224"/>
      <c r="AY59" s="232">
        <v>19</v>
      </c>
      <c r="AZ59" s="232">
        <v>23</v>
      </c>
      <c r="BA59" s="223"/>
      <c r="BB59" s="240">
        <v>34</v>
      </c>
      <c r="BC59" s="236">
        <v>24.5879564638932</v>
      </c>
      <c r="BD59" s="237" t="s">
        <v>56</v>
      </c>
      <c r="BE59" s="244">
        <v>0.76837363949666104</v>
      </c>
      <c r="BF59" s="227">
        <v>-14.320241730730499</v>
      </c>
      <c r="BG59" s="224"/>
      <c r="BH59" s="224"/>
      <c r="BI59" s="232">
        <v>11</v>
      </c>
      <c r="BJ59" s="232">
        <v>20</v>
      </c>
      <c r="BK59" s="225"/>
      <c r="BL59" s="241">
        <v>0.8</v>
      </c>
      <c r="BM59" s="244">
        <v>0.75</v>
      </c>
      <c r="BN59" s="242"/>
      <c r="BO59" s="243">
        <v>0.95</v>
      </c>
      <c r="BP59" s="234">
        <v>1</v>
      </c>
      <c r="BQ59" s="242">
        <v>2.5000000000000001E-3</v>
      </c>
    </row>
    <row r="60" spans="1:69" s="211" customFormat="1" ht="22.35" customHeight="1" x14ac:dyDescent="0.2">
      <c r="A60" s="221" t="s">
        <v>81</v>
      </c>
      <c r="B60" s="221" t="s">
        <v>101</v>
      </c>
      <c r="C60" s="221" t="s">
        <v>114</v>
      </c>
      <c r="D60" s="222">
        <v>3.0026688585555599</v>
      </c>
      <c r="E60" s="223"/>
      <c r="F60" s="224">
        <v>0.05</v>
      </c>
      <c r="G60" s="224">
        <v>4.2000000000000003E-2</v>
      </c>
      <c r="H60" s="225"/>
      <c r="I60" s="226">
        <v>4</v>
      </c>
      <c r="J60" s="226">
        <v>4</v>
      </c>
      <c r="K60" s="223"/>
      <c r="L60" s="227">
        <v>1197.3513600000001</v>
      </c>
      <c r="M60" s="227">
        <v>624.41645000000005</v>
      </c>
      <c r="N60" s="227">
        <v>1821.7678100000001</v>
      </c>
      <c r="O60" s="222">
        <v>606.71619010175095</v>
      </c>
      <c r="P60" s="228">
        <v>239.26400000000001</v>
      </c>
      <c r="Q60" s="234">
        <v>2.5357604574936099</v>
      </c>
      <c r="R60" s="235">
        <v>1037.2416365434101</v>
      </c>
      <c r="S60" s="224">
        <v>0.01</v>
      </c>
      <c r="T60" s="224">
        <v>0.01</v>
      </c>
      <c r="U60" s="231">
        <v>0</v>
      </c>
      <c r="V60" s="232">
        <v>0</v>
      </c>
      <c r="W60" s="223"/>
      <c r="X60" s="231">
        <v>1932.6159299999999</v>
      </c>
      <c r="Y60" s="222">
        <v>643.63272176795795</v>
      </c>
      <c r="Z60" s="233">
        <v>573</v>
      </c>
      <c r="AA60" s="234">
        <v>1.12326827533675</v>
      </c>
      <c r="AB60" s="235">
        <v>53.797982500048903</v>
      </c>
      <c r="AC60" s="224">
        <v>0.02</v>
      </c>
      <c r="AD60" s="224">
        <v>1.2E-2</v>
      </c>
      <c r="AE60" s="232">
        <v>0</v>
      </c>
      <c r="AF60" s="232">
        <v>133</v>
      </c>
      <c r="AG60" s="223"/>
      <c r="AH60" s="236">
        <v>168.3</v>
      </c>
      <c r="AI60" s="222">
        <v>56.0501367043721</v>
      </c>
      <c r="AJ60" s="237" t="s">
        <v>54</v>
      </c>
      <c r="AK60" s="244">
        <v>0.889684709593209</v>
      </c>
      <c r="AL60" s="227">
        <v>-38.271606793188298</v>
      </c>
      <c r="AM60" s="224"/>
      <c r="AN60" s="224"/>
      <c r="AO60" s="232">
        <v>21</v>
      </c>
      <c r="AP60" s="232">
        <v>59</v>
      </c>
      <c r="AQ60" s="223"/>
      <c r="AR60" s="236">
        <v>26.5</v>
      </c>
      <c r="AS60" s="222">
        <v>8.8254820122748807</v>
      </c>
      <c r="AT60" s="237" t="s">
        <v>55</v>
      </c>
      <c r="AU60" s="229">
        <v>0.55159262576718004</v>
      </c>
      <c r="AV60" s="230">
        <v>-25.9626302966828</v>
      </c>
      <c r="AW60" s="224"/>
      <c r="AX60" s="224"/>
      <c r="AY60" s="232">
        <v>22</v>
      </c>
      <c r="AZ60" s="232">
        <v>32</v>
      </c>
      <c r="BA60" s="223"/>
      <c r="BB60" s="240">
        <v>129.80000000000001</v>
      </c>
      <c r="BC60" s="236">
        <v>43.228210007293598</v>
      </c>
      <c r="BD60" s="237" t="s">
        <v>56</v>
      </c>
      <c r="BE60" s="234">
        <v>1.35088156272792</v>
      </c>
      <c r="BF60" s="235">
        <v>24.8747394066345</v>
      </c>
      <c r="BG60" s="224">
        <v>0.02</v>
      </c>
      <c r="BH60" s="224">
        <v>0.02</v>
      </c>
      <c r="BI60" s="232">
        <v>0</v>
      </c>
      <c r="BJ60" s="232">
        <v>0</v>
      </c>
      <c r="BK60" s="225"/>
      <c r="BL60" s="241">
        <v>0.8</v>
      </c>
      <c r="BM60" s="244">
        <v>0.73</v>
      </c>
      <c r="BN60" s="242"/>
      <c r="BO60" s="243">
        <v>0.95</v>
      </c>
      <c r="BP60" s="234">
        <v>1</v>
      </c>
      <c r="BQ60" s="242">
        <v>2.5000000000000001E-3</v>
      </c>
    </row>
    <row r="61" spans="1:69" s="211" customFormat="1" ht="22.35" customHeight="1" x14ac:dyDescent="0.2">
      <c r="A61" s="221" t="s">
        <v>81</v>
      </c>
      <c r="B61" s="221" t="s">
        <v>101</v>
      </c>
      <c r="C61" s="221" t="s">
        <v>115</v>
      </c>
      <c r="D61" s="222">
        <v>8.0969419465555603</v>
      </c>
      <c r="E61" s="223"/>
      <c r="F61" s="224">
        <v>4.4999999999999998E-2</v>
      </c>
      <c r="G61" s="224">
        <v>2.8000000000000001E-2</v>
      </c>
      <c r="H61" s="225"/>
      <c r="I61" s="226">
        <v>4</v>
      </c>
      <c r="J61" s="226">
        <v>4</v>
      </c>
      <c r="K61" s="223"/>
      <c r="L61" s="227">
        <v>4538.8215399999999</v>
      </c>
      <c r="M61" s="227">
        <v>3328.8561</v>
      </c>
      <c r="N61" s="227">
        <v>7867.6776399999999</v>
      </c>
      <c r="O61" s="222">
        <v>971.68507467771997</v>
      </c>
      <c r="P61" s="228">
        <v>262.83</v>
      </c>
      <c r="Q61" s="234">
        <v>3.6970097579337202</v>
      </c>
      <c r="R61" s="235">
        <v>5543.7714170199897</v>
      </c>
      <c r="S61" s="224">
        <v>0.01</v>
      </c>
      <c r="T61" s="224">
        <v>0.01</v>
      </c>
      <c r="U61" s="231">
        <v>0</v>
      </c>
      <c r="V61" s="232">
        <v>0</v>
      </c>
      <c r="W61" s="223"/>
      <c r="X61" s="231">
        <v>4849.3081000000002</v>
      </c>
      <c r="Y61" s="222">
        <v>598.90612184306201</v>
      </c>
      <c r="Z61" s="233">
        <v>573</v>
      </c>
      <c r="AA61" s="238">
        <v>1.0452113819250599</v>
      </c>
      <c r="AB61" s="239">
        <v>-217.07802703095999</v>
      </c>
      <c r="AC61" s="224">
        <v>1.4999999999999999E-2</v>
      </c>
      <c r="AD61" s="224">
        <v>5.0000000000000001E-3</v>
      </c>
      <c r="AE61" s="232">
        <v>0</v>
      </c>
      <c r="AF61" s="232">
        <v>719</v>
      </c>
      <c r="AG61" s="223"/>
      <c r="AH61" s="236">
        <v>410.8</v>
      </c>
      <c r="AI61" s="222">
        <v>50.7352038228154</v>
      </c>
      <c r="AJ61" s="237" t="s">
        <v>54</v>
      </c>
      <c r="AK61" s="244">
        <v>0.805320695600245</v>
      </c>
      <c r="AL61" s="227">
        <v>-146.23721815523601</v>
      </c>
      <c r="AM61" s="224"/>
      <c r="AN61" s="224"/>
      <c r="AO61" s="232">
        <v>100</v>
      </c>
      <c r="AP61" s="232">
        <v>202</v>
      </c>
      <c r="AQ61" s="223"/>
      <c r="AR61" s="236">
        <v>35.9</v>
      </c>
      <c r="AS61" s="222">
        <v>4.43377268071829</v>
      </c>
      <c r="AT61" s="237" t="s">
        <v>55</v>
      </c>
      <c r="AU61" s="229">
        <v>0.27711079254489301</v>
      </c>
      <c r="AV61" s="230">
        <v>-105.569769690219</v>
      </c>
      <c r="AW61" s="224"/>
      <c r="AX61" s="224"/>
      <c r="AY61" s="232">
        <v>94</v>
      </c>
      <c r="AZ61" s="232">
        <v>120</v>
      </c>
      <c r="BA61" s="223"/>
      <c r="BB61" s="240">
        <v>292.60000000000002</v>
      </c>
      <c r="BC61" s="236">
        <v>36.137099899113402</v>
      </c>
      <c r="BD61" s="237" t="s">
        <v>56</v>
      </c>
      <c r="BE61" s="234">
        <v>1.12928437184729</v>
      </c>
      <c r="BF61" s="235">
        <v>9.6604606195625102</v>
      </c>
      <c r="BG61" s="224">
        <v>0.02</v>
      </c>
      <c r="BH61" s="224">
        <v>1.2999999999999999E-2</v>
      </c>
      <c r="BI61" s="232">
        <v>0</v>
      </c>
      <c r="BJ61" s="232">
        <v>19</v>
      </c>
      <c r="BK61" s="225"/>
      <c r="BL61" s="241">
        <v>0.8</v>
      </c>
      <c r="BM61" s="229">
        <v>0.68</v>
      </c>
      <c r="BN61" s="242"/>
      <c r="BO61" s="243">
        <v>0.95</v>
      </c>
      <c r="BP61" s="234">
        <v>1</v>
      </c>
      <c r="BQ61" s="242">
        <v>2.5000000000000001E-3</v>
      </c>
    </row>
    <row r="62" spans="1:69" s="211" customFormat="1" ht="22.35" customHeight="1" x14ac:dyDescent="0.2">
      <c r="A62" s="221" t="s">
        <v>81</v>
      </c>
      <c r="B62" s="221" t="s">
        <v>101</v>
      </c>
      <c r="C62" s="221" t="s">
        <v>116</v>
      </c>
      <c r="D62" s="222">
        <v>1.895420369</v>
      </c>
      <c r="E62" s="223"/>
      <c r="F62" s="224">
        <v>5.3999999999999999E-2</v>
      </c>
      <c r="G62" s="224">
        <v>3.9E-2</v>
      </c>
      <c r="H62" s="225"/>
      <c r="I62" s="226">
        <v>5</v>
      </c>
      <c r="J62" s="226">
        <v>4</v>
      </c>
      <c r="K62" s="223"/>
      <c r="L62" s="227">
        <v>2330.3993599999999</v>
      </c>
      <c r="M62" s="227">
        <v>348.15463999999997</v>
      </c>
      <c r="N62" s="227">
        <v>2678.5540000000001</v>
      </c>
      <c r="O62" s="222">
        <v>1413.1714757361001</v>
      </c>
      <c r="P62" s="228">
        <v>248.27199999999999</v>
      </c>
      <c r="Q62" s="234">
        <v>5.6920292088358702</v>
      </c>
      <c r="R62" s="235">
        <v>2164.68085200921</v>
      </c>
      <c r="S62" s="224">
        <v>0.01</v>
      </c>
      <c r="T62" s="224">
        <v>0.01</v>
      </c>
      <c r="U62" s="231">
        <v>0</v>
      </c>
      <c r="V62" s="232">
        <v>0</v>
      </c>
      <c r="W62" s="223"/>
      <c r="X62" s="231">
        <v>1029.84358</v>
      </c>
      <c r="Y62" s="222">
        <v>543.33254872813905</v>
      </c>
      <c r="Z62" s="233">
        <v>573</v>
      </c>
      <c r="AA62" s="238">
        <v>0.94822434333008598</v>
      </c>
      <c r="AB62" s="239">
        <v>-156.151271609204</v>
      </c>
      <c r="AC62" s="224">
        <v>4.0000000000000001E-3</v>
      </c>
      <c r="AD62" s="224"/>
      <c r="AE62" s="232">
        <v>57</v>
      </c>
      <c r="AF62" s="232">
        <v>274</v>
      </c>
      <c r="AG62" s="223"/>
      <c r="AH62" s="236">
        <v>130.4</v>
      </c>
      <c r="AI62" s="222">
        <v>68.797403537874501</v>
      </c>
      <c r="AJ62" s="237" t="s">
        <v>54</v>
      </c>
      <c r="AK62" s="234">
        <v>1.0920222783789599</v>
      </c>
      <c r="AL62" s="235">
        <v>2.66029427598369E-3</v>
      </c>
      <c r="AM62" s="224">
        <v>0.02</v>
      </c>
      <c r="AN62" s="224">
        <v>8.9999999999999993E-3</v>
      </c>
      <c r="AO62" s="232">
        <v>0</v>
      </c>
      <c r="AP62" s="232">
        <v>13</v>
      </c>
      <c r="AQ62" s="223"/>
      <c r="AR62" s="236">
        <v>26.9</v>
      </c>
      <c r="AS62" s="222">
        <v>14.1921024169388</v>
      </c>
      <c r="AT62" s="237" t="s">
        <v>55</v>
      </c>
      <c r="AU62" s="244">
        <v>0.88700640105867701</v>
      </c>
      <c r="AV62" s="227">
        <v>-6.2167846871680004</v>
      </c>
      <c r="AW62" s="224"/>
      <c r="AX62" s="224"/>
      <c r="AY62" s="232">
        <v>4</v>
      </c>
      <c r="AZ62" s="232">
        <v>10</v>
      </c>
      <c r="BA62" s="223"/>
      <c r="BB62" s="240">
        <v>77</v>
      </c>
      <c r="BC62" s="236">
        <v>40.624233684174399</v>
      </c>
      <c r="BD62" s="237" t="s">
        <v>56</v>
      </c>
      <c r="BE62" s="234">
        <v>1.26950730263045</v>
      </c>
      <c r="BF62" s="235">
        <v>10.766430625664</v>
      </c>
      <c r="BG62" s="224">
        <v>0.02</v>
      </c>
      <c r="BH62" s="224">
        <v>0.02</v>
      </c>
      <c r="BI62" s="232">
        <v>0</v>
      </c>
      <c r="BJ62" s="232">
        <v>0</v>
      </c>
      <c r="BK62" s="225"/>
      <c r="BL62" s="241">
        <v>0.8</v>
      </c>
      <c r="BM62" s="244">
        <v>0.8</v>
      </c>
      <c r="BN62" s="242">
        <v>0</v>
      </c>
      <c r="BO62" s="243">
        <v>0.95</v>
      </c>
      <c r="BP62" s="234">
        <v>1</v>
      </c>
      <c r="BQ62" s="242">
        <v>2.5000000000000001E-3</v>
      </c>
    </row>
    <row r="63" spans="1:69" s="211" customFormat="1" ht="22.35" customHeight="1" x14ac:dyDescent="0.2">
      <c r="A63" s="221" t="s">
        <v>81</v>
      </c>
      <c r="B63" s="221" t="s">
        <v>101</v>
      </c>
      <c r="C63" s="221" t="s">
        <v>117</v>
      </c>
      <c r="D63" s="222">
        <v>2.1204174575555599</v>
      </c>
      <c r="E63" s="223"/>
      <c r="F63" s="224">
        <v>5.2999999999999999E-2</v>
      </c>
      <c r="G63" s="224">
        <v>3.4000000000000002E-2</v>
      </c>
      <c r="H63" s="225"/>
      <c r="I63" s="226">
        <v>4</v>
      </c>
      <c r="J63" s="226">
        <v>3</v>
      </c>
      <c r="K63" s="223"/>
      <c r="L63" s="227">
        <v>230.20095000000001</v>
      </c>
      <c r="M63" s="227">
        <v>650.33914000000004</v>
      </c>
      <c r="N63" s="227">
        <v>880.54008999999996</v>
      </c>
      <c r="O63" s="222">
        <v>415.26732713052502</v>
      </c>
      <c r="P63" s="228">
        <v>256.27100000000002</v>
      </c>
      <c r="Q63" s="234">
        <v>1.6204226273379601</v>
      </c>
      <c r="R63" s="235">
        <v>287.14564952637897</v>
      </c>
      <c r="S63" s="224">
        <v>0.01</v>
      </c>
      <c r="T63" s="224">
        <v>0.01</v>
      </c>
      <c r="U63" s="231">
        <v>0</v>
      </c>
      <c r="V63" s="232">
        <v>0</v>
      </c>
      <c r="W63" s="223"/>
      <c r="X63" s="231">
        <v>1198.4255000000001</v>
      </c>
      <c r="Y63" s="222">
        <v>565.18375460913296</v>
      </c>
      <c r="Z63" s="233">
        <v>573</v>
      </c>
      <c r="AA63" s="238">
        <v>0.98635908308749198</v>
      </c>
      <c r="AB63" s="239">
        <v>-128.35362987183501</v>
      </c>
      <c r="AC63" s="224">
        <v>8.0000000000000002E-3</v>
      </c>
      <c r="AD63" s="224"/>
      <c r="AE63" s="232">
        <v>17</v>
      </c>
      <c r="AF63" s="232">
        <v>260</v>
      </c>
      <c r="AG63" s="223"/>
      <c r="AH63" s="236">
        <v>139.5</v>
      </c>
      <c r="AI63" s="222">
        <v>65.788932034552005</v>
      </c>
      <c r="AJ63" s="237" t="s">
        <v>54</v>
      </c>
      <c r="AK63" s="238">
        <v>1.0442687624532101</v>
      </c>
      <c r="AL63" s="239">
        <v>-6.3762394099923103</v>
      </c>
      <c r="AM63" s="224">
        <v>1.4999999999999999E-2</v>
      </c>
      <c r="AN63" s="224">
        <v>4.0000000000000001E-3</v>
      </c>
      <c r="AO63" s="232">
        <v>0</v>
      </c>
      <c r="AP63" s="232">
        <v>21</v>
      </c>
      <c r="AQ63" s="223"/>
      <c r="AR63" s="236">
        <v>12.8</v>
      </c>
      <c r="AS63" s="222">
        <v>6.0365471687617598</v>
      </c>
      <c r="AT63" s="237" t="s">
        <v>55</v>
      </c>
      <c r="AU63" s="229">
        <v>0.37728419804760999</v>
      </c>
      <c r="AV63" s="230">
        <v>-24.247933818410701</v>
      </c>
      <c r="AW63" s="224"/>
      <c r="AX63" s="224"/>
      <c r="AY63" s="232">
        <v>22</v>
      </c>
      <c r="AZ63" s="232">
        <v>28</v>
      </c>
      <c r="BA63" s="223"/>
      <c r="BB63" s="240">
        <v>89.8</v>
      </c>
      <c r="BC63" s="236">
        <v>42.350151230844197</v>
      </c>
      <c r="BD63" s="237" t="s">
        <v>56</v>
      </c>
      <c r="BE63" s="234">
        <v>1.3234422259638801</v>
      </c>
      <c r="BF63" s="235">
        <v>15.7041323631785</v>
      </c>
      <c r="BG63" s="224">
        <v>0.02</v>
      </c>
      <c r="BH63" s="224">
        <v>0.02</v>
      </c>
      <c r="BI63" s="232">
        <v>0</v>
      </c>
      <c r="BJ63" s="232">
        <v>0</v>
      </c>
      <c r="BK63" s="225"/>
      <c r="BL63" s="241">
        <v>0.8</v>
      </c>
      <c r="BM63" s="244">
        <v>0.73</v>
      </c>
      <c r="BN63" s="242"/>
      <c r="BO63" s="243">
        <v>0.95</v>
      </c>
      <c r="BP63" s="229">
        <v>0.71</v>
      </c>
      <c r="BQ63" s="242"/>
    </row>
    <row r="64" spans="1:69" s="211" customFormat="1" ht="22.35" customHeight="1" x14ac:dyDescent="0.2">
      <c r="A64" s="221" t="s">
        <v>81</v>
      </c>
      <c r="B64" s="221" t="s">
        <v>101</v>
      </c>
      <c r="C64" s="221" t="s">
        <v>118</v>
      </c>
      <c r="D64" s="222">
        <v>2.5505437582222199</v>
      </c>
      <c r="E64" s="223"/>
      <c r="F64" s="224">
        <v>0.05</v>
      </c>
      <c r="G64" s="224">
        <v>0.05</v>
      </c>
      <c r="H64" s="225"/>
      <c r="I64" s="226">
        <v>4</v>
      </c>
      <c r="J64" s="226">
        <v>4</v>
      </c>
      <c r="K64" s="223"/>
      <c r="L64" s="227">
        <v>1358.1736599999999</v>
      </c>
      <c r="M64" s="227">
        <v>2756.9408800000001</v>
      </c>
      <c r="N64" s="227">
        <v>4115.1145399999996</v>
      </c>
      <c r="O64" s="222">
        <v>1613.4263631957101</v>
      </c>
      <c r="P64" s="228">
        <v>273.43799999999999</v>
      </c>
      <c r="Q64" s="234">
        <v>5.9005199101650501</v>
      </c>
      <c r="R64" s="235">
        <v>3353.5367220964399</v>
      </c>
      <c r="S64" s="224">
        <v>0.01</v>
      </c>
      <c r="T64" s="224">
        <v>0.01</v>
      </c>
      <c r="U64" s="231">
        <v>0</v>
      </c>
      <c r="V64" s="232">
        <v>0</v>
      </c>
      <c r="W64" s="223"/>
      <c r="X64" s="231">
        <v>1774.87022</v>
      </c>
      <c r="Y64" s="222">
        <v>695.87914901609804</v>
      </c>
      <c r="Z64" s="233">
        <v>573</v>
      </c>
      <c r="AA64" s="234">
        <v>1.2144487766423999</v>
      </c>
      <c r="AB64" s="235">
        <v>178.95418178022601</v>
      </c>
      <c r="AC64" s="224">
        <v>0.02</v>
      </c>
      <c r="AD64" s="224">
        <v>0.02</v>
      </c>
      <c r="AE64" s="232">
        <v>0</v>
      </c>
      <c r="AF64" s="232">
        <v>0</v>
      </c>
      <c r="AG64" s="223"/>
      <c r="AH64" s="236">
        <v>121.45</v>
      </c>
      <c r="AI64" s="222">
        <v>47.6172971384945</v>
      </c>
      <c r="AJ64" s="237" t="s">
        <v>54</v>
      </c>
      <c r="AK64" s="244">
        <v>0.75583011330943595</v>
      </c>
      <c r="AL64" s="227">
        <v>-54.017208390655902</v>
      </c>
      <c r="AM64" s="224"/>
      <c r="AN64" s="224"/>
      <c r="AO64" s="232">
        <v>40</v>
      </c>
      <c r="AP64" s="232">
        <v>72</v>
      </c>
      <c r="AQ64" s="223"/>
      <c r="AR64" s="236">
        <v>10.6</v>
      </c>
      <c r="AS64" s="222">
        <v>4.1559765308196104</v>
      </c>
      <c r="AT64" s="237" t="s">
        <v>55</v>
      </c>
      <c r="AU64" s="229">
        <v>0.25974853317622598</v>
      </c>
      <c r="AV64" s="230">
        <v>-33.963100543658598</v>
      </c>
      <c r="AW64" s="224"/>
      <c r="AX64" s="224"/>
      <c r="AY64" s="232">
        <v>31</v>
      </c>
      <c r="AZ64" s="232">
        <v>39</v>
      </c>
      <c r="BA64" s="223"/>
      <c r="BB64" s="240">
        <v>100.8</v>
      </c>
      <c r="BC64" s="236">
        <v>39.520984368548703</v>
      </c>
      <c r="BD64" s="237" t="s">
        <v>56</v>
      </c>
      <c r="BE64" s="234">
        <v>1.2350307615171501</v>
      </c>
      <c r="BF64" s="235">
        <v>11.673798912682701</v>
      </c>
      <c r="BG64" s="224">
        <v>0.02</v>
      </c>
      <c r="BH64" s="224">
        <v>0.02</v>
      </c>
      <c r="BI64" s="232">
        <v>0</v>
      </c>
      <c r="BJ64" s="232">
        <v>0</v>
      </c>
      <c r="BK64" s="225"/>
      <c r="BL64" s="241">
        <v>0.8</v>
      </c>
      <c r="BM64" s="229">
        <v>0.66</v>
      </c>
      <c r="BN64" s="242"/>
      <c r="BO64" s="243">
        <v>0.95</v>
      </c>
      <c r="BP64" s="234">
        <v>1</v>
      </c>
      <c r="BQ64" s="242">
        <v>2.5000000000000001E-3</v>
      </c>
    </row>
    <row r="65" spans="1:69" s="211" customFormat="1" ht="22.35" customHeight="1" x14ac:dyDescent="0.2">
      <c r="A65" s="221" t="s">
        <v>81</v>
      </c>
      <c r="B65" s="221" t="s">
        <v>119</v>
      </c>
      <c r="C65" s="221" t="s">
        <v>120</v>
      </c>
      <c r="D65" s="222">
        <v>2.7952903572222199</v>
      </c>
      <c r="E65" s="223"/>
      <c r="F65" s="224">
        <v>0.03</v>
      </c>
      <c r="G65" s="224">
        <v>0.03</v>
      </c>
      <c r="H65" s="225"/>
      <c r="I65" s="226">
        <v>2</v>
      </c>
      <c r="J65" s="226">
        <v>2</v>
      </c>
      <c r="K65" s="223"/>
      <c r="L65" s="227">
        <v>2630.0652</v>
      </c>
      <c r="M65" s="227">
        <v>683.55390999999997</v>
      </c>
      <c r="N65" s="227">
        <v>3313.6191100000001</v>
      </c>
      <c r="O65" s="222">
        <v>1185.4293066330499</v>
      </c>
      <c r="P65" s="228">
        <v>264.72899999999998</v>
      </c>
      <c r="Q65" s="234">
        <v>4.4778974220166701</v>
      </c>
      <c r="R65" s="235">
        <v>2505.5452022930299</v>
      </c>
      <c r="S65" s="224">
        <v>0.01</v>
      </c>
      <c r="T65" s="224">
        <v>0.01</v>
      </c>
      <c r="U65" s="231">
        <v>0</v>
      </c>
      <c r="V65" s="232">
        <v>0</v>
      </c>
      <c r="W65" s="223"/>
      <c r="X65" s="231">
        <v>1382.06512</v>
      </c>
      <c r="Y65" s="222">
        <v>494.42631833546102</v>
      </c>
      <c r="Z65" s="233">
        <v>573</v>
      </c>
      <c r="AA65" s="244">
        <v>0.86287315590830904</v>
      </c>
      <c r="AB65" s="227">
        <v>-366.99278115965802</v>
      </c>
      <c r="AC65" s="224"/>
      <c r="AD65" s="224"/>
      <c r="AE65" s="232">
        <v>220</v>
      </c>
      <c r="AF65" s="232">
        <v>540</v>
      </c>
      <c r="AG65" s="223"/>
      <c r="AH65" s="236">
        <v>149.75</v>
      </c>
      <c r="AI65" s="222">
        <v>53.5722522038146</v>
      </c>
      <c r="AJ65" s="237" t="s">
        <v>54</v>
      </c>
      <c r="AK65" s="244">
        <v>0.850353209584359</v>
      </c>
      <c r="AL65" s="227">
        <v>-42.5547954154599</v>
      </c>
      <c r="AM65" s="224"/>
      <c r="AN65" s="224"/>
      <c r="AO65" s="232">
        <v>27</v>
      </c>
      <c r="AP65" s="232">
        <v>62</v>
      </c>
      <c r="AQ65" s="223"/>
      <c r="AR65" s="236">
        <v>14</v>
      </c>
      <c r="AS65" s="222">
        <v>5.0084242460995299</v>
      </c>
      <c r="AT65" s="237" t="s">
        <v>55</v>
      </c>
      <c r="AU65" s="229">
        <v>0.313026515381221</v>
      </c>
      <c r="AV65" s="230">
        <v>-34.839313121386603</v>
      </c>
      <c r="AW65" s="224"/>
      <c r="AX65" s="224"/>
      <c r="AY65" s="232">
        <v>31</v>
      </c>
      <c r="AZ65" s="232">
        <v>40</v>
      </c>
      <c r="BA65" s="223"/>
      <c r="BB65" s="240">
        <v>124.2</v>
      </c>
      <c r="BC65" s="236">
        <v>44.431877954683003</v>
      </c>
      <c r="BD65" s="237" t="s">
        <v>56</v>
      </c>
      <c r="BE65" s="234">
        <v>1.3884961860838401</v>
      </c>
      <c r="BF65" s="235">
        <v>26.521373757226701</v>
      </c>
      <c r="BG65" s="224">
        <v>0.02</v>
      </c>
      <c r="BH65" s="224">
        <v>0.02</v>
      </c>
      <c r="BI65" s="232">
        <v>0</v>
      </c>
      <c r="BJ65" s="232">
        <v>0</v>
      </c>
      <c r="BK65" s="225"/>
      <c r="BL65" s="241">
        <v>0.8</v>
      </c>
      <c r="BM65" s="229">
        <v>0.68</v>
      </c>
      <c r="BN65" s="242"/>
      <c r="BO65" s="243">
        <v>0.95</v>
      </c>
      <c r="BP65" s="244">
        <v>0.9</v>
      </c>
      <c r="BQ65" s="242"/>
    </row>
    <row r="66" spans="1:69" s="211" customFormat="1" ht="22.35" customHeight="1" x14ac:dyDescent="0.2">
      <c r="A66" s="221" t="s">
        <v>81</v>
      </c>
      <c r="B66" s="221" t="s">
        <v>119</v>
      </c>
      <c r="C66" s="221" t="s">
        <v>121</v>
      </c>
      <c r="D66" s="222">
        <v>1.42108807377778</v>
      </c>
      <c r="E66" s="223"/>
      <c r="F66" s="224">
        <v>0.03</v>
      </c>
      <c r="G66" s="224">
        <v>0.03</v>
      </c>
      <c r="H66" s="225"/>
      <c r="I66" s="226">
        <v>3</v>
      </c>
      <c r="J66" s="226">
        <v>3</v>
      </c>
      <c r="K66" s="223"/>
      <c r="L66" s="227">
        <v>2098.7774300000001</v>
      </c>
      <c r="M66" s="227">
        <v>1048.6189199999999</v>
      </c>
      <c r="N66" s="227">
        <v>3147.39635</v>
      </c>
      <c r="O66" s="222">
        <v>2214.7792301381101</v>
      </c>
      <c r="P66" s="228">
        <v>287.5</v>
      </c>
      <c r="Q66" s="234">
        <v>7.7035799309151596</v>
      </c>
      <c r="R66" s="235">
        <v>2701.2457492374701</v>
      </c>
      <c r="S66" s="224">
        <v>0.01</v>
      </c>
      <c r="T66" s="224">
        <v>0.01</v>
      </c>
      <c r="U66" s="231">
        <v>0</v>
      </c>
      <c r="V66" s="232">
        <v>0</v>
      </c>
      <c r="W66" s="223"/>
      <c r="X66" s="231">
        <v>980.39894000000004</v>
      </c>
      <c r="Y66" s="222">
        <v>689.89315869334996</v>
      </c>
      <c r="Z66" s="233">
        <v>573</v>
      </c>
      <c r="AA66" s="234">
        <v>1.2040020221524399</v>
      </c>
      <c r="AB66" s="235">
        <v>91.201394828062803</v>
      </c>
      <c r="AC66" s="224">
        <v>0.02</v>
      </c>
      <c r="AD66" s="224">
        <v>0.02</v>
      </c>
      <c r="AE66" s="232">
        <v>0</v>
      </c>
      <c r="AF66" s="232">
        <v>0</v>
      </c>
      <c r="AG66" s="223"/>
      <c r="AH66" s="236">
        <v>61.2</v>
      </c>
      <c r="AI66" s="222">
        <v>43.065592576051799</v>
      </c>
      <c r="AJ66" s="237" t="s">
        <v>54</v>
      </c>
      <c r="AK66" s="229">
        <v>0.683580834540504</v>
      </c>
      <c r="AL66" s="230">
        <v>-36.5651751236161</v>
      </c>
      <c r="AM66" s="224"/>
      <c r="AN66" s="224"/>
      <c r="AO66" s="232">
        <v>29</v>
      </c>
      <c r="AP66" s="232">
        <v>47</v>
      </c>
      <c r="AQ66" s="223"/>
      <c r="AR66" s="236">
        <v>10.6</v>
      </c>
      <c r="AS66" s="222">
        <v>7.4590732239566799</v>
      </c>
      <c r="AT66" s="237" t="s">
        <v>55</v>
      </c>
      <c r="AU66" s="229">
        <v>0.466192076497292</v>
      </c>
      <c r="AV66" s="230">
        <v>-14.2292508250454</v>
      </c>
      <c r="AW66" s="224"/>
      <c r="AX66" s="224"/>
      <c r="AY66" s="232">
        <v>13</v>
      </c>
      <c r="AZ66" s="232">
        <v>17</v>
      </c>
      <c r="BA66" s="223"/>
      <c r="BB66" s="240">
        <v>40.6</v>
      </c>
      <c r="BC66" s="236">
        <v>28.569657820060499</v>
      </c>
      <c r="BD66" s="237" t="s">
        <v>56</v>
      </c>
      <c r="BE66" s="244">
        <v>0.89280180687689004</v>
      </c>
      <c r="BF66" s="227">
        <v>-9.05850165009074</v>
      </c>
      <c r="BG66" s="224"/>
      <c r="BH66" s="224"/>
      <c r="BI66" s="232">
        <v>5</v>
      </c>
      <c r="BJ66" s="232">
        <v>14</v>
      </c>
      <c r="BK66" s="225"/>
      <c r="BL66" s="241">
        <v>0.8</v>
      </c>
      <c r="BM66" s="244">
        <v>0.75</v>
      </c>
      <c r="BN66" s="242"/>
      <c r="BO66" s="243">
        <v>0.95</v>
      </c>
      <c r="BP66" s="234">
        <v>1</v>
      </c>
      <c r="BQ66" s="242">
        <v>2.5000000000000001E-3</v>
      </c>
    </row>
    <row r="67" spans="1:69" s="211" customFormat="1" ht="22.35" customHeight="1" x14ac:dyDescent="0.2">
      <c r="A67" s="221" t="s">
        <v>81</v>
      </c>
      <c r="B67" s="221" t="s">
        <v>119</v>
      </c>
      <c r="C67" s="221" t="s">
        <v>122</v>
      </c>
      <c r="D67" s="222">
        <v>4.3565891625555597</v>
      </c>
      <c r="E67" s="223"/>
      <c r="F67" s="224">
        <v>0.03</v>
      </c>
      <c r="G67" s="224">
        <v>0.03</v>
      </c>
      <c r="H67" s="225"/>
      <c r="I67" s="226">
        <v>3</v>
      </c>
      <c r="J67" s="226">
        <v>3</v>
      </c>
      <c r="K67" s="223"/>
      <c r="L67" s="227">
        <v>3638.6355400000002</v>
      </c>
      <c r="M67" s="227">
        <v>1926.11736</v>
      </c>
      <c r="N67" s="227">
        <v>5564.7529000000004</v>
      </c>
      <c r="O67" s="222">
        <v>1277.3187216799099</v>
      </c>
      <c r="P67" s="228">
        <v>287.5</v>
      </c>
      <c r="Q67" s="234">
        <v>4.4428477275822997</v>
      </c>
      <c r="R67" s="235">
        <v>4197.0017324156797</v>
      </c>
      <c r="S67" s="224">
        <v>0.01</v>
      </c>
      <c r="T67" s="224">
        <v>0.01</v>
      </c>
      <c r="U67" s="231">
        <v>0</v>
      </c>
      <c r="V67" s="232">
        <v>0</v>
      </c>
      <c r="W67" s="223"/>
      <c r="X67" s="231">
        <v>1950.4331050000001</v>
      </c>
      <c r="Y67" s="222">
        <v>447.69727698075701</v>
      </c>
      <c r="Z67" s="233">
        <v>573</v>
      </c>
      <c r="AA67" s="244">
        <v>0.78132160031545805</v>
      </c>
      <c r="AB67" s="227">
        <v>-775.55443943761497</v>
      </c>
      <c r="AC67" s="224"/>
      <c r="AD67" s="224"/>
      <c r="AE67" s="232">
        <v>546</v>
      </c>
      <c r="AF67" s="232">
        <v>1046</v>
      </c>
      <c r="AG67" s="223"/>
      <c r="AH67" s="236">
        <v>153.4</v>
      </c>
      <c r="AI67" s="222">
        <v>35.211031905064097</v>
      </c>
      <c r="AJ67" s="237" t="s">
        <v>54</v>
      </c>
      <c r="AK67" s="229">
        <v>0.55890526833434995</v>
      </c>
      <c r="AL67" s="230">
        <v>-146.31590802717199</v>
      </c>
      <c r="AM67" s="224"/>
      <c r="AN67" s="224"/>
      <c r="AO67" s="232">
        <v>122</v>
      </c>
      <c r="AP67" s="232">
        <v>176</v>
      </c>
      <c r="AQ67" s="223"/>
      <c r="AR67" s="236">
        <v>44.4</v>
      </c>
      <c r="AS67" s="222">
        <v>10.1914590390146</v>
      </c>
      <c r="AT67" s="237" t="s">
        <v>55</v>
      </c>
      <c r="AU67" s="229">
        <v>0.63696618993841403</v>
      </c>
      <c r="AV67" s="230">
        <v>-31.7183258481707</v>
      </c>
      <c r="AW67" s="224"/>
      <c r="AX67" s="224"/>
      <c r="AY67" s="232">
        <v>26</v>
      </c>
      <c r="AZ67" s="232">
        <v>40</v>
      </c>
      <c r="BA67" s="223"/>
      <c r="BB67" s="240">
        <v>191.6</v>
      </c>
      <c r="BC67" s="236">
        <v>43.9793592764685</v>
      </c>
      <c r="BD67" s="237" t="s">
        <v>56</v>
      </c>
      <c r="BE67" s="234">
        <v>1.37435497738964</v>
      </c>
      <c r="BF67" s="235">
        <v>39.363348303658498</v>
      </c>
      <c r="BG67" s="224">
        <v>0.02</v>
      </c>
      <c r="BH67" s="224">
        <v>0.02</v>
      </c>
      <c r="BI67" s="232">
        <v>0</v>
      </c>
      <c r="BJ67" s="232">
        <v>0</v>
      </c>
      <c r="BK67" s="225"/>
      <c r="BL67" s="241">
        <v>0.8</v>
      </c>
      <c r="BM67" s="244">
        <v>0.75</v>
      </c>
      <c r="BN67" s="242"/>
      <c r="BO67" s="243">
        <v>0.95</v>
      </c>
      <c r="BP67" s="234">
        <v>1</v>
      </c>
      <c r="BQ67" s="242">
        <v>2.5000000000000001E-3</v>
      </c>
    </row>
    <row r="68" spans="1:69" s="211" customFormat="1" ht="22.35" customHeight="1" x14ac:dyDescent="0.2">
      <c r="A68" s="221" t="s">
        <v>81</v>
      </c>
      <c r="B68" s="221" t="s">
        <v>119</v>
      </c>
      <c r="C68" s="221" t="s">
        <v>123</v>
      </c>
      <c r="D68" s="222">
        <v>4.5469934366666704</v>
      </c>
      <c r="E68" s="223"/>
      <c r="F68" s="224">
        <v>5.1999999999999998E-2</v>
      </c>
      <c r="G68" s="224">
        <v>3.4000000000000002E-2</v>
      </c>
      <c r="H68" s="225"/>
      <c r="I68" s="226">
        <v>5</v>
      </c>
      <c r="J68" s="226">
        <v>4</v>
      </c>
      <c r="K68" s="223"/>
      <c r="L68" s="227">
        <v>4450.64534</v>
      </c>
      <c r="M68" s="227">
        <v>1519.26342</v>
      </c>
      <c r="N68" s="227">
        <v>5969.9087600000003</v>
      </c>
      <c r="O68" s="222">
        <v>1312.9354249467401</v>
      </c>
      <c r="P68" s="228">
        <v>287.5</v>
      </c>
      <c r="Q68" s="234">
        <v>4.5667319128582298</v>
      </c>
      <c r="R68" s="235">
        <v>4542.3801705585001</v>
      </c>
      <c r="S68" s="224">
        <v>0.01</v>
      </c>
      <c r="T68" s="224">
        <v>0.01</v>
      </c>
      <c r="U68" s="231">
        <v>0</v>
      </c>
      <c r="V68" s="232">
        <v>0</v>
      </c>
      <c r="W68" s="223"/>
      <c r="X68" s="231">
        <v>2706.602085</v>
      </c>
      <c r="Y68" s="222">
        <v>595.25093288548305</v>
      </c>
      <c r="Z68" s="233">
        <v>573</v>
      </c>
      <c r="AA68" s="238">
        <v>1.03883234360468</v>
      </c>
      <c r="AB68" s="239">
        <v>-138.524460217322</v>
      </c>
      <c r="AC68" s="224">
        <v>1.4E-2</v>
      </c>
      <c r="AD68" s="224">
        <v>4.0000000000000001E-3</v>
      </c>
      <c r="AE68" s="232">
        <v>0</v>
      </c>
      <c r="AF68" s="232">
        <v>420</v>
      </c>
      <c r="AG68" s="223"/>
      <c r="AH68" s="236">
        <v>280.55</v>
      </c>
      <c r="AI68" s="222">
        <v>61.700111053089003</v>
      </c>
      <c r="AJ68" s="237" t="s">
        <v>54</v>
      </c>
      <c r="AK68" s="238">
        <v>0.97936684211252301</v>
      </c>
      <c r="AL68" s="239">
        <v>-32.264960468920201</v>
      </c>
      <c r="AM68" s="224">
        <v>8.0000000000000002E-3</v>
      </c>
      <c r="AN68" s="224"/>
      <c r="AO68" s="232">
        <v>6</v>
      </c>
      <c r="AP68" s="232">
        <v>64</v>
      </c>
      <c r="AQ68" s="223"/>
      <c r="AR68" s="236">
        <v>39.200000000000003</v>
      </c>
      <c r="AS68" s="222">
        <v>8.6210812806312198</v>
      </c>
      <c r="AT68" s="237" t="s">
        <v>55</v>
      </c>
      <c r="AU68" s="229">
        <v>0.53881758003945102</v>
      </c>
      <c r="AV68" s="230">
        <v>-40.245069325440099</v>
      </c>
      <c r="AW68" s="224"/>
      <c r="AX68" s="224"/>
      <c r="AY68" s="232">
        <v>34</v>
      </c>
      <c r="AZ68" s="232">
        <v>49</v>
      </c>
      <c r="BA68" s="223"/>
      <c r="BB68" s="240">
        <v>208.8</v>
      </c>
      <c r="BC68" s="236">
        <v>45.920453351933602</v>
      </c>
      <c r="BD68" s="237" t="s">
        <v>56</v>
      </c>
      <c r="BE68" s="234">
        <v>1.43501416724793</v>
      </c>
      <c r="BF68" s="235">
        <v>49.9098613491199</v>
      </c>
      <c r="BG68" s="224">
        <v>0.02</v>
      </c>
      <c r="BH68" s="224">
        <v>0.02</v>
      </c>
      <c r="BI68" s="232">
        <v>0</v>
      </c>
      <c r="BJ68" s="232">
        <v>0</v>
      </c>
      <c r="BK68" s="225"/>
      <c r="BL68" s="241">
        <v>0.8</v>
      </c>
      <c r="BM68" s="244">
        <v>0.77</v>
      </c>
      <c r="BN68" s="242"/>
      <c r="BO68" s="243">
        <v>0.95</v>
      </c>
      <c r="BP68" s="234">
        <v>1</v>
      </c>
      <c r="BQ68" s="242">
        <v>2.5000000000000001E-3</v>
      </c>
    </row>
    <row r="69" spans="1:69" s="211" customFormat="1" ht="22.35" customHeight="1" x14ac:dyDescent="0.2">
      <c r="A69" s="221" t="s">
        <v>81</v>
      </c>
      <c r="B69" s="221" t="s">
        <v>119</v>
      </c>
      <c r="C69" s="221" t="s">
        <v>124</v>
      </c>
      <c r="D69" s="222">
        <v>1.5103209235555599</v>
      </c>
      <c r="E69" s="223"/>
      <c r="F69" s="224">
        <v>3.1E-2</v>
      </c>
      <c r="G69" s="224">
        <v>1.2500000000000001E-2</v>
      </c>
      <c r="H69" s="225"/>
      <c r="I69" s="226">
        <v>4</v>
      </c>
      <c r="J69" s="226">
        <v>3</v>
      </c>
      <c r="K69" s="223"/>
      <c r="L69" s="227">
        <v>542.33698000000004</v>
      </c>
      <c r="M69" s="227">
        <v>-335.13474000000002</v>
      </c>
      <c r="N69" s="227">
        <v>207.20223999999999</v>
      </c>
      <c r="O69" s="222">
        <v>137.19086901889099</v>
      </c>
      <c r="P69" s="228">
        <v>287.5</v>
      </c>
      <c r="Q69" s="229">
        <v>0.47718563137005399</v>
      </c>
      <c r="R69" s="230">
        <v>-266.96301395026802</v>
      </c>
      <c r="S69" s="224"/>
      <c r="T69" s="224"/>
      <c r="U69" s="231">
        <v>228</v>
      </c>
      <c r="V69" s="232">
        <v>314</v>
      </c>
      <c r="W69" s="223"/>
      <c r="X69" s="231">
        <v>617.26729499999999</v>
      </c>
      <c r="Y69" s="222">
        <v>408.69942630924203</v>
      </c>
      <c r="Z69" s="233">
        <v>573</v>
      </c>
      <c r="AA69" s="229">
        <v>0.71326252409989899</v>
      </c>
      <c r="AB69" s="230">
        <v>-327.764672003491</v>
      </c>
      <c r="AC69" s="224"/>
      <c r="AD69" s="224"/>
      <c r="AE69" s="232">
        <v>249</v>
      </c>
      <c r="AF69" s="232">
        <v>422</v>
      </c>
      <c r="AG69" s="223"/>
      <c r="AH69" s="236">
        <v>89.15</v>
      </c>
      <c r="AI69" s="222">
        <v>59.027189923400897</v>
      </c>
      <c r="AJ69" s="237" t="s">
        <v>54</v>
      </c>
      <c r="AK69" s="238">
        <v>0.93693952259366498</v>
      </c>
      <c r="AL69" s="239">
        <v>-14.7540382569283</v>
      </c>
      <c r="AM69" s="224">
        <v>3.0000000000000001E-3</v>
      </c>
      <c r="AN69" s="224"/>
      <c r="AO69" s="232">
        <v>7</v>
      </c>
      <c r="AP69" s="232">
        <v>26</v>
      </c>
      <c r="AQ69" s="223"/>
      <c r="AR69" s="236">
        <v>25.4</v>
      </c>
      <c r="AS69" s="222">
        <v>16.817617768417101</v>
      </c>
      <c r="AT69" s="237" t="s">
        <v>55</v>
      </c>
      <c r="AU69" s="238">
        <v>1.0511011105260699</v>
      </c>
      <c r="AV69" s="239">
        <v>-0.98832717636274103</v>
      </c>
      <c r="AW69" s="224">
        <v>8.0000000000000002E-3</v>
      </c>
      <c r="AX69" s="224">
        <v>2.5000000000000001E-3</v>
      </c>
      <c r="AY69" s="232">
        <v>0</v>
      </c>
      <c r="AZ69" s="232">
        <v>4</v>
      </c>
      <c r="BA69" s="223"/>
      <c r="BB69" s="240">
        <v>53.4</v>
      </c>
      <c r="BC69" s="236">
        <v>35.356723969821701</v>
      </c>
      <c r="BD69" s="237" t="s">
        <v>56</v>
      </c>
      <c r="BE69" s="234">
        <v>1.1048976240569299</v>
      </c>
      <c r="BF69" s="235">
        <v>0.62334564727451203</v>
      </c>
      <c r="BG69" s="224">
        <v>0.02</v>
      </c>
      <c r="BH69" s="224">
        <v>0.01</v>
      </c>
      <c r="BI69" s="232">
        <v>0</v>
      </c>
      <c r="BJ69" s="232">
        <v>5</v>
      </c>
      <c r="BK69" s="225"/>
      <c r="BL69" s="241">
        <v>0.8</v>
      </c>
      <c r="BM69" s="229">
        <v>0.65</v>
      </c>
      <c r="BN69" s="242"/>
      <c r="BO69" s="243">
        <v>0.95</v>
      </c>
      <c r="BP69" s="234">
        <v>1</v>
      </c>
      <c r="BQ69" s="242">
        <v>2.5000000000000001E-3</v>
      </c>
    </row>
    <row r="70" spans="1:69" s="211" customFormat="1" ht="22.35" customHeight="1" x14ac:dyDescent="0.2">
      <c r="A70" s="221" t="s">
        <v>81</v>
      </c>
      <c r="B70" s="221" t="s">
        <v>119</v>
      </c>
      <c r="C70" s="221" t="s">
        <v>125</v>
      </c>
      <c r="D70" s="222">
        <v>3.0536943671111101</v>
      </c>
      <c r="E70" s="223"/>
      <c r="F70" s="224">
        <v>3.4500000000000003E-2</v>
      </c>
      <c r="G70" s="224">
        <v>0.03</v>
      </c>
      <c r="H70" s="225"/>
      <c r="I70" s="226">
        <v>4</v>
      </c>
      <c r="J70" s="226">
        <v>3</v>
      </c>
      <c r="K70" s="223"/>
      <c r="L70" s="227">
        <v>2768.2326800000001</v>
      </c>
      <c r="M70" s="227">
        <v>650.34236999999996</v>
      </c>
      <c r="N70" s="227">
        <v>3418.5750499999999</v>
      </c>
      <c r="O70" s="222">
        <v>1119.4882784664801</v>
      </c>
      <c r="P70" s="228">
        <v>253.321</v>
      </c>
      <c r="Q70" s="234">
        <v>4.4192478257486796</v>
      </c>
      <c r="R70" s="235">
        <v>2573.8421674381202</v>
      </c>
      <c r="S70" s="224">
        <v>0.01</v>
      </c>
      <c r="T70" s="224">
        <v>0.01</v>
      </c>
      <c r="U70" s="231">
        <v>0</v>
      </c>
      <c r="V70" s="232">
        <v>0</v>
      </c>
      <c r="W70" s="223"/>
      <c r="X70" s="231">
        <v>1448.03431</v>
      </c>
      <c r="Y70" s="222">
        <v>474.19097523171098</v>
      </c>
      <c r="Z70" s="233">
        <v>573</v>
      </c>
      <c r="AA70" s="244">
        <v>0.82755842099775001</v>
      </c>
      <c r="AB70" s="227">
        <v>-462.71111461129499</v>
      </c>
      <c r="AC70" s="224"/>
      <c r="AD70" s="224"/>
      <c r="AE70" s="232">
        <v>302</v>
      </c>
      <c r="AF70" s="232">
        <v>652</v>
      </c>
      <c r="AG70" s="223"/>
      <c r="AH70" s="236">
        <v>119.3</v>
      </c>
      <c r="AI70" s="222">
        <v>39.0674329706615</v>
      </c>
      <c r="AJ70" s="237" t="s">
        <v>54</v>
      </c>
      <c r="AK70" s="229">
        <v>0.620117983661294</v>
      </c>
      <c r="AL70" s="230">
        <v>-90.7819576797759</v>
      </c>
      <c r="AM70" s="224"/>
      <c r="AN70" s="224"/>
      <c r="AO70" s="232">
        <v>74</v>
      </c>
      <c r="AP70" s="232">
        <v>112</v>
      </c>
      <c r="AQ70" s="223"/>
      <c r="AR70" s="236">
        <v>48.6</v>
      </c>
      <c r="AS70" s="222">
        <v>15.9151487206551</v>
      </c>
      <c r="AT70" s="237" t="s">
        <v>55</v>
      </c>
      <c r="AU70" s="238">
        <v>0.99469679504094199</v>
      </c>
      <c r="AV70" s="239">
        <v>-4.7541479821653096</v>
      </c>
      <c r="AW70" s="224">
        <v>4.4999999999999997E-3</v>
      </c>
      <c r="AX70" s="224"/>
      <c r="AY70" s="232">
        <v>1</v>
      </c>
      <c r="AZ70" s="232">
        <v>11</v>
      </c>
      <c r="BA70" s="223"/>
      <c r="BB70" s="240">
        <v>164</v>
      </c>
      <c r="BC70" s="236">
        <v>53.705440127313402</v>
      </c>
      <c r="BD70" s="237" t="s">
        <v>56</v>
      </c>
      <c r="BE70" s="234">
        <v>1.67829500397854</v>
      </c>
      <c r="BF70" s="235">
        <v>57.291704035669397</v>
      </c>
      <c r="BG70" s="224">
        <v>0.02</v>
      </c>
      <c r="BH70" s="224">
        <v>0.02</v>
      </c>
      <c r="BI70" s="232">
        <v>0</v>
      </c>
      <c r="BJ70" s="232">
        <v>0</v>
      </c>
      <c r="BK70" s="225"/>
      <c r="BL70" s="241">
        <v>0.8</v>
      </c>
      <c r="BM70" s="229">
        <v>0.62</v>
      </c>
      <c r="BN70" s="242"/>
      <c r="BO70" s="243">
        <v>0.95</v>
      </c>
      <c r="BP70" s="234">
        <v>1</v>
      </c>
      <c r="BQ70" s="242">
        <v>2.5000000000000001E-3</v>
      </c>
    </row>
    <row r="71" spans="1:69" s="211" customFormat="1" ht="22.35" customHeight="1" x14ac:dyDescent="0.2">
      <c r="A71" s="221" t="s">
        <v>81</v>
      </c>
      <c r="B71" s="221" t="s">
        <v>119</v>
      </c>
      <c r="C71" s="221" t="s">
        <v>126</v>
      </c>
      <c r="D71" s="222">
        <v>2.1938047859999998</v>
      </c>
      <c r="E71" s="223"/>
      <c r="F71" s="224">
        <v>4.1000000000000002E-2</v>
      </c>
      <c r="G71" s="224">
        <v>3.1E-2</v>
      </c>
      <c r="H71" s="225"/>
      <c r="I71" s="226">
        <v>4</v>
      </c>
      <c r="J71" s="226">
        <v>4</v>
      </c>
      <c r="K71" s="223"/>
      <c r="L71" s="227">
        <v>1984.3654300000001</v>
      </c>
      <c r="M71" s="227">
        <v>188.55948000000001</v>
      </c>
      <c r="N71" s="227">
        <v>2172.9249100000002</v>
      </c>
      <c r="O71" s="222">
        <v>990.48234549708002</v>
      </c>
      <c r="P71" s="228">
        <v>252.24799999999999</v>
      </c>
      <c r="Q71" s="234">
        <v>3.9266212041208699</v>
      </c>
      <c r="R71" s="235">
        <v>1568.63081633245</v>
      </c>
      <c r="S71" s="224">
        <v>0.01</v>
      </c>
      <c r="T71" s="224">
        <v>0.01</v>
      </c>
      <c r="U71" s="231">
        <v>0</v>
      </c>
      <c r="V71" s="232">
        <v>0</v>
      </c>
      <c r="W71" s="223"/>
      <c r="X71" s="231">
        <v>1267.2595550000001</v>
      </c>
      <c r="Y71" s="222">
        <v>577.65374708230797</v>
      </c>
      <c r="Z71" s="233">
        <v>573</v>
      </c>
      <c r="AA71" s="238">
        <v>1.0081217226567301</v>
      </c>
      <c r="AB71" s="239">
        <v>-105.43920047677599</v>
      </c>
      <c r="AC71" s="224">
        <v>1.0999999999999999E-2</v>
      </c>
      <c r="AD71" s="224">
        <v>1E-3</v>
      </c>
      <c r="AE71" s="232">
        <v>0</v>
      </c>
      <c r="AF71" s="232">
        <v>242</v>
      </c>
      <c r="AG71" s="223"/>
      <c r="AH71" s="236">
        <v>114.9</v>
      </c>
      <c r="AI71" s="222">
        <v>52.374760385813097</v>
      </c>
      <c r="AJ71" s="237" t="s">
        <v>54</v>
      </c>
      <c r="AK71" s="244">
        <v>0.83134540294941395</v>
      </c>
      <c r="AL71" s="227">
        <v>-36.024994057656002</v>
      </c>
      <c r="AM71" s="224"/>
      <c r="AN71" s="224"/>
      <c r="AO71" s="232">
        <v>24</v>
      </c>
      <c r="AP71" s="232">
        <v>51</v>
      </c>
      <c r="AQ71" s="223"/>
      <c r="AR71" s="236">
        <v>24.8</v>
      </c>
      <c r="AS71" s="222">
        <v>11.304560988408699</v>
      </c>
      <c r="AT71" s="237" t="s">
        <v>55</v>
      </c>
      <c r="AU71" s="229">
        <v>0.70653506177554604</v>
      </c>
      <c r="AV71" s="230">
        <v>-13.530157220992001</v>
      </c>
      <c r="AW71" s="224"/>
      <c r="AX71" s="224"/>
      <c r="AY71" s="232">
        <v>11</v>
      </c>
      <c r="AZ71" s="232">
        <v>18</v>
      </c>
      <c r="BA71" s="223"/>
      <c r="BB71" s="240">
        <v>85.4</v>
      </c>
      <c r="BC71" s="236">
        <v>38.927802758471998</v>
      </c>
      <c r="BD71" s="237" t="s">
        <v>56</v>
      </c>
      <c r="BE71" s="234">
        <v>1.2164938362022499</v>
      </c>
      <c r="BF71" s="235">
        <v>8.73968555801601</v>
      </c>
      <c r="BG71" s="224">
        <v>0.02</v>
      </c>
      <c r="BH71" s="224">
        <v>0.02</v>
      </c>
      <c r="BI71" s="232">
        <v>0</v>
      </c>
      <c r="BJ71" s="232">
        <v>0</v>
      </c>
      <c r="BK71" s="225"/>
      <c r="BL71" s="241">
        <v>0.8</v>
      </c>
      <c r="BM71" s="244">
        <v>0.74</v>
      </c>
      <c r="BN71" s="242"/>
      <c r="BO71" s="243">
        <v>0.95</v>
      </c>
      <c r="BP71" s="234">
        <v>1</v>
      </c>
      <c r="BQ71" s="242">
        <v>2.5000000000000001E-3</v>
      </c>
    </row>
    <row r="72" spans="1:69" s="211" customFormat="1" ht="22.35" customHeight="1" x14ac:dyDescent="0.2">
      <c r="A72" s="221" t="s">
        <v>81</v>
      </c>
      <c r="B72" s="221" t="s">
        <v>119</v>
      </c>
      <c r="C72" s="221" t="s">
        <v>127</v>
      </c>
      <c r="D72" s="222">
        <v>4.5919046557777801</v>
      </c>
      <c r="E72" s="223"/>
      <c r="F72" s="224">
        <v>0.08</v>
      </c>
      <c r="G72" s="224">
        <v>6.5500000000000003E-2</v>
      </c>
      <c r="H72" s="225"/>
      <c r="I72" s="226">
        <v>6</v>
      </c>
      <c r="J72" s="226">
        <v>6</v>
      </c>
      <c r="K72" s="223"/>
      <c r="L72" s="227">
        <v>2959.4050900000002</v>
      </c>
      <c r="M72" s="227">
        <v>1167.2518299999999</v>
      </c>
      <c r="N72" s="227">
        <v>4126.6569200000004</v>
      </c>
      <c r="O72" s="222">
        <v>898.68088066846497</v>
      </c>
      <c r="P72" s="228">
        <v>287.5</v>
      </c>
      <c r="Q72" s="234">
        <v>3.1258465414555299</v>
      </c>
      <c r="R72" s="235">
        <v>2685.02845331857</v>
      </c>
      <c r="S72" s="224">
        <v>0.01</v>
      </c>
      <c r="T72" s="224">
        <v>0.01</v>
      </c>
      <c r="U72" s="231">
        <v>0</v>
      </c>
      <c r="V72" s="232">
        <v>0</v>
      </c>
      <c r="W72" s="223"/>
      <c r="X72" s="231">
        <v>2881.034545</v>
      </c>
      <c r="Y72" s="222">
        <v>627.41602035985898</v>
      </c>
      <c r="Z72" s="233">
        <v>573</v>
      </c>
      <c r="AA72" s="234">
        <v>1.0949668767187799</v>
      </c>
      <c r="AB72" s="235">
        <v>7.8063314053511004</v>
      </c>
      <c r="AC72" s="224">
        <v>0.02</v>
      </c>
      <c r="AD72" s="224">
        <v>8.9999999999999993E-3</v>
      </c>
      <c r="AE72" s="232">
        <v>0</v>
      </c>
      <c r="AF72" s="232">
        <v>277</v>
      </c>
      <c r="AG72" s="223"/>
      <c r="AH72" s="236">
        <v>362.75</v>
      </c>
      <c r="AI72" s="222">
        <v>78.997720378093803</v>
      </c>
      <c r="AJ72" s="237" t="s">
        <v>54</v>
      </c>
      <c r="AK72" s="234">
        <v>1.2539320694935501</v>
      </c>
      <c r="AL72" s="235">
        <v>46.845327301111901</v>
      </c>
      <c r="AM72" s="224">
        <v>0.02</v>
      </c>
      <c r="AN72" s="224">
        <v>0.02</v>
      </c>
      <c r="AO72" s="232">
        <v>0</v>
      </c>
      <c r="AP72" s="232">
        <v>0</v>
      </c>
      <c r="AQ72" s="223"/>
      <c r="AR72" s="236">
        <v>83</v>
      </c>
      <c r="AS72" s="222">
        <v>18.0752881912661</v>
      </c>
      <c r="AT72" s="237" t="s">
        <v>55</v>
      </c>
      <c r="AU72" s="234">
        <v>1.1297055119541299</v>
      </c>
      <c r="AV72" s="235">
        <v>2.77024185425064</v>
      </c>
      <c r="AW72" s="224">
        <v>0.01</v>
      </c>
      <c r="AX72" s="224">
        <v>6.4999999999999997E-3</v>
      </c>
      <c r="AY72" s="232">
        <v>0</v>
      </c>
      <c r="AZ72" s="232">
        <v>6</v>
      </c>
      <c r="BA72" s="223"/>
      <c r="BB72" s="240">
        <v>232.8</v>
      </c>
      <c r="BC72" s="236">
        <v>50.697916758153603</v>
      </c>
      <c r="BD72" s="237" t="s">
        <v>56</v>
      </c>
      <c r="BE72" s="234">
        <v>1.5843098986923001</v>
      </c>
      <c r="BF72" s="235">
        <v>72.340483708501296</v>
      </c>
      <c r="BG72" s="224">
        <v>0.02</v>
      </c>
      <c r="BH72" s="224">
        <v>0.02</v>
      </c>
      <c r="BI72" s="232">
        <v>0</v>
      </c>
      <c r="BJ72" s="232">
        <v>0</v>
      </c>
      <c r="BK72" s="225"/>
      <c r="BL72" s="241">
        <v>0.8</v>
      </c>
      <c r="BM72" s="229">
        <v>0.62</v>
      </c>
      <c r="BN72" s="242"/>
      <c r="BO72" s="243">
        <v>0.95</v>
      </c>
      <c r="BP72" s="238">
        <v>0.96</v>
      </c>
      <c r="BQ72" s="242">
        <v>5.0000000000000001E-4</v>
      </c>
    </row>
    <row r="73" spans="1:69" s="211" customFormat="1" ht="22.35" customHeight="1" x14ac:dyDescent="0.2">
      <c r="A73" s="221" t="s">
        <v>81</v>
      </c>
      <c r="B73" s="221" t="s">
        <v>119</v>
      </c>
      <c r="C73" s="221" t="s">
        <v>128</v>
      </c>
      <c r="D73" s="222">
        <v>2.7606706158888898</v>
      </c>
      <c r="E73" s="223"/>
      <c r="F73" s="224">
        <v>0.05</v>
      </c>
      <c r="G73" s="224">
        <v>3.9E-2</v>
      </c>
      <c r="H73" s="225"/>
      <c r="I73" s="226">
        <v>4</v>
      </c>
      <c r="J73" s="226">
        <v>4</v>
      </c>
      <c r="K73" s="223"/>
      <c r="L73" s="227">
        <v>2026.9544699999999</v>
      </c>
      <c r="M73" s="227">
        <v>1026.9030499999999</v>
      </c>
      <c r="N73" s="227">
        <v>3053.85752</v>
      </c>
      <c r="O73" s="222">
        <v>1106.2013347132699</v>
      </c>
      <c r="P73" s="228">
        <v>276.39800000000002</v>
      </c>
      <c r="Q73" s="234">
        <v>4.0022045554355303</v>
      </c>
      <c r="R73" s="235">
        <v>2220.6136501156202</v>
      </c>
      <c r="S73" s="224">
        <v>0.01</v>
      </c>
      <c r="T73" s="224">
        <v>0.01</v>
      </c>
      <c r="U73" s="231">
        <v>0</v>
      </c>
      <c r="V73" s="232">
        <v>0</v>
      </c>
      <c r="W73" s="223"/>
      <c r="X73" s="231">
        <v>1751.522905</v>
      </c>
      <c r="Y73" s="222">
        <v>634.45559021753797</v>
      </c>
      <c r="Z73" s="233">
        <v>573</v>
      </c>
      <c r="AA73" s="234">
        <v>1.10725233894858</v>
      </c>
      <c r="AB73" s="235">
        <v>24.127129908467399</v>
      </c>
      <c r="AC73" s="224">
        <v>0.02</v>
      </c>
      <c r="AD73" s="224">
        <v>1.0999999999999999E-2</v>
      </c>
      <c r="AE73" s="232">
        <v>0</v>
      </c>
      <c r="AF73" s="232">
        <v>147</v>
      </c>
      <c r="AG73" s="223"/>
      <c r="AH73" s="236">
        <v>157.9</v>
      </c>
      <c r="AI73" s="222">
        <v>57.1962475679696</v>
      </c>
      <c r="AJ73" s="237" t="s">
        <v>54</v>
      </c>
      <c r="AK73" s="244">
        <v>0.90787694552332698</v>
      </c>
      <c r="AL73" s="227">
        <v>-32.023095690692102</v>
      </c>
      <c r="AM73" s="224">
        <v>0</v>
      </c>
      <c r="AN73" s="224"/>
      <c r="AO73" s="232">
        <v>17</v>
      </c>
      <c r="AP73" s="232">
        <v>51</v>
      </c>
      <c r="AQ73" s="223"/>
      <c r="AR73" s="236">
        <v>29.8</v>
      </c>
      <c r="AS73" s="222">
        <v>10.7944786417067</v>
      </c>
      <c r="AT73" s="237" t="s">
        <v>55</v>
      </c>
      <c r="AU73" s="229">
        <v>0.67465491510667097</v>
      </c>
      <c r="AV73" s="230">
        <v>-18.4344370008107</v>
      </c>
      <c r="AW73" s="224"/>
      <c r="AX73" s="224"/>
      <c r="AY73" s="232">
        <v>15</v>
      </c>
      <c r="AZ73" s="232">
        <v>24</v>
      </c>
      <c r="BA73" s="223"/>
      <c r="BB73" s="240">
        <v>104</v>
      </c>
      <c r="BC73" s="236">
        <v>37.672005997902701</v>
      </c>
      <c r="BD73" s="237" t="s">
        <v>56</v>
      </c>
      <c r="BE73" s="234">
        <v>1.1772501874344601</v>
      </c>
      <c r="BF73" s="235">
        <v>7.5311259983786298</v>
      </c>
      <c r="BG73" s="224">
        <v>0.02</v>
      </c>
      <c r="BH73" s="224">
        <v>1.7999999999999999E-2</v>
      </c>
      <c r="BI73" s="232">
        <v>0</v>
      </c>
      <c r="BJ73" s="232">
        <v>3</v>
      </c>
      <c r="BK73" s="225"/>
      <c r="BL73" s="241">
        <v>0.8</v>
      </c>
      <c r="BM73" s="244">
        <v>0.72</v>
      </c>
      <c r="BN73" s="242"/>
      <c r="BO73" s="243">
        <v>0.95</v>
      </c>
      <c r="BP73" s="234">
        <v>1</v>
      </c>
      <c r="BQ73" s="242">
        <v>2.5000000000000001E-3</v>
      </c>
    </row>
    <row r="74" spans="1:69" s="211" customFormat="1" ht="22.35" customHeight="1" x14ac:dyDescent="0.2">
      <c r="A74" s="221" t="s">
        <v>81</v>
      </c>
      <c r="B74" s="221" t="s">
        <v>119</v>
      </c>
      <c r="C74" s="221" t="s">
        <v>129</v>
      </c>
      <c r="D74" s="222">
        <v>5.5965996495555599</v>
      </c>
      <c r="E74" s="223"/>
      <c r="F74" s="224">
        <v>0.04</v>
      </c>
      <c r="G74" s="224">
        <v>3.5000000000000003E-2</v>
      </c>
      <c r="H74" s="225"/>
      <c r="I74" s="226">
        <v>4</v>
      </c>
      <c r="J74" s="226">
        <v>4</v>
      </c>
      <c r="K74" s="223"/>
      <c r="L74" s="227">
        <v>2613.0964100000001</v>
      </c>
      <c r="M74" s="227">
        <v>1358.6611</v>
      </c>
      <c r="N74" s="227">
        <v>3971.7575099999999</v>
      </c>
      <c r="O74" s="222">
        <v>709.67333000412305</v>
      </c>
      <c r="P74" s="228">
        <v>242.33799999999999</v>
      </c>
      <c r="Q74" s="234">
        <v>2.9284442803197299</v>
      </c>
      <c r="R74" s="235">
        <v>2490.7120176655999</v>
      </c>
      <c r="S74" s="224">
        <v>0.01</v>
      </c>
      <c r="T74" s="224">
        <v>0.01</v>
      </c>
      <c r="U74" s="231">
        <v>0</v>
      </c>
      <c r="V74" s="232">
        <v>0</v>
      </c>
      <c r="W74" s="223"/>
      <c r="X74" s="231">
        <v>2060.1639100000002</v>
      </c>
      <c r="Y74" s="222">
        <v>368.109930851245</v>
      </c>
      <c r="Z74" s="233">
        <v>573</v>
      </c>
      <c r="AA74" s="229">
        <v>0.64242570829187695</v>
      </c>
      <c r="AB74" s="230">
        <v>-1441.7180363213099</v>
      </c>
      <c r="AC74" s="224"/>
      <c r="AD74" s="224"/>
      <c r="AE74" s="232">
        <v>1147</v>
      </c>
      <c r="AF74" s="232">
        <v>1789</v>
      </c>
      <c r="AG74" s="223"/>
      <c r="AH74" s="236">
        <v>274.8</v>
      </c>
      <c r="AI74" s="222">
        <v>49.1012431131862</v>
      </c>
      <c r="AJ74" s="237" t="s">
        <v>54</v>
      </c>
      <c r="AK74" s="244">
        <v>0.77938481132041604</v>
      </c>
      <c r="AL74" s="227">
        <v>-110.22366949082399</v>
      </c>
      <c r="AM74" s="224"/>
      <c r="AN74" s="224"/>
      <c r="AO74" s="232">
        <v>78</v>
      </c>
      <c r="AP74" s="232">
        <v>149</v>
      </c>
      <c r="AQ74" s="223"/>
      <c r="AR74" s="236">
        <v>98.5</v>
      </c>
      <c r="AS74" s="222">
        <v>17.5999725132782</v>
      </c>
      <c r="AT74" s="237" t="s">
        <v>55</v>
      </c>
      <c r="AU74" s="234">
        <v>1.0999982820798799</v>
      </c>
      <c r="AV74" s="235">
        <v>0.71621092296526001</v>
      </c>
      <c r="AW74" s="224">
        <v>0.01</v>
      </c>
      <c r="AX74" s="224">
        <v>5.0000000000000001E-3</v>
      </c>
      <c r="AY74" s="232">
        <v>0</v>
      </c>
      <c r="AZ74" s="232">
        <v>9</v>
      </c>
      <c r="BA74" s="223"/>
      <c r="BB74" s="240">
        <v>261.60000000000002</v>
      </c>
      <c r="BC74" s="236">
        <v>46.742668116482903</v>
      </c>
      <c r="BD74" s="237" t="s">
        <v>56</v>
      </c>
      <c r="BE74" s="234">
        <v>1.4607083786400901</v>
      </c>
      <c r="BF74" s="235">
        <v>66.0324218459305</v>
      </c>
      <c r="BG74" s="224">
        <v>0.02</v>
      </c>
      <c r="BH74" s="224">
        <v>0.02</v>
      </c>
      <c r="BI74" s="232">
        <v>0</v>
      </c>
      <c r="BJ74" s="232">
        <v>0</v>
      </c>
      <c r="BK74" s="225"/>
      <c r="BL74" s="241">
        <v>0.8</v>
      </c>
      <c r="BM74" s="229">
        <v>0.69</v>
      </c>
      <c r="BN74" s="242"/>
      <c r="BO74" s="243">
        <v>0.95</v>
      </c>
      <c r="BP74" s="234">
        <v>1</v>
      </c>
      <c r="BQ74" s="242">
        <v>2.5000000000000001E-3</v>
      </c>
    </row>
    <row r="75" spans="1:69" s="211" customFormat="1" ht="22.35" customHeight="1" x14ac:dyDescent="0.2">
      <c r="A75" s="221" t="s">
        <v>81</v>
      </c>
      <c r="B75" s="221" t="s">
        <v>119</v>
      </c>
      <c r="C75" s="221" t="s">
        <v>130</v>
      </c>
      <c r="D75" s="222">
        <v>4.2868855297777797</v>
      </c>
      <c r="E75" s="223"/>
      <c r="F75" s="224">
        <v>3.0000000000000001E-3</v>
      </c>
      <c r="G75" s="224"/>
      <c r="H75" s="225"/>
      <c r="I75" s="226">
        <v>1</v>
      </c>
      <c r="J75" s="226">
        <v>0</v>
      </c>
      <c r="K75" s="223"/>
      <c r="L75" s="227">
        <v>1191.4129499999999</v>
      </c>
      <c r="M75" s="227">
        <v>-1503.8709699999999</v>
      </c>
      <c r="N75" s="227">
        <v>-312.45801999999998</v>
      </c>
      <c r="O75" s="222">
        <v>-72.886952037694599</v>
      </c>
      <c r="P75" s="228">
        <v>275.59500000000003</v>
      </c>
      <c r="Q75" s="229">
        <v>-0.264471242358151</v>
      </c>
      <c r="R75" s="230">
        <v>-1602.5951055963901</v>
      </c>
      <c r="S75" s="224"/>
      <c r="T75" s="224"/>
      <c r="U75" s="231">
        <v>1494</v>
      </c>
      <c r="V75" s="232">
        <v>1731</v>
      </c>
      <c r="W75" s="223"/>
      <c r="X75" s="231">
        <v>2293.6745999999998</v>
      </c>
      <c r="Y75" s="222">
        <v>535.04451753319802</v>
      </c>
      <c r="Z75" s="233">
        <v>573</v>
      </c>
      <c r="AA75" s="238">
        <v>0.93376006550296398</v>
      </c>
      <c r="AB75" s="239">
        <v>-388.69826615043303</v>
      </c>
      <c r="AC75" s="224">
        <v>3.0000000000000001E-3</v>
      </c>
      <c r="AD75" s="224"/>
      <c r="AE75" s="232">
        <v>163</v>
      </c>
      <c r="AF75" s="232">
        <v>654</v>
      </c>
      <c r="AG75" s="223"/>
      <c r="AH75" s="236">
        <v>165.4</v>
      </c>
      <c r="AI75" s="222">
        <v>38.5827890320584</v>
      </c>
      <c r="AJ75" s="237" t="s">
        <v>54</v>
      </c>
      <c r="AK75" s="229">
        <v>0.61242522273108602</v>
      </c>
      <c r="AL75" s="230">
        <v>-129.520576906592</v>
      </c>
      <c r="AM75" s="224"/>
      <c r="AN75" s="224"/>
      <c r="AO75" s="232">
        <v>105</v>
      </c>
      <c r="AP75" s="232">
        <v>159</v>
      </c>
      <c r="AQ75" s="223"/>
      <c r="AR75" s="236">
        <v>9</v>
      </c>
      <c r="AS75" s="222">
        <v>2.0994262472099501</v>
      </c>
      <c r="AT75" s="237" t="s">
        <v>55</v>
      </c>
      <c r="AU75" s="229">
        <v>0.13121414045062199</v>
      </c>
      <c r="AV75" s="230">
        <v>-65.900463976277393</v>
      </c>
      <c r="AW75" s="224"/>
      <c r="AX75" s="224"/>
      <c r="AY75" s="232">
        <v>60</v>
      </c>
      <c r="AZ75" s="232">
        <v>74</v>
      </c>
      <c r="BA75" s="223"/>
      <c r="BB75" s="240">
        <v>121.4</v>
      </c>
      <c r="BC75" s="236">
        <v>28.318927379032001</v>
      </c>
      <c r="BD75" s="237" t="s">
        <v>56</v>
      </c>
      <c r="BE75" s="244">
        <v>0.88496648059475003</v>
      </c>
      <c r="BF75" s="227">
        <v>-28.400927952554799</v>
      </c>
      <c r="BG75" s="224"/>
      <c r="BH75" s="224"/>
      <c r="BI75" s="232">
        <v>16</v>
      </c>
      <c r="BJ75" s="232">
        <v>44</v>
      </c>
      <c r="BK75" s="225"/>
      <c r="BL75" s="241">
        <v>0.8</v>
      </c>
      <c r="BM75" s="244">
        <v>0.72</v>
      </c>
      <c r="BN75" s="242"/>
      <c r="BO75" s="243">
        <v>0.95</v>
      </c>
      <c r="BP75" s="244">
        <v>0.89</v>
      </c>
      <c r="BQ75" s="242"/>
    </row>
    <row r="76" spans="1:69" s="211" customFormat="1" ht="22.35" customHeight="1" x14ac:dyDescent="0.2">
      <c r="A76" s="221" t="s">
        <v>81</v>
      </c>
      <c r="B76" s="221" t="s">
        <v>119</v>
      </c>
      <c r="C76" s="221" t="s">
        <v>131</v>
      </c>
      <c r="D76" s="222">
        <v>5.9599043151111104</v>
      </c>
      <c r="E76" s="223"/>
      <c r="F76" s="224">
        <v>2.5000000000000001E-2</v>
      </c>
      <c r="G76" s="224">
        <v>1.2E-2</v>
      </c>
      <c r="H76" s="225"/>
      <c r="I76" s="226">
        <v>4</v>
      </c>
      <c r="J76" s="226">
        <v>3</v>
      </c>
      <c r="K76" s="223"/>
      <c r="L76" s="227">
        <v>5538.96191</v>
      </c>
      <c r="M76" s="227">
        <v>4971.8768300000002</v>
      </c>
      <c r="N76" s="227">
        <v>10510.838739999999</v>
      </c>
      <c r="O76" s="222">
        <v>1763.5918605857801</v>
      </c>
      <c r="P76" s="228">
        <v>283.69400000000002</v>
      </c>
      <c r="Q76" s="234">
        <v>6.21652858567957</v>
      </c>
      <c r="R76" s="235">
        <v>8664.4970485099293</v>
      </c>
      <c r="S76" s="224">
        <v>0.01</v>
      </c>
      <c r="T76" s="224">
        <v>0.01</v>
      </c>
      <c r="U76" s="231">
        <v>0</v>
      </c>
      <c r="V76" s="232">
        <v>0</v>
      </c>
      <c r="W76" s="223"/>
      <c r="X76" s="231">
        <v>3209.54468</v>
      </c>
      <c r="Y76" s="222">
        <v>538.52285377507201</v>
      </c>
      <c r="Z76" s="233">
        <v>573</v>
      </c>
      <c r="AA76" s="238">
        <v>0.93983046034043904</v>
      </c>
      <c r="AB76" s="239">
        <v>-519.66280843406298</v>
      </c>
      <c r="AC76" s="224">
        <v>3.0000000000000001E-3</v>
      </c>
      <c r="AD76" s="224"/>
      <c r="AE76" s="232">
        <v>206</v>
      </c>
      <c r="AF76" s="232">
        <v>889</v>
      </c>
      <c r="AG76" s="223"/>
      <c r="AH76" s="236">
        <v>255.5</v>
      </c>
      <c r="AI76" s="222">
        <v>42.8698157707313</v>
      </c>
      <c r="AJ76" s="237" t="s">
        <v>54</v>
      </c>
      <c r="AK76" s="229">
        <v>0.68047326620208404</v>
      </c>
      <c r="AL76" s="230">
        <v>-154.51757726238401</v>
      </c>
      <c r="AM76" s="224"/>
      <c r="AN76" s="224"/>
      <c r="AO76" s="232">
        <v>120</v>
      </c>
      <c r="AP76" s="232">
        <v>196</v>
      </c>
      <c r="AQ76" s="223"/>
      <c r="AR76" s="236">
        <v>31.8</v>
      </c>
      <c r="AS76" s="222">
        <v>5.3356561311516897</v>
      </c>
      <c r="AT76" s="237" t="s">
        <v>55</v>
      </c>
      <c r="AU76" s="229">
        <v>0.33347850819698099</v>
      </c>
      <c r="AV76" s="230">
        <v>-72.331448193621299</v>
      </c>
      <c r="AW76" s="224"/>
      <c r="AX76" s="224"/>
      <c r="AY76" s="232">
        <v>64</v>
      </c>
      <c r="AZ76" s="232">
        <v>83</v>
      </c>
      <c r="BA76" s="223"/>
      <c r="BB76" s="240">
        <v>195</v>
      </c>
      <c r="BC76" s="236">
        <v>32.718646087250903</v>
      </c>
      <c r="BD76" s="237" t="s">
        <v>56</v>
      </c>
      <c r="BE76" s="238">
        <v>1.0224576902265901</v>
      </c>
      <c r="BF76" s="239">
        <v>-13.2628963872426</v>
      </c>
      <c r="BG76" s="224">
        <v>1.2E-2</v>
      </c>
      <c r="BH76" s="224">
        <v>2E-3</v>
      </c>
      <c r="BI76" s="232">
        <v>0</v>
      </c>
      <c r="BJ76" s="232">
        <v>34</v>
      </c>
      <c r="BK76" s="225"/>
      <c r="BL76" s="241">
        <v>0.8</v>
      </c>
      <c r="BM76" s="229">
        <v>0.62</v>
      </c>
      <c r="BN76" s="242"/>
      <c r="BO76" s="243">
        <v>0.95</v>
      </c>
      <c r="BP76" s="234">
        <v>1</v>
      </c>
      <c r="BQ76" s="242">
        <v>2.5000000000000001E-3</v>
      </c>
    </row>
    <row r="77" spans="1:69" s="211" customFormat="1" ht="22.35" customHeight="1" x14ac:dyDescent="0.2">
      <c r="A77" s="221" t="s">
        <v>81</v>
      </c>
      <c r="B77" s="221" t="s">
        <v>119</v>
      </c>
      <c r="C77" s="221" t="s">
        <v>132</v>
      </c>
      <c r="D77" s="222">
        <v>8.4737407848888893</v>
      </c>
      <c r="E77" s="223"/>
      <c r="F77" s="224">
        <v>0.04</v>
      </c>
      <c r="G77" s="224">
        <v>0.03</v>
      </c>
      <c r="H77" s="225"/>
      <c r="I77" s="226">
        <v>5</v>
      </c>
      <c r="J77" s="226">
        <v>3</v>
      </c>
      <c r="K77" s="223"/>
      <c r="L77" s="227">
        <v>12506.70824</v>
      </c>
      <c r="M77" s="227">
        <v>6327.1190800000004</v>
      </c>
      <c r="N77" s="227">
        <v>18833.82732</v>
      </c>
      <c r="O77" s="222">
        <v>2222.6107451370399</v>
      </c>
      <c r="P77" s="228">
        <v>248.64599999999999</v>
      </c>
      <c r="Q77" s="234">
        <v>8.9388558236892592</v>
      </c>
      <c r="R77" s="235">
        <v>16533.025087690199</v>
      </c>
      <c r="S77" s="224">
        <v>0.01</v>
      </c>
      <c r="T77" s="224">
        <v>0.01</v>
      </c>
      <c r="U77" s="231">
        <v>0</v>
      </c>
      <c r="V77" s="232">
        <v>0</v>
      </c>
      <c r="W77" s="223"/>
      <c r="X77" s="231">
        <v>3410.4607299999998</v>
      </c>
      <c r="Y77" s="222">
        <v>402.474045002867</v>
      </c>
      <c r="Z77" s="233">
        <v>573</v>
      </c>
      <c r="AA77" s="229">
        <v>0.702397984298197</v>
      </c>
      <c r="AB77" s="230">
        <v>-1891.6944589575401</v>
      </c>
      <c r="AC77" s="224"/>
      <c r="AD77" s="224"/>
      <c r="AE77" s="232">
        <v>1445</v>
      </c>
      <c r="AF77" s="232">
        <v>2417</v>
      </c>
      <c r="AG77" s="223"/>
      <c r="AH77" s="236">
        <v>517.6</v>
      </c>
      <c r="AI77" s="222">
        <v>61.082821995573603</v>
      </c>
      <c r="AJ77" s="237" t="s">
        <v>54</v>
      </c>
      <c r="AK77" s="238">
        <v>0.96956860310434201</v>
      </c>
      <c r="AL77" s="239">
        <v>-65.359471037216096</v>
      </c>
      <c r="AM77" s="224">
        <v>7.0000000000000001E-3</v>
      </c>
      <c r="AN77" s="224"/>
      <c r="AO77" s="232">
        <v>17</v>
      </c>
      <c r="AP77" s="232">
        <v>124</v>
      </c>
      <c r="AQ77" s="223"/>
      <c r="AR77" s="236">
        <v>130.80000000000001</v>
      </c>
      <c r="AS77" s="222">
        <v>15.4359217871349</v>
      </c>
      <c r="AT77" s="237" t="s">
        <v>55</v>
      </c>
      <c r="AU77" s="238">
        <v>0.96474511169593102</v>
      </c>
      <c r="AV77" s="239">
        <v>-17.2531989935787</v>
      </c>
      <c r="AW77" s="224">
        <v>3.0000000000000001E-3</v>
      </c>
      <c r="AX77" s="224"/>
      <c r="AY77" s="232">
        <v>5</v>
      </c>
      <c r="AZ77" s="232">
        <v>32</v>
      </c>
      <c r="BA77" s="223"/>
      <c r="BB77" s="240">
        <v>674.8</v>
      </c>
      <c r="BC77" s="236">
        <v>79.634250932405394</v>
      </c>
      <c r="BD77" s="237" t="s">
        <v>56</v>
      </c>
      <c r="BE77" s="234">
        <v>2.4885703416376699</v>
      </c>
      <c r="BF77" s="235">
        <v>378.69360201284297</v>
      </c>
      <c r="BG77" s="224">
        <v>0.02</v>
      </c>
      <c r="BH77" s="224">
        <v>0.02</v>
      </c>
      <c r="BI77" s="232">
        <v>0</v>
      </c>
      <c r="BJ77" s="232">
        <v>0</v>
      </c>
      <c r="BK77" s="225"/>
      <c r="BL77" s="241">
        <v>0.8</v>
      </c>
      <c r="BM77" s="229">
        <v>0.57999999999999996</v>
      </c>
      <c r="BN77" s="242"/>
      <c r="BO77" s="243">
        <v>0.95</v>
      </c>
      <c r="BP77" s="234">
        <v>1</v>
      </c>
      <c r="BQ77" s="242">
        <v>2.5000000000000001E-3</v>
      </c>
    </row>
    <row r="78" spans="1:69" s="211" customFormat="1" ht="22.35" customHeight="1" x14ac:dyDescent="0.2">
      <c r="A78" s="221" t="s">
        <v>81</v>
      </c>
      <c r="B78" s="221" t="s">
        <v>119</v>
      </c>
      <c r="C78" s="221" t="s">
        <v>133</v>
      </c>
      <c r="D78" s="222">
        <v>2.7902579681111099</v>
      </c>
      <c r="E78" s="223"/>
      <c r="F78" s="224">
        <v>1.2E-2</v>
      </c>
      <c r="G78" s="224">
        <v>2E-3</v>
      </c>
      <c r="H78" s="225"/>
      <c r="I78" s="226">
        <v>1</v>
      </c>
      <c r="J78" s="226">
        <v>1</v>
      </c>
      <c r="K78" s="223"/>
      <c r="L78" s="227">
        <v>866.89889000000005</v>
      </c>
      <c r="M78" s="227">
        <v>-827.78738999999996</v>
      </c>
      <c r="N78" s="227">
        <v>39.111499999999999</v>
      </c>
      <c r="O78" s="222">
        <v>14.017162730827</v>
      </c>
      <c r="P78" s="228">
        <v>256.80599999999998</v>
      </c>
      <c r="Q78" s="229">
        <v>5.4582691723818799E-2</v>
      </c>
      <c r="R78" s="230">
        <v>-743.36654663254603</v>
      </c>
      <c r="S78" s="224"/>
      <c r="T78" s="224"/>
      <c r="U78" s="231">
        <v>678</v>
      </c>
      <c r="V78" s="232">
        <v>821</v>
      </c>
      <c r="W78" s="223"/>
      <c r="X78" s="231">
        <v>628.49265500000001</v>
      </c>
      <c r="Y78" s="222">
        <v>225.24535802166801</v>
      </c>
      <c r="Z78" s="233">
        <v>573</v>
      </c>
      <c r="AA78" s="229">
        <v>0.39309835605875798</v>
      </c>
      <c r="AB78" s="230">
        <v>-1117.41639977461</v>
      </c>
      <c r="AC78" s="224"/>
      <c r="AD78" s="224"/>
      <c r="AE78" s="232">
        <v>971</v>
      </c>
      <c r="AF78" s="232">
        <v>1291</v>
      </c>
      <c r="AG78" s="223"/>
      <c r="AH78" s="236">
        <v>130.94999999999999</v>
      </c>
      <c r="AI78" s="222">
        <v>46.9311445380972</v>
      </c>
      <c r="AJ78" s="237" t="s">
        <v>54</v>
      </c>
      <c r="AK78" s="244">
        <v>0.74493880219201902</v>
      </c>
      <c r="AL78" s="227">
        <v>-61.0085871741719</v>
      </c>
      <c r="AM78" s="224"/>
      <c r="AN78" s="224"/>
      <c r="AO78" s="232">
        <v>45</v>
      </c>
      <c r="AP78" s="232">
        <v>80</v>
      </c>
      <c r="AQ78" s="223"/>
      <c r="AR78" s="236">
        <v>10.3</v>
      </c>
      <c r="AS78" s="222">
        <v>3.6914149579412099</v>
      </c>
      <c r="AT78" s="237" t="s">
        <v>55</v>
      </c>
      <c r="AU78" s="229">
        <v>0.23071343487132601</v>
      </c>
      <c r="AV78" s="230">
        <v>-38.451387218837297</v>
      </c>
      <c r="AW78" s="224"/>
      <c r="AX78" s="224"/>
      <c r="AY78" s="232">
        <v>35</v>
      </c>
      <c r="AZ78" s="232">
        <v>44</v>
      </c>
      <c r="BA78" s="223"/>
      <c r="BB78" s="240">
        <v>91.4</v>
      </c>
      <c r="BC78" s="236">
        <v>32.756827879206497</v>
      </c>
      <c r="BD78" s="237" t="s">
        <v>56</v>
      </c>
      <c r="BE78" s="238">
        <v>1.0236508712251999</v>
      </c>
      <c r="BF78" s="239">
        <v>-6.10277443767463</v>
      </c>
      <c r="BG78" s="224">
        <v>1.2E-2</v>
      </c>
      <c r="BH78" s="224">
        <v>2E-3</v>
      </c>
      <c r="BI78" s="232">
        <v>0</v>
      </c>
      <c r="BJ78" s="232">
        <v>16</v>
      </c>
      <c r="BK78" s="225"/>
      <c r="BL78" s="241">
        <v>0.8</v>
      </c>
      <c r="BM78" s="244">
        <v>0.73</v>
      </c>
      <c r="BN78" s="242"/>
      <c r="BO78" s="243">
        <v>0.95</v>
      </c>
      <c r="BP78" s="244">
        <v>0.88</v>
      </c>
      <c r="BQ78" s="242"/>
    </row>
    <row r="79" spans="1:69" s="211" customFormat="1" ht="22.35" customHeight="1" x14ac:dyDescent="0.2">
      <c r="A79" s="221" t="s">
        <v>81</v>
      </c>
      <c r="B79" s="221" t="s">
        <v>119</v>
      </c>
      <c r="C79" s="221" t="s">
        <v>134</v>
      </c>
      <c r="D79" s="222">
        <v>2.4499054332222201</v>
      </c>
      <c r="E79" s="223"/>
      <c r="F79" s="224">
        <v>0.06</v>
      </c>
      <c r="G79" s="224">
        <v>5.8999999999999997E-2</v>
      </c>
      <c r="H79" s="225"/>
      <c r="I79" s="226">
        <v>4</v>
      </c>
      <c r="J79" s="226">
        <v>4</v>
      </c>
      <c r="K79" s="223"/>
      <c r="L79" s="227">
        <v>1040.02478</v>
      </c>
      <c r="M79" s="227">
        <v>-573.30325000000005</v>
      </c>
      <c r="N79" s="227">
        <v>466.72152999999997</v>
      </c>
      <c r="O79" s="222">
        <v>190.505936952084</v>
      </c>
      <c r="P79" s="228">
        <v>249.55500000000001</v>
      </c>
      <c r="Q79" s="244">
        <v>0.76338256878076405</v>
      </c>
      <c r="R79" s="227">
        <v>-200.912146223446</v>
      </c>
      <c r="S79" s="224"/>
      <c r="T79" s="224"/>
      <c r="U79" s="231">
        <v>145</v>
      </c>
      <c r="V79" s="232">
        <v>267</v>
      </c>
      <c r="W79" s="223"/>
      <c r="X79" s="231">
        <v>1669.55961</v>
      </c>
      <c r="Y79" s="222">
        <v>681.47920624190101</v>
      </c>
      <c r="Z79" s="233">
        <v>573</v>
      </c>
      <c r="AA79" s="234">
        <v>1.1893179864605601</v>
      </c>
      <c r="AB79" s="235">
        <v>136.61458194592601</v>
      </c>
      <c r="AC79" s="224">
        <v>0.02</v>
      </c>
      <c r="AD79" s="224">
        <v>1.9E-2</v>
      </c>
      <c r="AE79" s="232">
        <v>0</v>
      </c>
      <c r="AF79" s="232">
        <v>15</v>
      </c>
      <c r="AG79" s="223"/>
      <c r="AH79" s="236">
        <v>202.4</v>
      </c>
      <c r="AI79" s="222">
        <v>82.615433745046502</v>
      </c>
      <c r="AJ79" s="237" t="s">
        <v>54</v>
      </c>
      <c r="AK79" s="234">
        <v>1.3113560911912101</v>
      </c>
      <c r="AL79" s="235">
        <v>33.856305816044198</v>
      </c>
      <c r="AM79" s="224">
        <v>0.02</v>
      </c>
      <c r="AN79" s="224">
        <v>0.02</v>
      </c>
      <c r="AO79" s="232">
        <v>0</v>
      </c>
      <c r="AP79" s="232">
        <v>0</v>
      </c>
      <c r="AQ79" s="223"/>
      <c r="AR79" s="236">
        <v>17.8</v>
      </c>
      <c r="AS79" s="222">
        <v>7.2655865645347202</v>
      </c>
      <c r="AT79" s="237" t="s">
        <v>55</v>
      </c>
      <c r="AU79" s="229">
        <v>0.45409916028342001</v>
      </c>
      <c r="AV79" s="230">
        <v>-25.0047477292586</v>
      </c>
      <c r="AW79" s="224"/>
      <c r="AX79" s="224"/>
      <c r="AY79" s="232">
        <v>22</v>
      </c>
      <c r="AZ79" s="232">
        <v>30</v>
      </c>
      <c r="BA79" s="223"/>
      <c r="BB79" s="240">
        <v>137</v>
      </c>
      <c r="BC79" s="236">
        <v>55.920525805688598</v>
      </c>
      <c r="BD79" s="237" t="s">
        <v>56</v>
      </c>
      <c r="BE79" s="234">
        <v>1.74751643142777</v>
      </c>
      <c r="BF79" s="235">
        <v>51.390504541482798</v>
      </c>
      <c r="BG79" s="224">
        <v>0.02</v>
      </c>
      <c r="BH79" s="224">
        <v>0.02</v>
      </c>
      <c r="BI79" s="232">
        <v>0</v>
      </c>
      <c r="BJ79" s="232">
        <v>0</v>
      </c>
      <c r="BK79" s="225"/>
      <c r="BL79" s="241">
        <v>0.8</v>
      </c>
      <c r="BM79" s="229">
        <v>0.67</v>
      </c>
      <c r="BN79" s="242"/>
      <c r="BO79" s="243">
        <v>0.95</v>
      </c>
      <c r="BP79" s="234">
        <v>1</v>
      </c>
      <c r="BQ79" s="242">
        <v>2.5000000000000001E-3</v>
      </c>
    </row>
    <row r="80" spans="1:69" s="211" customFormat="1" ht="22.35" customHeight="1" x14ac:dyDescent="0.2">
      <c r="A80" s="221" t="s">
        <v>81</v>
      </c>
      <c r="B80" s="221" t="s">
        <v>119</v>
      </c>
      <c r="C80" s="221" t="s">
        <v>135</v>
      </c>
      <c r="D80" s="222">
        <v>2.67748065066667</v>
      </c>
      <c r="E80" s="223"/>
      <c r="F80" s="224">
        <v>5.5E-2</v>
      </c>
      <c r="G80" s="224">
        <v>4.3999999999999997E-2</v>
      </c>
      <c r="H80" s="225"/>
      <c r="I80" s="226">
        <v>5</v>
      </c>
      <c r="J80" s="226">
        <v>4</v>
      </c>
      <c r="K80" s="223"/>
      <c r="L80" s="227">
        <v>1331.5432599999999</v>
      </c>
      <c r="M80" s="227">
        <v>525.03215</v>
      </c>
      <c r="N80" s="227">
        <v>1856.5754099999999</v>
      </c>
      <c r="O80" s="222">
        <v>693.40385691965002</v>
      </c>
      <c r="P80" s="228">
        <v>236.18299999999999</v>
      </c>
      <c r="Q80" s="234">
        <v>2.9358753886589999</v>
      </c>
      <c r="R80" s="235">
        <v>1166.0214595320799</v>
      </c>
      <c r="S80" s="224">
        <v>0.01</v>
      </c>
      <c r="T80" s="224">
        <v>0.01</v>
      </c>
      <c r="U80" s="231">
        <v>0</v>
      </c>
      <c r="V80" s="232">
        <v>0</v>
      </c>
      <c r="W80" s="223"/>
      <c r="X80" s="231">
        <v>1471.96901</v>
      </c>
      <c r="Y80" s="222">
        <v>549.758971977442</v>
      </c>
      <c r="Z80" s="233">
        <v>573</v>
      </c>
      <c r="AA80" s="238">
        <v>0.95943974167092905</v>
      </c>
      <c r="AB80" s="239">
        <v>-203.373472812546</v>
      </c>
      <c r="AC80" s="224">
        <v>5.0000000000000001E-3</v>
      </c>
      <c r="AD80" s="224"/>
      <c r="AE80" s="232">
        <v>63</v>
      </c>
      <c r="AF80" s="232">
        <v>370</v>
      </c>
      <c r="AG80" s="223"/>
      <c r="AH80" s="236">
        <v>192.05</v>
      </c>
      <c r="AI80" s="222">
        <v>71.727875961374906</v>
      </c>
      <c r="AJ80" s="237" t="s">
        <v>54</v>
      </c>
      <c r="AK80" s="234">
        <v>1.13853771367262</v>
      </c>
      <c r="AL80" s="235">
        <v>7.8500411567357302</v>
      </c>
      <c r="AM80" s="224">
        <v>0.02</v>
      </c>
      <c r="AN80" s="224">
        <v>1.4E-2</v>
      </c>
      <c r="AO80" s="232">
        <v>0</v>
      </c>
      <c r="AP80" s="232">
        <v>11</v>
      </c>
      <c r="AQ80" s="223"/>
      <c r="AR80" s="236">
        <v>29.2</v>
      </c>
      <c r="AS80" s="222">
        <v>10.9057744237029</v>
      </c>
      <c r="AT80" s="237" t="s">
        <v>55</v>
      </c>
      <c r="AU80" s="229">
        <v>0.681610901481432</v>
      </c>
      <c r="AV80" s="230">
        <v>-17.580941928448102</v>
      </c>
      <c r="AW80" s="224"/>
      <c r="AX80" s="224"/>
      <c r="AY80" s="232">
        <v>14</v>
      </c>
      <c r="AZ80" s="232">
        <v>23</v>
      </c>
      <c r="BA80" s="223"/>
      <c r="BB80" s="240">
        <v>132.6</v>
      </c>
      <c r="BC80" s="236">
        <v>49.524167417226302</v>
      </c>
      <c r="BD80" s="237" t="s">
        <v>56</v>
      </c>
      <c r="BE80" s="234">
        <v>1.5476302317883199</v>
      </c>
      <c r="BF80" s="235">
        <v>39.038116143103899</v>
      </c>
      <c r="BG80" s="224">
        <v>0.02</v>
      </c>
      <c r="BH80" s="224">
        <v>0.02</v>
      </c>
      <c r="BI80" s="232">
        <v>0</v>
      </c>
      <c r="BJ80" s="232">
        <v>0</v>
      </c>
      <c r="BK80" s="225"/>
      <c r="BL80" s="241">
        <v>0.8</v>
      </c>
      <c r="BM80" s="229">
        <v>0.68</v>
      </c>
      <c r="BN80" s="242"/>
      <c r="BO80" s="243">
        <v>0.95</v>
      </c>
      <c r="BP80" s="234">
        <v>1</v>
      </c>
      <c r="BQ80" s="242">
        <v>2.5000000000000001E-3</v>
      </c>
    </row>
    <row r="81" spans="1:69" s="211" customFormat="1" ht="22.35" customHeight="1" x14ac:dyDescent="0.2">
      <c r="A81" s="221" t="s">
        <v>81</v>
      </c>
      <c r="B81" s="221" t="s">
        <v>119</v>
      </c>
      <c r="C81" s="221" t="s">
        <v>136</v>
      </c>
      <c r="D81" s="222">
        <v>5.56134457377778</v>
      </c>
      <c r="E81" s="223"/>
      <c r="F81" s="224">
        <v>0.03</v>
      </c>
      <c r="G81" s="224">
        <v>0.03</v>
      </c>
      <c r="H81" s="225"/>
      <c r="I81" s="226">
        <v>3</v>
      </c>
      <c r="J81" s="226">
        <v>3</v>
      </c>
      <c r="K81" s="223"/>
      <c r="L81" s="227">
        <v>3887.80377</v>
      </c>
      <c r="M81" s="227">
        <v>322.66260999999997</v>
      </c>
      <c r="N81" s="227">
        <v>4210.4663799999998</v>
      </c>
      <c r="O81" s="222">
        <v>757.09503774549705</v>
      </c>
      <c r="P81" s="228">
        <v>255.63</v>
      </c>
      <c r="Q81" s="234">
        <v>2.9616830487247099</v>
      </c>
      <c r="R81" s="235">
        <v>2658.0283873728599</v>
      </c>
      <c r="S81" s="224">
        <v>0.01</v>
      </c>
      <c r="T81" s="224">
        <v>0.01</v>
      </c>
      <c r="U81" s="231">
        <v>0</v>
      </c>
      <c r="V81" s="232">
        <v>0</v>
      </c>
      <c r="W81" s="223"/>
      <c r="X81" s="231">
        <v>2339.0344650000002</v>
      </c>
      <c r="Y81" s="222">
        <v>420.58794127390502</v>
      </c>
      <c r="Z81" s="233">
        <v>573</v>
      </c>
      <c r="AA81" s="244">
        <v>0.73401036871536696</v>
      </c>
      <c r="AB81" s="227">
        <v>-1140.78781632594</v>
      </c>
      <c r="AC81" s="224"/>
      <c r="AD81" s="224"/>
      <c r="AE81" s="232">
        <v>848</v>
      </c>
      <c r="AF81" s="232">
        <v>1485</v>
      </c>
      <c r="AG81" s="223"/>
      <c r="AH81" s="236">
        <v>252.5</v>
      </c>
      <c r="AI81" s="222">
        <v>45.402689340732302</v>
      </c>
      <c r="AJ81" s="237" t="s">
        <v>54</v>
      </c>
      <c r="AK81" s="229">
        <v>0.72067760858305296</v>
      </c>
      <c r="AL81" s="230">
        <v>-130.09826129761601</v>
      </c>
      <c r="AM81" s="224"/>
      <c r="AN81" s="224"/>
      <c r="AO81" s="232">
        <v>98</v>
      </c>
      <c r="AP81" s="232">
        <v>168</v>
      </c>
      <c r="AQ81" s="223"/>
      <c r="AR81" s="236">
        <v>42.8</v>
      </c>
      <c r="AS81" s="222">
        <v>7.6959806090429499</v>
      </c>
      <c r="AT81" s="237" t="s">
        <v>55</v>
      </c>
      <c r="AU81" s="229">
        <v>0.48099878806518398</v>
      </c>
      <c r="AV81" s="230">
        <v>-54.367812393045398</v>
      </c>
      <c r="AW81" s="224"/>
      <c r="AX81" s="224"/>
      <c r="AY81" s="232">
        <v>47</v>
      </c>
      <c r="AZ81" s="232">
        <v>64</v>
      </c>
      <c r="BA81" s="223"/>
      <c r="BB81" s="240">
        <v>215.2</v>
      </c>
      <c r="BC81" s="236">
        <v>38.695678202477602</v>
      </c>
      <c r="BD81" s="237" t="s">
        <v>56</v>
      </c>
      <c r="BE81" s="234">
        <v>1.2092399438274299</v>
      </c>
      <c r="BF81" s="235">
        <v>20.864375213909302</v>
      </c>
      <c r="BG81" s="224">
        <v>0.02</v>
      </c>
      <c r="BH81" s="224">
        <v>0.02</v>
      </c>
      <c r="BI81" s="232">
        <v>0</v>
      </c>
      <c r="BJ81" s="232">
        <v>0</v>
      </c>
      <c r="BK81" s="225"/>
      <c r="BL81" s="241">
        <v>0.8</v>
      </c>
      <c r="BM81" s="229">
        <v>0.62</v>
      </c>
      <c r="BN81" s="242"/>
      <c r="BO81" s="243">
        <v>0.95</v>
      </c>
      <c r="BP81" s="234">
        <v>1</v>
      </c>
      <c r="BQ81" s="242">
        <v>2.5000000000000001E-3</v>
      </c>
    </row>
    <row r="82" spans="1:69" s="211" customFormat="1" ht="22.35" customHeight="1" x14ac:dyDescent="0.2">
      <c r="A82" s="221" t="s">
        <v>81</v>
      </c>
      <c r="B82" s="221" t="s">
        <v>119</v>
      </c>
      <c r="C82" s="221" t="s">
        <v>137</v>
      </c>
      <c r="D82" s="222">
        <v>4.6816910714444404</v>
      </c>
      <c r="E82" s="223"/>
      <c r="F82" s="224">
        <v>0.03</v>
      </c>
      <c r="G82" s="224">
        <v>0.03</v>
      </c>
      <c r="H82" s="225"/>
      <c r="I82" s="226">
        <v>3</v>
      </c>
      <c r="J82" s="226">
        <v>3</v>
      </c>
      <c r="K82" s="223"/>
      <c r="L82" s="227">
        <v>5057.3916200000003</v>
      </c>
      <c r="M82" s="227">
        <v>1754.2878599999999</v>
      </c>
      <c r="N82" s="227">
        <v>6811.6794799999998</v>
      </c>
      <c r="O82" s="222">
        <v>1454.96133257216</v>
      </c>
      <c r="P82" s="228">
        <v>287.5</v>
      </c>
      <c r="Q82" s="234">
        <v>5.0607350698162099</v>
      </c>
      <c r="R82" s="235">
        <v>5341.8625681200201</v>
      </c>
      <c r="S82" s="224">
        <v>0.01</v>
      </c>
      <c r="T82" s="224">
        <v>0.01</v>
      </c>
      <c r="U82" s="231">
        <v>0</v>
      </c>
      <c r="V82" s="232">
        <v>0</v>
      </c>
      <c r="W82" s="223"/>
      <c r="X82" s="231">
        <v>2291.71956</v>
      </c>
      <c r="Y82" s="222">
        <v>489.50678825823002</v>
      </c>
      <c r="Z82" s="233">
        <v>573</v>
      </c>
      <c r="AA82" s="244">
        <v>0.85428758858329801</v>
      </c>
      <c r="AB82" s="227">
        <v>-637.68945045992905</v>
      </c>
      <c r="AC82" s="224"/>
      <c r="AD82" s="224"/>
      <c r="AE82" s="232">
        <v>391</v>
      </c>
      <c r="AF82" s="232">
        <v>928</v>
      </c>
      <c r="AG82" s="223"/>
      <c r="AH82" s="236">
        <v>184.2</v>
      </c>
      <c r="AI82" s="222">
        <v>39.3447575222362</v>
      </c>
      <c r="AJ82" s="237" t="s">
        <v>54</v>
      </c>
      <c r="AK82" s="229">
        <v>0.62451996067041604</v>
      </c>
      <c r="AL82" s="230">
        <v>-137.88161895109201</v>
      </c>
      <c r="AM82" s="224"/>
      <c r="AN82" s="224"/>
      <c r="AO82" s="232">
        <v>111</v>
      </c>
      <c r="AP82" s="232">
        <v>170</v>
      </c>
      <c r="AQ82" s="223"/>
      <c r="AR82" s="236">
        <v>57</v>
      </c>
      <c r="AS82" s="222">
        <v>12.1750878326138</v>
      </c>
      <c r="AT82" s="237" t="s">
        <v>55</v>
      </c>
      <c r="AU82" s="244">
        <v>0.76094298953836303</v>
      </c>
      <c r="AV82" s="227">
        <v>-24.798506400277201</v>
      </c>
      <c r="AW82" s="224"/>
      <c r="AX82" s="224"/>
      <c r="AY82" s="232">
        <v>18</v>
      </c>
      <c r="AZ82" s="232">
        <v>33</v>
      </c>
      <c r="BA82" s="223"/>
      <c r="BB82" s="240">
        <v>206.2</v>
      </c>
      <c r="BC82" s="236">
        <v>44.043914229560897</v>
      </c>
      <c r="BD82" s="237" t="s">
        <v>56</v>
      </c>
      <c r="BE82" s="234">
        <v>1.37637231967378</v>
      </c>
      <c r="BF82" s="235">
        <v>42.602987199445501</v>
      </c>
      <c r="BG82" s="224">
        <v>0.02</v>
      </c>
      <c r="BH82" s="224">
        <v>0.02</v>
      </c>
      <c r="BI82" s="232">
        <v>0</v>
      </c>
      <c r="BJ82" s="232">
        <v>0</v>
      </c>
      <c r="BK82" s="225"/>
      <c r="BL82" s="241">
        <v>0.8</v>
      </c>
      <c r="BM82" s="229">
        <v>0.65</v>
      </c>
      <c r="BN82" s="242"/>
      <c r="BO82" s="243">
        <v>0.95</v>
      </c>
      <c r="BP82" s="234">
        <v>1</v>
      </c>
      <c r="BQ82" s="242">
        <v>2.5000000000000001E-3</v>
      </c>
    </row>
    <row r="83" spans="1:69" s="211" customFormat="1" ht="22.35" customHeight="1" x14ac:dyDescent="0.2">
      <c r="A83" s="221" t="s">
        <v>81</v>
      </c>
      <c r="B83" s="221" t="s">
        <v>119</v>
      </c>
      <c r="C83" s="221" t="s">
        <v>138</v>
      </c>
      <c r="D83" s="222">
        <v>2.8572871573333298</v>
      </c>
      <c r="E83" s="223"/>
      <c r="F83" s="224">
        <v>0.03</v>
      </c>
      <c r="G83" s="224">
        <v>0.03</v>
      </c>
      <c r="H83" s="225"/>
      <c r="I83" s="226">
        <v>3</v>
      </c>
      <c r="J83" s="226">
        <v>3</v>
      </c>
      <c r="K83" s="223"/>
      <c r="L83" s="227">
        <v>572.47702000000004</v>
      </c>
      <c r="M83" s="227">
        <v>707.64792999999997</v>
      </c>
      <c r="N83" s="227">
        <v>1280.1249499999999</v>
      </c>
      <c r="O83" s="222">
        <v>448.02110516421601</v>
      </c>
      <c r="P83" s="228">
        <v>255.63</v>
      </c>
      <c r="Q83" s="234">
        <v>1.7526155191652599</v>
      </c>
      <c r="R83" s="235">
        <v>482.51906889620199</v>
      </c>
      <c r="S83" s="224">
        <v>0.01</v>
      </c>
      <c r="T83" s="224">
        <v>0.01</v>
      </c>
      <c r="U83" s="231">
        <v>0</v>
      </c>
      <c r="V83" s="232">
        <v>0</v>
      </c>
      <c r="W83" s="223"/>
      <c r="X83" s="231">
        <v>598.53377999999998</v>
      </c>
      <c r="Y83" s="222">
        <v>209.47624338836201</v>
      </c>
      <c r="Z83" s="233">
        <v>573</v>
      </c>
      <c r="AA83" s="229">
        <v>0.36557808619260501</v>
      </c>
      <c r="AB83" s="230">
        <v>-1189.31651093798</v>
      </c>
      <c r="AC83" s="224"/>
      <c r="AD83" s="224"/>
      <c r="AE83" s="232">
        <v>1039</v>
      </c>
      <c r="AF83" s="232">
        <v>1367</v>
      </c>
      <c r="AG83" s="223"/>
      <c r="AH83" s="236">
        <v>141.1</v>
      </c>
      <c r="AI83" s="222">
        <v>49.382505933245703</v>
      </c>
      <c r="AJ83" s="237" t="s">
        <v>54</v>
      </c>
      <c r="AK83" s="244">
        <v>0.78384930052770896</v>
      </c>
      <c r="AL83" s="227">
        <v>-55.4699272759038</v>
      </c>
      <c r="AM83" s="224"/>
      <c r="AN83" s="224"/>
      <c r="AO83" s="232">
        <v>39</v>
      </c>
      <c r="AP83" s="232">
        <v>75</v>
      </c>
      <c r="AQ83" s="223"/>
      <c r="AR83" s="236">
        <v>15.6</v>
      </c>
      <c r="AS83" s="222">
        <v>5.4597242562624597</v>
      </c>
      <c r="AT83" s="237" t="s">
        <v>55</v>
      </c>
      <c r="AU83" s="229">
        <v>0.34123276601640401</v>
      </c>
      <c r="AV83" s="230">
        <v>-34.322521212927903</v>
      </c>
      <c r="AW83" s="224"/>
      <c r="AX83" s="224"/>
      <c r="AY83" s="232">
        <v>31</v>
      </c>
      <c r="AZ83" s="232">
        <v>40</v>
      </c>
      <c r="BA83" s="223"/>
      <c r="BB83" s="240">
        <v>118.4</v>
      </c>
      <c r="BC83" s="236">
        <v>41.437907175735603</v>
      </c>
      <c r="BD83" s="237" t="s">
        <v>56</v>
      </c>
      <c r="BE83" s="234">
        <v>1.29493459924174</v>
      </c>
      <c r="BF83" s="235">
        <v>18.554957574144101</v>
      </c>
      <c r="BG83" s="224">
        <v>0.02</v>
      </c>
      <c r="BH83" s="224">
        <v>0.02</v>
      </c>
      <c r="BI83" s="232">
        <v>0</v>
      </c>
      <c r="BJ83" s="232">
        <v>0</v>
      </c>
      <c r="BK83" s="225"/>
      <c r="BL83" s="241">
        <v>0.8</v>
      </c>
      <c r="BM83" s="229">
        <v>0.66</v>
      </c>
      <c r="BN83" s="242"/>
      <c r="BO83" s="243">
        <v>0.95</v>
      </c>
      <c r="BP83" s="234">
        <v>1</v>
      </c>
      <c r="BQ83" s="242">
        <v>2.5000000000000001E-3</v>
      </c>
    </row>
    <row r="84" spans="1:69" s="211" customFormat="1" ht="22.35" customHeight="1" x14ac:dyDescent="0.2">
      <c r="A84" s="221" t="s">
        <v>81</v>
      </c>
      <c r="B84" s="221" t="s">
        <v>119</v>
      </c>
      <c r="C84" s="221" t="s">
        <v>139</v>
      </c>
      <c r="D84" s="222">
        <v>3.2583336913333301</v>
      </c>
      <c r="E84" s="223"/>
      <c r="F84" s="224">
        <v>0.01</v>
      </c>
      <c r="G84" s="224">
        <v>0.01</v>
      </c>
      <c r="H84" s="225"/>
      <c r="I84" s="226">
        <v>1</v>
      </c>
      <c r="J84" s="226">
        <v>1</v>
      </c>
      <c r="K84" s="223"/>
      <c r="L84" s="227">
        <v>3569.1160399999999</v>
      </c>
      <c r="M84" s="227">
        <v>1180.90858</v>
      </c>
      <c r="N84" s="227">
        <v>4750.0246200000001</v>
      </c>
      <c r="O84" s="222">
        <v>1457.80790734673</v>
      </c>
      <c r="P84" s="228">
        <v>287.5</v>
      </c>
      <c r="Q84" s="234">
        <v>5.0706361994668896</v>
      </c>
      <c r="R84" s="235">
        <v>3727.0707576058999</v>
      </c>
      <c r="S84" s="224">
        <v>0.01</v>
      </c>
      <c r="T84" s="224">
        <v>0.01</v>
      </c>
      <c r="U84" s="231">
        <v>0</v>
      </c>
      <c r="V84" s="232">
        <v>0</v>
      </c>
      <c r="W84" s="223"/>
      <c r="X84" s="231">
        <v>1255.3790899999999</v>
      </c>
      <c r="Y84" s="222">
        <v>385.28254283442902</v>
      </c>
      <c r="Z84" s="233">
        <v>573</v>
      </c>
      <c r="AA84" s="229">
        <v>0.67239536271279099</v>
      </c>
      <c r="AB84" s="230">
        <v>-783.41243400632595</v>
      </c>
      <c r="AC84" s="224"/>
      <c r="AD84" s="224"/>
      <c r="AE84" s="232">
        <v>612</v>
      </c>
      <c r="AF84" s="232">
        <v>986</v>
      </c>
      <c r="AG84" s="223"/>
      <c r="AH84" s="236">
        <v>62.05</v>
      </c>
      <c r="AI84" s="222">
        <v>19.0434761685224</v>
      </c>
      <c r="AJ84" s="237" t="s">
        <v>54</v>
      </c>
      <c r="AK84" s="229">
        <v>0.30227739950035598</v>
      </c>
      <c r="AL84" s="230">
        <v>-162.11032462896799</v>
      </c>
      <c r="AM84" s="224"/>
      <c r="AN84" s="224"/>
      <c r="AO84" s="232">
        <v>144</v>
      </c>
      <c r="AP84" s="232">
        <v>185</v>
      </c>
      <c r="AQ84" s="223"/>
      <c r="AR84" s="236">
        <v>14.6</v>
      </c>
      <c r="AS84" s="222">
        <v>4.4808179220052704</v>
      </c>
      <c r="AT84" s="237" t="s">
        <v>55</v>
      </c>
      <c r="AU84" s="229">
        <v>0.28005112012532901</v>
      </c>
      <c r="AV84" s="230">
        <v>-42.3296062549759</v>
      </c>
      <c r="AW84" s="224"/>
      <c r="AX84" s="224"/>
      <c r="AY84" s="232">
        <v>38</v>
      </c>
      <c r="AZ84" s="232">
        <v>48</v>
      </c>
      <c r="BA84" s="223"/>
      <c r="BB84" s="240">
        <v>79.2</v>
      </c>
      <c r="BC84" s="236">
        <v>24.306902700193</v>
      </c>
      <c r="BD84" s="237" t="s">
        <v>56</v>
      </c>
      <c r="BE84" s="244">
        <v>0.75959070938103102</v>
      </c>
      <c r="BF84" s="227">
        <v>-34.6592125099519</v>
      </c>
      <c r="BG84" s="224"/>
      <c r="BH84" s="224"/>
      <c r="BI84" s="232">
        <v>26</v>
      </c>
      <c r="BJ84" s="232">
        <v>46</v>
      </c>
      <c r="BK84" s="225"/>
      <c r="BL84" s="241">
        <v>0.8</v>
      </c>
      <c r="BM84" s="229">
        <v>0.64</v>
      </c>
      <c r="BN84" s="242"/>
      <c r="BO84" s="243">
        <v>0.95</v>
      </c>
      <c r="BP84" s="229">
        <v>0.79</v>
      </c>
      <c r="BQ84" s="242"/>
    </row>
    <row r="85" spans="1:69" s="211" customFormat="1" ht="22.35" customHeight="1" x14ac:dyDescent="0.2">
      <c r="A85" s="221" t="s">
        <v>140</v>
      </c>
      <c r="B85" s="221" t="s">
        <v>141</v>
      </c>
      <c r="C85" s="221" t="s">
        <v>142</v>
      </c>
      <c r="D85" s="222">
        <v>3.7189131554444401</v>
      </c>
      <c r="E85" s="223"/>
      <c r="F85" s="224">
        <v>2.3E-2</v>
      </c>
      <c r="G85" s="224">
        <v>1.2E-2</v>
      </c>
      <c r="H85" s="225"/>
      <c r="I85" s="226">
        <v>3</v>
      </c>
      <c r="J85" s="226">
        <v>3</v>
      </c>
      <c r="K85" s="223"/>
      <c r="L85" s="227">
        <v>10981.78997</v>
      </c>
      <c r="M85" s="227">
        <v>2581.7432699999999</v>
      </c>
      <c r="N85" s="227">
        <v>13563.533240000001</v>
      </c>
      <c r="O85" s="222">
        <v>3647.1766543252402</v>
      </c>
      <c r="P85" s="228">
        <v>287.5</v>
      </c>
      <c r="Q85" s="234">
        <v>12.6858318411313</v>
      </c>
      <c r="R85" s="235">
        <v>12395.980454848201</v>
      </c>
      <c r="S85" s="224">
        <v>0.01</v>
      </c>
      <c r="T85" s="224">
        <v>0.01</v>
      </c>
      <c r="U85" s="231">
        <v>0</v>
      </c>
      <c r="V85" s="232">
        <v>0</v>
      </c>
      <c r="W85" s="223"/>
      <c r="X85" s="231">
        <v>2181.989615</v>
      </c>
      <c r="Y85" s="222">
        <v>586.72776797855397</v>
      </c>
      <c r="Z85" s="233">
        <v>573</v>
      </c>
      <c r="AA85" s="238">
        <v>1.0239577102592601</v>
      </c>
      <c r="AB85" s="239">
        <v>-144.99384897207301</v>
      </c>
      <c r="AC85" s="224">
        <v>1.2999999999999999E-2</v>
      </c>
      <c r="AD85" s="224">
        <v>2E-3</v>
      </c>
      <c r="AE85" s="232">
        <v>0</v>
      </c>
      <c r="AF85" s="232">
        <v>376</v>
      </c>
      <c r="AG85" s="223"/>
      <c r="AH85" s="236">
        <v>157.9</v>
      </c>
      <c r="AI85" s="222">
        <v>42.458641382586798</v>
      </c>
      <c r="AJ85" s="237" t="s">
        <v>54</v>
      </c>
      <c r="AK85" s="229">
        <v>0.67394668861248896</v>
      </c>
      <c r="AL85" s="230">
        <v>-97.946349441955704</v>
      </c>
      <c r="AM85" s="224"/>
      <c r="AN85" s="224"/>
      <c r="AO85" s="232">
        <v>77</v>
      </c>
      <c r="AP85" s="232">
        <v>124</v>
      </c>
      <c r="AQ85" s="223"/>
      <c r="AR85" s="236">
        <v>19.2</v>
      </c>
      <c r="AS85" s="222">
        <v>5.1627986988326002</v>
      </c>
      <c r="AT85" s="237" t="s">
        <v>55</v>
      </c>
      <c r="AU85" s="229">
        <v>0.32267491867703701</v>
      </c>
      <c r="AV85" s="230">
        <v>-45.776850651925301</v>
      </c>
      <c r="AW85" s="224"/>
      <c r="AX85" s="224"/>
      <c r="AY85" s="232">
        <v>41</v>
      </c>
      <c r="AZ85" s="232">
        <v>53</v>
      </c>
      <c r="BA85" s="223"/>
      <c r="BB85" s="240">
        <v>104.4</v>
      </c>
      <c r="BC85" s="236">
        <v>28.0727179249022</v>
      </c>
      <c r="BD85" s="237" t="s">
        <v>56</v>
      </c>
      <c r="BE85" s="244">
        <v>0.87727243515319497</v>
      </c>
      <c r="BF85" s="227">
        <v>-25.553701303850499</v>
      </c>
      <c r="BG85" s="224"/>
      <c r="BH85" s="224"/>
      <c r="BI85" s="232">
        <v>15</v>
      </c>
      <c r="BJ85" s="232">
        <v>39</v>
      </c>
      <c r="BK85" s="225"/>
      <c r="BL85" s="241">
        <v>0.8</v>
      </c>
      <c r="BM85" s="244">
        <v>0.73</v>
      </c>
      <c r="BN85" s="242"/>
      <c r="BO85" s="243">
        <v>0.95</v>
      </c>
      <c r="BP85" s="234">
        <v>1</v>
      </c>
      <c r="BQ85" s="242">
        <v>2.5000000000000001E-3</v>
      </c>
    </row>
    <row r="86" spans="1:69" s="211" customFormat="1" ht="22.35" customHeight="1" x14ac:dyDescent="0.2">
      <c r="A86" s="221" t="s">
        <v>140</v>
      </c>
      <c r="B86" s="221" t="s">
        <v>141</v>
      </c>
      <c r="C86" s="221" t="s">
        <v>143</v>
      </c>
      <c r="D86" s="222">
        <v>8.0608712013333292</v>
      </c>
      <c r="E86" s="223"/>
      <c r="F86" s="224">
        <v>0.03</v>
      </c>
      <c r="G86" s="224">
        <v>0.02</v>
      </c>
      <c r="H86" s="225"/>
      <c r="I86" s="226">
        <v>3</v>
      </c>
      <c r="J86" s="226">
        <v>3</v>
      </c>
      <c r="K86" s="223"/>
      <c r="L86" s="227">
        <v>3791.7838099999999</v>
      </c>
      <c r="M86" s="227">
        <v>4305.2135900000003</v>
      </c>
      <c r="N86" s="227">
        <v>8096.9974000000002</v>
      </c>
      <c r="O86" s="222">
        <v>1004.4816742216</v>
      </c>
      <c r="P86" s="228">
        <v>287.5</v>
      </c>
      <c r="Q86" s="234">
        <v>3.49384930164035</v>
      </c>
      <c r="R86" s="235">
        <v>5566.2868863413996</v>
      </c>
      <c r="S86" s="224">
        <v>0.01</v>
      </c>
      <c r="T86" s="224">
        <v>0.01</v>
      </c>
      <c r="U86" s="231">
        <v>0</v>
      </c>
      <c r="V86" s="232">
        <v>0</v>
      </c>
      <c r="W86" s="223"/>
      <c r="X86" s="231">
        <v>2678.2145599999999</v>
      </c>
      <c r="Y86" s="222">
        <v>332.24877226136601</v>
      </c>
      <c r="Z86" s="233">
        <v>573</v>
      </c>
      <c r="AA86" s="229">
        <v>0.57984078928685101</v>
      </c>
      <c r="AB86" s="230">
        <v>-2365.6015246134898</v>
      </c>
      <c r="AC86" s="224"/>
      <c r="AD86" s="224"/>
      <c r="AE86" s="232">
        <v>1941</v>
      </c>
      <c r="AF86" s="232">
        <v>2865</v>
      </c>
      <c r="AG86" s="223"/>
      <c r="AH86" s="236">
        <v>290.39999999999998</v>
      </c>
      <c r="AI86" s="222">
        <v>36.025882655458602</v>
      </c>
      <c r="AJ86" s="237" t="s">
        <v>54</v>
      </c>
      <c r="AK86" s="229">
        <v>0.571839407229501</v>
      </c>
      <c r="AL86" s="230">
        <v>-264.15569516692801</v>
      </c>
      <c r="AM86" s="224"/>
      <c r="AN86" s="224"/>
      <c r="AO86" s="232">
        <v>218</v>
      </c>
      <c r="AP86" s="232">
        <v>320</v>
      </c>
      <c r="AQ86" s="223"/>
      <c r="AR86" s="236">
        <v>51.6</v>
      </c>
      <c r="AS86" s="222">
        <v>6.4012931991104098</v>
      </c>
      <c r="AT86" s="237" t="s">
        <v>55</v>
      </c>
      <c r="AU86" s="229">
        <v>0.400080824944401</v>
      </c>
      <c r="AV86" s="230">
        <v>-89.239541629695907</v>
      </c>
      <c r="AW86" s="224"/>
      <c r="AX86" s="224"/>
      <c r="AY86" s="232">
        <v>78</v>
      </c>
      <c r="AZ86" s="232">
        <v>104</v>
      </c>
      <c r="BA86" s="223"/>
      <c r="BB86" s="240">
        <v>283.39999999999998</v>
      </c>
      <c r="BC86" s="236">
        <v>35.157490167207101</v>
      </c>
      <c r="BD86" s="237" t="s">
        <v>56</v>
      </c>
      <c r="BE86" s="234">
        <v>1.0986715677252199</v>
      </c>
      <c r="BF86" s="235">
        <v>1.72091674060817</v>
      </c>
      <c r="BG86" s="224">
        <v>0.02</v>
      </c>
      <c r="BH86" s="224">
        <v>0.01</v>
      </c>
      <c r="BI86" s="232">
        <v>0</v>
      </c>
      <c r="BJ86" s="232">
        <v>27</v>
      </c>
      <c r="BK86" s="225"/>
      <c r="BL86" s="241">
        <v>0.8</v>
      </c>
      <c r="BM86" s="229">
        <v>0.6</v>
      </c>
      <c r="BN86" s="242"/>
      <c r="BO86" s="243">
        <v>0.95</v>
      </c>
      <c r="BP86" s="234">
        <v>1</v>
      </c>
      <c r="BQ86" s="242">
        <v>2.5000000000000001E-3</v>
      </c>
    </row>
    <row r="87" spans="1:69" s="211" customFormat="1" ht="22.35" customHeight="1" x14ac:dyDescent="0.2">
      <c r="A87" s="221" t="s">
        <v>140</v>
      </c>
      <c r="B87" s="221" t="s">
        <v>141</v>
      </c>
      <c r="C87" s="221" t="s">
        <v>144</v>
      </c>
      <c r="D87" s="222">
        <v>6.5973797197777797</v>
      </c>
      <c r="E87" s="223"/>
      <c r="F87" s="224">
        <v>0.03</v>
      </c>
      <c r="G87" s="224">
        <v>2.5999999999999999E-2</v>
      </c>
      <c r="H87" s="225"/>
      <c r="I87" s="226">
        <v>3</v>
      </c>
      <c r="J87" s="226">
        <v>3</v>
      </c>
      <c r="K87" s="223"/>
      <c r="L87" s="227">
        <v>12123.340889999999</v>
      </c>
      <c r="M87" s="227">
        <v>1975.3149699999999</v>
      </c>
      <c r="N87" s="227">
        <v>14098.655860000001</v>
      </c>
      <c r="O87" s="222">
        <v>2137.0083970966102</v>
      </c>
      <c r="P87" s="228">
        <v>271.31</v>
      </c>
      <c r="Q87" s="234">
        <v>7.8766296748981199</v>
      </c>
      <c r="R87" s="235">
        <v>12144.046739784</v>
      </c>
      <c r="S87" s="224">
        <v>0.01</v>
      </c>
      <c r="T87" s="224">
        <v>0.01</v>
      </c>
      <c r="U87" s="231">
        <v>0</v>
      </c>
      <c r="V87" s="232">
        <v>0</v>
      </c>
      <c r="W87" s="223"/>
      <c r="X87" s="231">
        <v>2980.2935299999999</v>
      </c>
      <c r="Y87" s="222">
        <v>451.73897162014299</v>
      </c>
      <c r="Z87" s="233">
        <v>573</v>
      </c>
      <c r="AA87" s="244">
        <v>0.788375168621541</v>
      </c>
      <c r="AB87" s="227">
        <v>-1147.7925187404701</v>
      </c>
      <c r="AC87" s="224"/>
      <c r="AD87" s="224"/>
      <c r="AE87" s="232">
        <v>801</v>
      </c>
      <c r="AF87" s="232">
        <v>1557</v>
      </c>
      <c r="AG87" s="223"/>
      <c r="AH87" s="236">
        <v>301.3</v>
      </c>
      <c r="AI87" s="222">
        <v>45.6696465563072</v>
      </c>
      <c r="AJ87" s="237" t="s">
        <v>54</v>
      </c>
      <c r="AK87" s="244">
        <v>0.72491502470328795</v>
      </c>
      <c r="AL87" s="227">
        <v>-152.57333520183201</v>
      </c>
      <c r="AM87" s="224"/>
      <c r="AN87" s="224"/>
      <c r="AO87" s="232">
        <v>115</v>
      </c>
      <c r="AP87" s="232">
        <v>198</v>
      </c>
      <c r="AQ87" s="223"/>
      <c r="AR87" s="236">
        <v>49.4</v>
      </c>
      <c r="AS87" s="222">
        <v>7.4878212408947</v>
      </c>
      <c r="AT87" s="237" t="s">
        <v>55</v>
      </c>
      <c r="AU87" s="229">
        <v>0.46798882755591897</v>
      </c>
      <c r="AV87" s="230">
        <v>-65.869418463957402</v>
      </c>
      <c r="AW87" s="224"/>
      <c r="AX87" s="224"/>
      <c r="AY87" s="232">
        <v>57</v>
      </c>
      <c r="AZ87" s="232">
        <v>78</v>
      </c>
      <c r="BA87" s="223"/>
      <c r="BB87" s="240">
        <v>244.4</v>
      </c>
      <c r="BC87" s="236">
        <v>37.045010349689598</v>
      </c>
      <c r="BD87" s="237" t="s">
        <v>56</v>
      </c>
      <c r="BE87" s="234">
        <v>1.1576565734277999</v>
      </c>
      <c r="BF87" s="235">
        <v>13.861163072085199</v>
      </c>
      <c r="BG87" s="224">
        <v>0.02</v>
      </c>
      <c r="BH87" s="224">
        <v>1.6E-2</v>
      </c>
      <c r="BI87" s="232">
        <v>0</v>
      </c>
      <c r="BJ87" s="232">
        <v>9</v>
      </c>
      <c r="BK87" s="225"/>
      <c r="BL87" s="241">
        <v>0.8</v>
      </c>
      <c r="BM87" s="244">
        <v>0.74</v>
      </c>
      <c r="BN87" s="242"/>
      <c r="BO87" s="243">
        <v>0.95</v>
      </c>
      <c r="BP87" s="234">
        <v>1</v>
      </c>
      <c r="BQ87" s="242">
        <v>2.5000000000000001E-3</v>
      </c>
    </row>
    <row r="88" spans="1:69" s="211" customFormat="1" ht="22.35" customHeight="1" x14ac:dyDescent="0.2">
      <c r="A88" s="221" t="s">
        <v>140</v>
      </c>
      <c r="B88" s="221" t="s">
        <v>141</v>
      </c>
      <c r="C88" s="221" t="s">
        <v>145</v>
      </c>
      <c r="D88" s="222">
        <v>1.00891054722222</v>
      </c>
      <c r="E88" s="223"/>
      <c r="F88" s="224">
        <v>0.02</v>
      </c>
      <c r="G88" s="224">
        <v>0.02</v>
      </c>
      <c r="H88" s="225"/>
      <c r="I88" s="226">
        <v>2</v>
      </c>
      <c r="J88" s="226">
        <v>2</v>
      </c>
      <c r="K88" s="223"/>
      <c r="L88" s="227">
        <v>-8790.1266300000007</v>
      </c>
      <c r="M88" s="227">
        <v>-1747.70876</v>
      </c>
      <c r="N88" s="227">
        <v>-10537.83539</v>
      </c>
      <c r="O88" s="222">
        <v>-10444.766802184</v>
      </c>
      <c r="P88" s="228">
        <v>287.5</v>
      </c>
      <c r="Q88" s="229">
        <v>-36.329623659770597</v>
      </c>
      <c r="R88" s="230">
        <v>-10854.5828563004</v>
      </c>
      <c r="S88" s="224"/>
      <c r="T88" s="224"/>
      <c r="U88" s="231">
        <v>10828</v>
      </c>
      <c r="V88" s="232">
        <v>10886</v>
      </c>
      <c r="W88" s="223"/>
      <c r="X88" s="231">
        <v>354.96262000000002</v>
      </c>
      <c r="Y88" s="222">
        <v>351.82764317143801</v>
      </c>
      <c r="Z88" s="233">
        <v>573</v>
      </c>
      <c r="AA88" s="229">
        <v>0.61400984846673201</v>
      </c>
      <c r="AB88" s="230">
        <v>-276.32885196569902</v>
      </c>
      <c r="AC88" s="224"/>
      <c r="AD88" s="224"/>
      <c r="AE88" s="232">
        <v>224</v>
      </c>
      <c r="AF88" s="232">
        <v>339</v>
      </c>
      <c r="AG88" s="223"/>
      <c r="AH88" s="236">
        <v>23.6</v>
      </c>
      <c r="AI88" s="222">
        <v>23.3915683258308</v>
      </c>
      <c r="AJ88" s="237" t="s">
        <v>54</v>
      </c>
      <c r="AK88" s="229">
        <v>0.371294735330648</v>
      </c>
      <c r="AL88" s="230">
        <v>-45.8090100066998</v>
      </c>
      <c r="AM88" s="224"/>
      <c r="AN88" s="224"/>
      <c r="AO88" s="232">
        <v>40</v>
      </c>
      <c r="AP88" s="232">
        <v>53</v>
      </c>
      <c r="AQ88" s="223"/>
      <c r="AR88" s="236"/>
      <c r="AS88" s="222" t="s">
        <v>146</v>
      </c>
      <c r="AT88" s="237" t="s">
        <v>55</v>
      </c>
      <c r="AU88" s="229"/>
      <c r="AV88" s="230"/>
      <c r="AW88" s="224"/>
      <c r="AX88" s="224"/>
      <c r="AY88" s="232">
        <v>17</v>
      </c>
      <c r="AZ88" s="232">
        <v>20</v>
      </c>
      <c r="BA88" s="223"/>
      <c r="BB88" s="240">
        <v>60.4</v>
      </c>
      <c r="BC88" s="236">
        <v>59.866556223736602</v>
      </c>
      <c r="BD88" s="237" t="s">
        <v>56</v>
      </c>
      <c r="BE88" s="234">
        <v>1.8708298819917699</v>
      </c>
      <c r="BF88" s="235">
        <v>25.144629837866699</v>
      </c>
      <c r="BG88" s="224">
        <v>0.02</v>
      </c>
      <c r="BH88" s="224">
        <v>0.02</v>
      </c>
      <c r="BI88" s="232">
        <v>0</v>
      </c>
      <c r="BJ88" s="232">
        <v>0</v>
      </c>
      <c r="BK88" s="225"/>
      <c r="BL88" s="241">
        <v>0.8</v>
      </c>
      <c r="BM88" s="229"/>
      <c r="BN88" s="242"/>
      <c r="BO88" s="243">
        <v>0.95</v>
      </c>
      <c r="BP88" s="234">
        <v>1</v>
      </c>
      <c r="BQ88" s="242">
        <v>2.5000000000000001E-3</v>
      </c>
    </row>
    <row r="89" spans="1:69" s="211" customFormat="1" ht="22.35" customHeight="1" x14ac:dyDescent="0.2">
      <c r="A89" s="221" t="s">
        <v>140</v>
      </c>
      <c r="B89" s="221" t="s">
        <v>141</v>
      </c>
      <c r="C89" s="221" t="s">
        <v>147</v>
      </c>
      <c r="D89" s="222">
        <v>1.63022700111111</v>
      </c>
      <c r="E89" s="223"/>
      <c r="F89" s="224"/>
      <c r="G89" s="224"/>
      <c r="H89" s="225"/>
      <c r="I89" s="226">
        <v>2</v>
      </c>
      <c r="J89" s="226">
        <v>2</v>
      </c>
      <c r="K89" s="223"/>
      <c r="L89" s="227">
        <v>-7930.2476800000004</v>
      </c>
      <c r="M89" s="227">
        <v>-1204.0251499999999</v>
      </c>
      <c r="N89" s="227">
        <v>-9134.2728299999999</v>
      </c>
      <c r="O89" s="222">
        <v>-5603.0680535743604</v>
      </c>
      <c r="P89" s="228">
        <v>264.70999999999998</v>
      </c>
      <c r="Q89" s="229">
        <v>-21.166816718576399</v>
      </c>
      <c r="R89" s="230">
        <v>-9605.5116592948198</v>
      </c>
      <c r="S89" s="224"/>
      <c r="T89" s="224"/>
      <c r="U89" s="231">
        <v>9566</v>
      </c>
      <c r="V89" s="232">
        <v>9653</v>
      </c>
      <c r="W89" s="223"/>
      <c r="X89" s="231">
        <v>368.50261</v>
      </c>
      <c r="Y89" s="222">
        <v>226.04374099364099</v>
      </c>
      <c r="Z89" s="233">
        <v>573</v>
      </c>
      <c r="AA89" s="229">
        <v>0.39449169457877997</v>
      </c>
      <c r="AB89" s="230">
        <v>-651.55650822723896</v>
      </c>
      <c r="AC89" s="224"/>
      <c r="AD89" s="224"/>
      <c r="AE89" s="232">
        <v>566</v>
      </c>
      <c r="AF89" s="232">
        <v>753</v>
      </c>
      <c r="AG89" s="223"/>
      <c r="AH89" s="236">
        <v>65.2</v>
      </c>
      <c r="AI89" s="222">
        <v>39.994430196262101</v>
      </c>
      <c r="AJ89" s="237" t="s">
        <v>54</v>
      </c>
      <c r="AK89" s="229">
        <v>0.63483222533749295</v>
      </c>
      <c r="AL89" s="230">
        <v>-46.953096768439899</v>
      </c>
      <c r="AM89" s="224"/>
      <c r="AN89" s="224"/>
      <c r="AO89" s="232">
        <v>38</v>
      </c>
      <c r="AP89" s="232">
        <v>59</v>
      </c>
      <c r="AQ89" s="223"/>
      <c r="AR89" s="236">
        <v>1.8</v>
      </c>
      <c r="AS89" s="222">
        <v>1.1041407109397501</v>
      </c>
      <c r="AT89" s="237" t="s">
        <v>55</v>
      </c>
      <c r="AU89" s="229">
        <v>6.9008794433734394E-2</v>
      </c>
      <c r="AV89" s="230">
        <v>-26.683326163413302</v>
      </c>
      <c r="AW89" s="224"/>
      <c r="AX89" s="224"/>
      <c r="AY89" s="232">
        <v>25</v>
      </c>
      <c r="AZ89" s="232">
        <v>30</v>
      </c>
      <c r="BA89" s="223"/>
      <c r="BB89" s="240">
        <v>26</v>
      </c>
      <c r="BC89" s="236">
        <v>15.9486991580186</v>
      </c>
      <c r="BD89" s="237" t="s">
        <v>56</v>
      </c>
      <c r="BE89" s="229">
        <v>0.49839684868808198</v>
      </c>
      <c r="BF89" s="230">
        <v>-30.966652326826601</v>
      </c>
      <c r="BG89" s="224"/>
      <c r="BH89" s="224"/>
      <c r="BI89" s="232">
        <v>27</v>
      </c>
      <c r="BJ89" s="232">
        <v>37</v>
      </c>
      <c r="BK89" s="225"/>
      <c r="BL89" s="241">
        <v>0.8</v>
      </c>
      <c r="BM89" s="234">
        <v>1</v>
      </c>
      <c r="BN89" s="242">
        <v>7.4999999999999997E-3</v>
      </c>
      <c r="BO89" s="243">
        <v>0.95</v>
      </c>
      <c r="BP89" s="234">
        <v>1</v>
      </c>
      <c r="BQ89" s="242">
        <v>2.5000000000000001E-3</v>
      </c>
    </row>
    <row r="90" spans="1:69" s="211" customFormat="1" ht="22.35" customHeight="1" x14ac:dyDescent="0.2">
      <c r="A90" s="221" t="s">
        <v>140</v>
      </c>
      <c r="B90" s="221" t="s">
        <v>141</v>
      </c>
      <c r="C90" s="221" t="s">
        <v>148</v>
      </c>
      <c r="D90" s="222">
        <v>4.5991464215555604</v>
      </c>
      <c r="E90" s="223"/>
      <c r="F90" s="224">
        <v>0.03</v>
      </c>
      <c r="G90" s="224">
        <v>2.3E-2</v>
      </c>
      <c r="H90" s="225"/>
      <c r="I90" s="226">
        <v>3</v>
      </c>
      <c r="J90" s="226">
        <v>3</v>
      </c>
      <c r="K90" s="223"/>
      <c r="L90" s="227">
        <v>1382.64159</v>
      </c>
      <c r="M90" s="227">
        <v>3797.63123</v>
      </c>
      <c r="N90" s="227">
        <v>5180.2728200000001</v>
      </c>
      <c r="O90" s="222">
        <v>1126.3552723002699</v>
      </c>
      <c r="P90" s="228">
        <v>265.83499999999998</v>
      </c>
      <c r="Q90" s="234">
        <v>4.2370465600852798</v>
      </c>
      <c r="R90" s="235">
        <v>3845.1782348401498</v>
      </c>
      <c r="S90" s="224">
        <v>0.01</v>
      </c>
      <c r="T90" s="224">
        <v>0.01</v>
      </c>
      <c r="U90" s="231">
        <v>0</v>
      </c>
      <c r="V90" s="232">
        <v>0</v>
      </c>
      <c r="W90" s="223"/>
      <c r="X90" s="231">
        <v>2268.5604950000002</v>
      </c>
      <c r="Y90" s="222">
        <v>493.25685400394599</v>
      </c>
      <c r="Z90" s="233">
        <v>573</v>
      </c>
      <c r="AA90" s="244">
        <v>0.86083220594056897</v>
      </c>
      <c r="AB90" s="227">
        <v>-609.19900731005805</v>
      </c>
      <c r="AC90" s="224"/>
      <c r="AD90" s="224"/>
      <c r="AE90" s="232">
        <v>367</v>
      </c>
      <c r="AF90" s="232">
        <v>894</v>
      </c>
      <c r="AG90" s="223"/>
      <c r="AH90" s="236">
        <v>262.39999999999998</v>
      </c>
      <c r="AI90" s="222">
        <v>57.054065243534701</v>
      </c>
      <c r="AJ90" s="237" t="s">
        <v>54</v>
      </c>
      <c r="AK90" s="244">
        <v>0.90562008323070997</v>
      </c>
      <c r="AL90" s="227">
        <v>-54.002877217336298</v>
      </c>
      <c r="AM90" s="224">
        <v>0</v>
      </c>
      <c r="AN90" s="224"/>
      <c r="AO90" s="232">
        <v>28</v>
      </c>
      <c r="AP90" s="232">
        <v>86</v>
      </c>
      <c r="AQ90" s="223"/>
      <c r="AR90" s="236">
        <v>57</v>
      </c>
      <c r="AS90" s="222">
        <v>12.393604111590999</v>
      </c>
      <c r="AT90" s="237" t="s">
        <v>55</v>
      </c>
      <c r="AU90" s="244">
        <v>0.77460025697443702</v>
      </c>
      <c r="AV90" s="227">
        <v>-23.3562862774187</v>
      </c>
      <c r="AW90" s="224"/>
      <c r="AX90" s="224"/>
      <c r="AY90" s="232">
        <v>17</v>
      </c>
      <c r="AZ90" s="232">
        <v>32</v>
      </c>
      <c r="BA90" s="223"/>
      <c r="BB90" s="240">
        <v>166.4</v>
      </c>
      <c r="BC90" s="236">
        <v>36.180626739802499</v>
      </c>
      <c r="BD90" s="237" t="s">
        <v>56</v>
      </c>
      <c r="BE90" s="234">
        <v>1.1306445856188301</v>
      </c>
      <c r="BF90" s="235">
        <v>5.68742744516251</v>
      </c>
      <c r="BG90" s="224">
        <v>0.02</v>
      </c>
      <c r="BH90" s="224">
        <v>1.2999999999999999E-2</v>
      </c>
      <c r="BI90" s="232">
        <v>0</v>
      </c>
      <c r="BJ90" s="232">
        <v>11</v>
      </c>
      <c r="BK90" s="225"/>
      <c r="BL90" s="241">
        <v>0.8</v>
      </c>
      <c r="BM90" s="244">
        <v>0.74</v>
      </c>
      <c r="BN90" s="242"/>
      <c r="BO90" s="243">
        <v>0.95</v>
      </c>
      <c r="BP90" s="234">
        <v>1</v>
      </c>
      <c r="BQ90" s="242">
        <v>2.5000000000000001E-3</v>
      </c>
    </row>
    <row r="91" spans="1:69" s="211" customFormat="1" ht="22.35" customHeight="1" x14ac:dyDescent="0.2">
      <c r="A91" s="221" t="s">
        <v>140</v>
      </c>
      <c r="B91" s="221" t="s">
        <v>141</v>
      </c>
      <c r="C91" s="221" t="s">
        <v>149</v>
      </c>
      <c r="D91" s="222">
        <v>5.8587699798888897</v>
      </c>
      <c r="E91" s="223"/>
      <c r="F91" s="224">
        <v>0.02</v>
      </c>
      <c r="G91" s="224">
        <v>0.02</v>
      </c>
      <c r="H91" s="225"/>
      <c r="I91" s="226">
        <v>2</v>
      </c>
      <c r="J91" s="226">
        <v>2</v>
      </c>
      <c r="K91" s="223"/>
      <c r="L91" s="227">
        <v>-3443.7293399999999</v>
      </c>
      <c r="M91" s="227">
        <v>3151.4463700000001</v>
      </c>
      <c r="N91" s="227">
        <v>-292.28296999999998</v>
      </c>
      <c r="O91" s="222">
        <v>-49.888111498370002</v>
      </c>
      <c r="P91" s="228">
        <v>266.37799999999999</v>
      </c>
      <c r="Q91" s="229">
        <v>-0.187283152131069</v>
      </c>
      <c r="R91" s="230">
        <v>-1996.5099632355</v>
      </c>
      <c r="S91" s="224"/>
      <c r="T91" s="224"/>
      <c r="U91" s="231">
        <v>1853</v>
      </c>
      <c r="V91" s="232">
        <v>2166</v>
      </c>
      <c r="W91" s="223"/>
      <c r="X91" s="231">
        <v>2456.0585649999998</v>
      </c>
      <c r="Y91" s="222">
        <v>419.21061475886398</v>
      </c>
      <c r="Z91" s="233">
        <v>573</v>
      </c>
      <c r="AA91" s="244">
        <v>0.731606657519833</v>
      </c>
      <c r="AB91" s="227">
        <v>-1209.8675517361601</v>
      </c>
      <c r="AC91" s="224"/>
      <c r="AD91" s="224"/>
      <c r="AE91" s="232">
        <v>902</v>
      </c>
      <c r="AF91" s="232">
        <v>1573</v>
      </c>
      <c r="AG91" s="223"/>
      <c r="AH91" s="236">
        <v>291.2</v>
      </c>
      <c r="AI91" s="222">
        <v>49.703265531773397</v>
      </c>
      <c r="AJ91" s="237" t="s">
        <v>54</v>
      </c>
      <c r="AK91" s="244">
        <v>0.78894072272656102</v>
      </c>
      <c r="AL91" s="227">
        <v>-111.859939536436</v>
      </c>
      <c r="AM91" s="224"/>
      <c r="AN91" s="224"/>
      <c r="AO91" s="232">
        <v>78</v>
      </c>
      <c r="AP91" s="232">
        <v>152</v>
      </c>
      <c r="AQ91" s="223"/>
      <c r="AR91" s="236">
        <v>22.4</v>
      </c>
      <c r="AS91" s="222">
        <v>3.8233281178287202</v>
      </c>
      <c r="AT91" s="237" t="s">
        <v>55</v>
      </c>
      <c r="AU91" s="229">
        <v>0.23895800736429501</v>
      </c>
      <c r="AV91" s="230">
        <v>-79.964429088618701</v>
      </c>
      <c r="AW91" s="224"/>
      <c r="AX91" s="224"/>
      <c r="AY91" s="232">
        <v>72</v>
      </c>
      <c r="AZ91" s="232">
        <v>91</v>
      </c>
      <c r="BA91" s="223"/>
      <c r="BB91" s="240">
        <v>226</v>
      </c>
      <c r="BC91" s="236">
        <v>38.574649760236198</v>
      </c>
      <c r="BD91" s="237" t="s">
        <v>56</v>
      </c>
      <c r="BE91" s="234">
        <v>1.2054578050073801</v>
      </c>
      <c r="BF91" s="235">
        <v>21.271141822762601</v>
      </c>
      <c r="BG91" s="224">
        <v>0.02</v>
      </c>
      <c r="BH91" s="224">
        <v>0.02</v>
      </c>
      <c r="BI91" s="232">
        <v>0</v>
      </c>
      <c r="BJ91" s="232">
        <v>0</v>
      </c>
      <c r="BK91" s="225"/>
      <c r="BL91" s="241">
        <v>0.8</v>
      </c>
      <c r="BM91" s="244">
        <v>0.72</v>
      </c>
      <c r="BN91" s="242"/>
      <c r="BO91" s="243">
        <v>0.95</v>
      </c>
      <c r="BP91" s="234">
        <v>1</v>
      </c>
      <c r="BQ91" s="242">
        <v>2.5000000000000001E-3</v>
      </c>
    </row>
    <row r="92" spans="1:69" s="211" customFormat="1" ht="22.35" customHeight="1" x14ac:dyDescent="0.2">
      <c r="A92" s="221" t="s">
        <v>140</v>
      </c>
      <c r="B92" s="221" t="s">
        <v>141</v>
      </c>
      <c r="C92" s="221" t="s">
        <v>150</v>
      </c>
      <c r="D92" s="222">
        <v>3.2458373859999998</v>
      </c>
      <c r="E92" s="223"/>
      <c r="F92" s="224">
        <v>3.9E-2</v>
      </c>
      <c r="G92" s="224">
        <v>0.03</v>
      </c>
      <c r="H92" s="225"/>
      <c r="I92" s="226">
        <v>5</v>
      </c>
      <c r="J92" s="226">
        <v>3</v>
      </c>
      <c r="K92" s="223"/>
      <c r="L92" s="227">
        <v>1648.2810899999999</v>
      </c>
      <c r="M92" s="227">
        <v>2219.8702499999999</v>
      </c>
      <c r="N92" s="227">
        <v>3868.1513399999999</v>
      </c>
      <c r="O92" s="222">
        <v>1191.7267811025199</v>
      </c>
      <c r="P92" s="228">
        <v>247.02500000000001</v>
      </c>
      <c r="Q92" s="234">
        <v>4.8243164906488003</v>
      </c>
      <c r="R92" s="235">
        <v>2992.5824855379001</v>
      </c>
      <c r="S92" s="224">
        <v>0.01</v>
      </c>
      <c r="T92" s="224">
        <v>0.01</v>
      </c>
      <c r="U92" s="231">
        <v>0</v>
      </c>
      <c r="V92" s="232">
        <v>0</v>
      </c>
      <c r="W92" s="223"/>
      <c r="X92" s="231">
        <v>1758.42509</v>
      </c>
      <c r="Y92" s="222">
        <v>541.74774669380201</v>
      </c>
      <c r="Z92" s="233">
        <v>573</v>
      </c>
      <c r="AA92" s="238">
        <v>0.94545854571344101</v>
      </c>
      <c r="AB92" s="239">
        <v>-272.54729581837603</v>
      </c>
      <c r="AC92" s="224">
        <v>4.0000000000000001E-3</v>
      </c>
      <c r="AD92" s="224"/>
      <c r="AE92" s="232">
        <v>102</v>
      </c>
      <c r="AF92" s="232">
        <v>474</v>
      </c>
      <c r="AG92" s="223"/>
      <c r="AH92" s="236">
        <v>195.3</v>
      </c>
      <c r="AI92" s="222">
        <v>60.169372884288997</v>
      </c>
      <c r="AJ92" s="237" t="s">
        <v>54</v>
      </c>
      <c r="AK92" s="238">
        <v>0.95506941086173103</v>
      </c>
      <c r="AL92" s="239">
        <v>-28.000628807256</v>
      </c>
      <c r="AM92" s="224">
        <v>5.0000000000000001E-3</v>
      </c>
      <c r="AN92" s="224"/>
      <c r="AO92" s="232">
        <v>10</v>
      </c>
      <c r="AP92" s="232">
        <v>51</v>
      </c>
      <c r="AQ92" s="223"/>
      <c r="AR92" s="236">
        <v>24.6</v>
      </c>
      <c r="AS92" s="222">
        <v>7.5789379055479298</v>
      </c>
      <c r="AT92" s="237" t="s">
        <v>55</v>
      </c>
      <c r="AU92" s="229">
        <v>0.473683619096746</v>
      </c>
      <c r="AV92" s="230">
        <v>-32.111270808192003</v>
      </c>
      <c r="AW92" s="224"/>
      <c r="AX92" s="224"/>
      <c r="AY92" s="232">
        <v>28</v>
      </c>
      <c r="AZ92" s="232">
        <v>38</v>
      </c>
      <c r="BA92" s="223"/>
      <c r="BB92" s="240">
        <v>133.6</v>
      </c>
      <c r="BC92" s="236">
        <v>41.160410739073299</v>
      </c>
      <c r="BD92" s="237" t="s">
        <v>56</v>
      </c>
      <c r="BE92" s="234">
        <v>1.2862628355960399</v>
      </c>
      <c r="BF92" s="235">
        <v>20.177458383615999</v>
      </c>
      <c r="BG92" s="224">
        <v>0.02</v>
      </c>
      <c r="BH92" s="224">
        <v>0.02</v>
      </c>
      <c r="BI92" s="232">
        <v>0</v>
      </c>
      <c r="BJ92" s="232">
        <v>0</v>
      </c>
      <c r="BK92" s="225"/>
      <c r="BL92" s="241">
        <v>0.8</v>
      </c>
      <c r="BM92" s="244">
        <v>0.72</v>
      </c>
      <c r="BN92" s="242"/>
      <c r="BO92" s="243">
        <v>0.95</v>
      </c>
      <c r="BP92" s="234">
        <v>1</v>
      </c>
      <c r="BQ92" s="242">
        <v>2.5000000000000001E-3</v>
      </c>
    </row>
    <row r="93" spans="1:69" s="211" customFormat="1" ht="22.35" customHeight="1" x14ac:dyDescent="0.2">
      <c r="A93" s="221" t="s">
        <v>140</v>
      </c>
      <c r="B93" s="221" t="s">
        <v>141</v>
      </c>
      <c r="C93" s="221" t="s">
        <v>151</v>
      </c>
      <c r="D93" s="222">
        <v>5.9735728475555598</v>
      </c>
      <c r="E93" s="223"/>
      <c r="F93" s="224">
        <v>0.01</v>
      </c>
      <c r="G93" s="224">
        <v>0.01</v>
      </c>
      <c r="H93" s="225"/>
      <c r="I93" s="226">
        <v>2</v>
      </c>
      <c r="J93" s="226">
        <v>2</v>
      </c>
      <c r="K93" s="223"/>
      <c r="L93" s="227">
        <v>3828.3200099999999</v>
      </c>
      <c r="M93" s="227">
        <v>2968.0697799999998</v>
      </c>
      <c r="N93" s="227">
        <v>6796.3897900000002</v>
      </c>
      <c r="O93" s="222">
        <v>1137.74284895197</v>
      </c>
      <c r="P93" s="228">
        <v>287.5</v>
      </c>
      <c r="Q93" s="234">
        <v>3.9573664311372898</v>
      </c>
      <c r="R93" s="235">
        <v>4920.98659450993</v>
      </c>
      <c r="S93" s="224">
        <v>0.01</v>
      </c>
      <c r="T93" s="224">
        <v>0.01</v>
      </c>
      <c r="U93" s="231">
        <v>0</v>
      </c>
      <c r="V93" s="232">
        <v>0</v>
      </c>
      <c r="W93" s="223"/>
      <c r="X93" s="231">
        <v>2159.1284850000002</v>
      </c>
      <c r="Y93" s="222">
        <v>361.44674888890597</v>
      </c>
      <c r="Z93" s="233">
        <v>573</v>
      </c>
      <c r="AA93" s="229">
        <v>0.63079711847976605</v>
      </c>
      <c r="AB93" s="230">
        <v>-1578.6316228810799</v>
      </c>
      <c r="AC93" s="224"/>
      <c r="AD93" s="224"/>
      <c r="AE93" s="232">
        <v>1264</v>
      </c>
      <c r="AF93" s="232">
        <v>1949</v>
      </c>
      <c r="AG93" s="223"/>
      <c r="AH93" s="236">
        <v>319.60000000000002</v>
      </c>
      <c r="AI93" s="222">
        <v>53.5023189900134</v>
      </c>
      <c r="AJ93" s="237" t="s">
        <v>54</v>
      </c>
      <c r="AK93" s="244">
        <v>0.84924315857164101</v>
      </c>
      <c r="AL93" s="227">
        <v>-91.357917620432303</v>
      </c>
      <c r="AM93" s="224"/>
      <c r="AN93" s="224"/>
      <c r="AO93" s="232">
        <v>57</v>
      </c>
      <c r="AP93" s="232">
        <v>133</v>
      </c>
      <c r="AQ93" s="223"/>
      <c r="AR93" s="236">
        <v>32.4</v>
      </c>
      <c r="AS93" s="222">
        <v>5.4238896598136197</v>
      </c>
      <c r="AT93" s="237" t="s">
        <v>55</v>
      </c>
      <c r="AU93" s="229">
        <v>0.33899310373835101</v>
      </c>
      <c r="AV93" s="230">
        <v>-71.970264792490795</v>
      </c>
      <c r="AW93" s="224"/>
      <c r="AX93" s="224"/>
      <c r="AY93" s="232">
        <v>64</v>
      </c>
      <c r="AZ93" s="232">
        <v>83</v>
      </c>
      <c r="BA93" s="223"/>
      <c r="BB93" s="240">
        <v>142.19999999999999</v>
      </c>
      <c r="BC93" s="236">
        <v>23.804849062515299</v>
      </c>
      <c r="BD93" s="237" t="s">
        <v>56</v>
      </c>
      <c r="BE93" s="244">
        <v>0.74390153320360397</v>
      </c>
      <c r="BF93" s="227">
        <v>-66.540529584981499</v>
      </c>
      <c r="BG93" s="224"/>
      <c r="BH93" s="224"/>
      <c r="BI93" s="232">
        <v>49</v>
      </c>
      <c r="BJ93" s="232">
        <v>88</v>
      </c>
      <c r="BK93" s="225"/>
      <c r="BL93" s="241">
        <v>0.8</v>
      </c>
      <c r="BM93" s="244">
        <v>0.76</v>
      </c>
      <c r="BN93" s="242"/>
      <c r="BO93" s="243">
        <v>0.95</v>
      </c>
      <c r="BP93" s="234">
        <v>1</v>
      </c>
      <c r="BQ93" s="242">
        <v>2.5000000000000001E-3</v>
      </c>
    </row>
    <row r="94" spans="1:69" s="211" customFormat="1" ht="22.35" customHeight="1" x14ac:dyDescent="0.2">
      <c r="A94" s="221" t="s">
        <v>140</v>
      </c>
      <c r="B94" s="221" t="s">
        <v>141</v>
      </c>
      <c r="C94" s="221" t="s">
        <v>152</v>
      </c>
      <c r="D94" s="222">
        <v>5.3472902687777797</v>
      </c>
      <c r="E94" s="223"/>
      <c r="F94" s="224">
        <v>8.9999999999999993E-3</v>
      </c>
      <c r="G94" s="224">
        <v>3.5000000000000001E-3</v>
      </c>
      <c r="H94" s="225"/>
      <c r="I94" s="226">
        <v>2</v>
      </c>
      <c r="J94" s="226">
        <v>2</v>
      </c>
      <c r="K94" s="223"/>
      <c r="L94" s="227">
        <v>2720.60277</v>
      </c>
      <c r="M94" s="227">
        <v>-1069.4541300000001</v>
      </c>
      <c r="N94" s="227">
        <v>1651.1486399999999</v>
      </c>
      <c r="O94" s="222">
        <v>308.78230973187902</v>
      </c>
      <c r="P94" s="228">
        <v>287.5</v>
      </c>
      <c r="Q94" s="238">
        <v>1.0740254251543599</v>
      </c>
      <c r="R94" s="239">
        <v>-27.633139882784</v>
      </c>
      <c r="S94" s="224">
        <v>8.9999999999999993E-3</v>
      </c>
      <c r="T94" s="224">
        <v>3.5000000000000001E-3</v>
      </c>
      <c r="U94" s="231">
        <v>0</v>
      </c>
      <c r="V94" s="232">
        <v>194</v>
      </c>
      <c r="W94" s="223"/>
      <c r="X94" s="231">
        <v>2395.705915</v>
      </c>
      <c r="Y94" s="222">
        <v>448.02241781940597</v>
      </c>
      <c r="Z94" s="233">
        <v>573</v>
      </c>
      <c r="AA94" s="244">
        <v>0.78188903633404105</v>
      </c>
      <c r="AB94" s="227">
        <v>-950.17916281855696</v>
      </c>
      <c r="AC94" s="224"/>
      <c r="AD94" s="224"/>
      <c r="AE94" s="232">
        <v>669</v>
      </c>
      <c r="AF94" s="232">
        <v>1282</v>
      </c>
      <c r="AG94" s="223"/>
      <c r="AH94" s="236">
        <v>303.35000000000002</v>
      </c>
      <c r="AI94" s="222">
        <v>56.729667691919801</v>
      </c>
      <c r="AJ94" s="237" t="s">
        <v>54</v>
      </c>
      <c r="AK94" s="244">
        <v>0.90047091574475902</v>
      </c>
      <c r="AL94" s="227">
        <v>-64.522181330836105</v>
      </c>
      <c r="AM94" s="224"/>
      <c r="AN94" s="224"/>
      <c r="AO94" s="232">
        <v>34</v>
      </c>
      <c r="AP94" s="232">
        <v>101</v>
      </c>
      <c r="AQ94" s="223"/>
      <c r="AR94" s="236">
        <v>15.1</v>
      </c>
      <c r="AS94" s="222">
        <v>2.8238601686104801</v>
      </c>
      <c r="AT94" s="237" t="s">
        <v>55</v>
      </c>
      <c r="AU94" s="229">
        <v>0.176491260538155</v>
      </c>
      <c r="AV94" s="230">
        <v>-78.327855576085398</v>
      </c>
      <c r="AW94" s="224"/>
      <c r="AX94" s="224"/>
      <c r="AY94" s="232">
        <v>71</v>
      </c>
      <c r="AZ94" s="232">
        <v>88</v>
      </c>
      <c r="BA94" s="223"/>
      <c r="BB94" s="240">
        <v>138</v>
      </c>
      <c r="BC94" s="236">
        <v>25.807463792599101</v>
      </c>
      <c r="BD94" s="237" t="s">
        <v>56</v>
      </c>
      <c r="BE94" s="244">
        <v>0.80648324351872103</v>
      </c>
      <c r="BF94" s="227">
        <v>-48.855711152170798</v>
      </c>
      <c r="BG94" s="224"/>
      <c r="BH94" s="224"/>
      <c r="BI94" s="232">
        <v>34</v>
      </c>
      <c r="BJ94" s="232">
        <v>68</v>
      </c>
      <c r="BK94" s="225"/>
      <c r="BL94" s="241">
        <v>0.8</v>
      </c>
      <c r="BM94" s="244">
        <v>0.7</v>
      </c>
      <c r="BN94" s="242"/>
      <c r="BO94" s="243">
        <v>0.95</v>
      </c>
      <c r="BP94" s="234">
        <v>1</v>
      </c>
      <c r="BQ94" s="242">
        <v>2.5000000000000001E-3</v>
      </c>
    </row>
    <row r="95" spans="1:69" s="211" customFormat="1" ht="22.35" customHeight="1" x14ac:dyDescent="0.2">
      <c r="A95" s="221" t="s">
        <v>140</v>
      </c>
      <c r="B95" s="221" t="s">
        <v>141</v>
      </c>
      <c r="C95" s="221" t="s">
        <v>153</v>
      </c>
      <c r="D95" s="222">
        <v>1.85767322355556</v>
      </c>
      <c r="E95" s="223"/>
      <c r="F95" s="224">
        <v>4.1000000000000002E-2</v>
      </c>
      <c r="G95" s="224">
        <v>3.1E-2</v>
      </c>
      <c r="H95" s="225"/>
      <c r="I95" s="226">
        <v>4</v>
      </c>
      <c r="J95" s="226">
        <v>4</v>
      </c>
      <c r="K95" s="223"/>
      <c r="L95" s="227">
        <v>1523.68885</v>
      </c>
      <c r="M95" s="227">
        <v>719.93364999999994</v>
      </c>
      <c r="N95" s="227">
        <v>2243.6224999999999</v>
      </c>
      <c r="O95" s="222">
        <v>1207.7595088041101</v>
      </c>
      <c r="P95" s="228">
        <v>247.02500000000001</v>
      </c>
      <c r="Q95" s="234">
        <v>4.88921975024435</v>
      </c>
      <c r="R95" s="235">
        <v>1742.5127329707</v>
      </c>
      <c r="S95" s="224">
        <v>0.01</v>
      </c>
      <c r="T95" s="224">
        <v>0.01</v>
      </c>
      <c r="U95" s="231">
        <v>0</v>
      </c>
      <c r="V95" s="232">
        <v>0</v>
      </c>
      <c r="W95" s="223"/>
      <c r="X95" s="231">
        <v>1074.056</v>
      </c>
      <c r="Y95" s="222">
        <v>578.17273047854701</v>
      </c>
      <c r="Z95" s="233">
        <v>573</v>
      </c>
      <c r="AA95" s="238">
        <v>1.0090274528421399</v>
      </c>
      <c r="AB95" s="239">
        <v>-88.319858750290706</v>
      </c>
      <c r="AC95" s="224">
        <v>1.0999999999999999E-2</v>
      </c>
      <c r="AD95" s="224">
        <v>1E-3</v>
      </c>
      <c r="AE95" s="232">
        <v>0</v>
      </c>
      <c r="AF95" s="232">
        <v>204</v>
      </c>
      <c r="AG95" s="223"/>
      <c r="AH95" s="236">
        <v>100.7</v>
      </c>
      <c r="AI95" s="222">
        <v>54.207596213968102</v>
      </c>
      <c r="AJ95" s="237" t="s">
        <v>54</v>
      </c>
      <c r="AK95" s="244">
        <v>0.86043803514234996</v>
      </c>
      <c r="AL95" s="227">
        <v>-27.1004870877283</v>
      </c>
      <c r="AM95" s="224"/>
      <c r="AN95" s="224"/>
      <c r="AO95" s="232">
        <v>17</v>
      </c>
      <c r="AP95" s="232">
        <v>40</v>
      </c>
      <c r="AQ95" s="223"/>
      <c r="AR95" s="236">
        <v>22.9</v>
      </c>
      <c r="AS95" s="222">
        <v>12.3272487914585</v>
      </c>
      <c r="AT95" s="237" t="s">
        <v>55</v>
      </c>
      <c r="AU95" s="244">
        <v>0.77045304946615401</v>
      </c>
      <c r="AV95" s="227">
        <v>-9.5572665619627504</v>
      </c>
      <c r="AW95" s="224"/>
      <c r="AX95" s="224"/>
      <c r="AY95" s="232">
        <v>7</v>
      </c>
      <c r="AZ95" s="232">
        <v>13</v>
      </c>
      <c r="BA95" s="223"/>
      <c r="BB95" s="240">
        <v>93</v>
      </c>
      <c r="BC95" s="236">
        <v>50.062626096316102</v>
      </c>
      <c r="BD95" s="237" t="s">
        <v>56</v>
      </c>
      <c r="BE95" s="234">
        <v>1.56445706550988</v>
      </c>
      <c r="BF95" s="235">
        <v>28.085466876074499</v>
      </c>
      <c r="BG95" s="224">
        <v>0.02</v>
      </c>
      <c r="BH95" s="224">
        <v>0.02</v>
      </c>
      <c r="BI95" s="232">
        <v>0</v>
      </c>
      <c r="BJ95" s="232">
        <v>0</v>
      </c>
      <c r="BK95" s="225"/>
      <c r="BL95" s="241">
        <v>0.8</v>
      </c>
      <c r="BM95" s="244">
        <v>0.77</v>
      </c>
      <c r="BN95" s="242"/>
      <c r="BO95" s="243">
        <v>0.95</v>
      </c>
      <c r="BP95" s="234">
        <v>1</v>
      </c>
      <c r="BQ95" s="242">
        <v>2.5000000000000001E-3</v>
      </c>
    </row>
    <row r="96" spans="1:69" s="211" customFormat="1" ht="22.35" customHeight="1" x14ac:dyDescent="0.2">
      <c r="A96" s="221" t="s">
        <v>140</v>
      </c>
      <c r="B96" s="221" t="s">
        <v>141</v>
      </c>
      <c r="C96" s="221" t="s">
        <v>154</v>
      </c>
      <c r="D96" s="222">
        <v>3.3075077187777802</v>
      </c>
      <c r="E96" s="223"/>
      <c r="F96" s="224">
        <v>5.8000000000000003E-2</v>
      </c>
      <c r="G96" s="224">
        <v>3.5999999999999997E-2</v>
      </c>
      <c r="H96" s="225"/>
      <c r="I96" s="226">
        <v>5</v>
      </c>
      <c r="J96" s="226">
        <v>5</v>
      </c>
      <c r="K96" s="223"/>
      <c r="L96" s="227">
        <v>1446.9458999999999</v>
      </c>
      <c r="M96" s="227">
        <v>1015.44587</v>
      </c>
      <c r="N96" s="227">
        <v>2462.3917700000002</v>
      </c>
      <c r="O96" s="222">
        <v>744.48557021355305</v>
      </c>
      <c r="P96" s="228">
        <v>248.167</v>
      </c>
      <c r="Q96" s="234">
        <v>2.9999378249870099</v>
      </c>
      <c r="R96" s="235">
        <v>1566.0625892938499</v>
      </c>
      <c r="S96" s="224">
        <v>0.01</v>
      </c>
      <c r="T96" s="224">
        <v>0.01</v>
      </c>
      <c r="U96" s="231">
        <v>0</v>
      </c>
      <c r="V96" s="232">
        <v>0</v>
      </c>
      <c r="W96" s="223"/>
      <c r="X96" s="231">
        <v>2021.4178400000001</v>
      </c>
      <c r="Y96" s="222">
        <v>611.16043010988801</v>
      </c>
      <c r="Z96" s="233">
        <v>573</v>
      </c>
      <c r="AA96" s="238">
        <v>1.0665976092668199</v>
      </c>
      <c r="AB96" s="239">
        <v>-48.142659762757397</v>
      </c>
      <c r="AC96" s="224">
        <v>1.7000000000000001E-2</v>
      </c>
      <c r="AD96" s="224">
        <v>7.0000000000000001E-3</v>
      </c>
      <c r="AE96" s="232">
        <v>0</v>
      </c>
      <c r="AF96" s="232">
        <v>253</v>
      </c>
      <c r="AG96" s="223"/>
      <c r="AH96" s="236">
        <v>210.25</v>
      </c>
      <c r="AI96" s="222">
        <v>63.567500933208301</v>
      </c>
      <c r="AJ96" s="237" t="s">
        <v>54</v>
      </c>
      <c r="AK96" s="238">
        <v>1.0090079513207699</v>
      </c>
      <c r="AL96" s="239">
        <v>-17.2933010210362</v>
      </c>
      <c r="AM96" s="224">
        <v>1.0999999999999999E-2</v>
      </c>
      <c r="AN96" s="224">
        <v>1E-3</v>
      </c>
      <c r="AO96" s="232">
        <v>0</v>
      </c>
      <c r="AP96" s="232">
        <v>40</v>
      </c>
      <c r="AQ96" s="223"/>
      <c r="AR96" s="236">
        <v>14.6</v>
      </c>
      <c r="AS96" s="222">
        <v>4.4141998269909202</v>
      </c>
      <c r="AT96" s="237" t="s">
        <v>55</v>
      </c>
      <c r="AU96" s="229">
        <v>0.27588748918693301</v>
      </c>
      <c r="AV96" s="230">
        <v>-43.188774862485403</v>
      </c>
      <c r="AW96" s="224"/>
      <c r="AX96" s="224"/>
      <c r="AY96" s="232">
        <v>39</v>
      </c>
      <c r="AZ96" s="232">
        <v>49</v>
      </c>
      <c r="BA96" s="223"/>
      <c r="BB96" s="240">
        <v>124.6</v>
      </c>
      <c r="BC96" s="236">
        <v>37.671869756374598</v>
      </c>
      <c r="BD96" s="237" t="s">
        <v>56</v>
      </c>
      <c r="BE96" s="234">
        <v>1.17724592988671</v>
      </c>
      <c r="BF96" s="235">
        <v>9.0224502750292395</v>
      </c>
      <c r="BG96" s="224">
        <v>0.02</v>
      </c>
      <c r="BH96" s="224">
        <v>1.7999999999999999E-2</v>
      </c>
      <c r="BI96" s="232">
        <v>0</v>
      </c>
      <c r="BJ96" s="232">
        <v>3</v>
      </c>
      <c r="BK96" s="225"/>
      <c r="BL96" s="241">
        <v>0.8</v>
      </c>
      <c r="BM96" s="244">
        <v>0.71</v>
      </c>
      <c r="BN96" s="242"/>
      <c r="BO96" s="243">
        <v>0.95</v>
      </c>
      <c r="BP96" s="234">
        <v>1</v>
      </c>
      <c r="BQ96" s="242">
        <v>2.5000000000000001E-3</v>
      </c>
    </row>
    <row r="97" spans="1:69" s="211" customFormat="1" ht="22.35" customHeight="1" x14ac:dyDescent="0.2">
      <c r="A97" s="221" t="s">
        <v>140</v>
      </c>
      <c r="B97" s="221" t="s">
        <v>141</v>
      </c>
      <c r="C97" s="221" t="s">
        <v>155</v>
      </c>
      <c r="D97" s="222">
        <v>3.0547893162222199</v>
      </c>
      <c r="E97" s="223"/>
      <c r="F97" s="224">
        <v>1.2999999999999999E-2</v>
      </c>
      <c r="G97" s="224">
        <v>0.01</v>
      </c>
      <c r="H97" s="225"/>
      <c r="I97" s="226">
        <v>3</v>
      </c>
      <c r="J97" s="226">
        <v>2</v>
      </c>
      <c r="K97" s="223"/>
      <c r="L97" s="227">
        <v>1886.5208700000001</v>
      </c>
      <c r="M97" s="227">
        <v>1341.46975</v>
      </c>
      <c r="N97" s="227">
        <v>3227.99062</v>
      </c>
      <c r="O97" s="222">
        <v>1056.69828123923</v>
      </c>
      <c r="P97" s="228">
        <v>285.53899999999999</v>
      </c>
      <c r="Q97" s="234">
        <v>3.7007143726048999</v>
      </c>
      <c r="R97" s="235">
        <v>2275.4810766712599</v>
      </c>
      <c r="S97" s="224">
        <v>0.01</v>
      </c>
      <c r="T97" s="224">
        <v>0.01</v>
      </c>
      <c r="U97" s="231">
        <v>0</v>
      </c>
      <c r="V97" s="232">
        <v>0</v>
      </c>
      <c r="W97" s="223"/>
      <c r="X97" s="231">
        <v>1062.0941499999999</v>
      </c>
      <c r="Y97" s="222">
        <v>347.68163694950402</v>
      </c>
      <c r="Z97" s="233">
        <v>573</v>
      </c>
      <c r="AA97" s="229">
        <v>0.60677423551396903</v>
      </c>
      <c r="AB97" s="230">
        <v>-849.33640178930295</v>
      </c>
      <c r="AC97" s="224"/>
      <c r="AD97" s="224"/>
      <c r="AE97" s="232">
        <v>689</v>
      </c>
      <c r="AF97" s="232">
        <v>1039</v>
      </c>
      <c r="AG97" s="223"/>
      <c r="AH97" s="236">
        <v>141</v>
      </c>
      <c r="AI97" s="222">
        <v>46.157029308447001</v>
      </c>
      <c r="AJ97" s="237" t="s">
        <v>54</v>
      </c>
      <c r="AK97" s="244">
        <v>0.73265125886423799</v>
      </c>
      <c r="AL97" s="227">
        <v>-69.157285798823906</v>
      </c>
      <c r="AM97" s="224"/>
      <c r="AN97" s="224"/>
      <c r="AO97" s="232">
        <v>52</v>
      </c>
      <c r="AP97" s="232">
        <v>90</v>
      </c>
      <c r="AQ97" s="223"/>
      <c r="AR97" s="236">
        <v>17.399999999999999</v>
      </c>
      <c r="AS97" s="222">
        <v>5.69597382955304</v>
      </c>
      <c r="AT97" s="237" t="s">
        <v>55</v>
      </c>
      <c r="AU97" s="229">
        <v>0.355998364347065</v>
      </c>
      <c r="AV97" s="230">
        <v>-35.973278933034599</v>
      </c>
      <c r="AW97" s="224"/>
      <c r="AX97" s="224"/>
      <c r="AY97" s="232">
        <v>32</v>
      </c>
      <c r="AZ97" s="232">
        <v>42</v>
      </c>
      <c r="BA97" s="223"/>
      <c r="BB97" s="240">
        <v>91.6</v>
      </c>
      <c r="BC97" s="236">
        <v>29.985701309601001</v>
      </c>
      <c r="BD97" s="237" t="s">
        <v>56</v>
      </c>
      <c r="BE97" s="238">
        <v>0.93705316592503296</v>
      </c>
      <c r="BF97" s="239">
        <v>-15.146557866069299</v>
      </c>
      <c r="BG97" s="224">
        <v>3.0000000000000001E-3</v>
      </c>
      <c r="BH97" s="224"/>
      <c r="BI97" s="232">
        <v>7</v>
      </c>
      <c r="BJ97" s="232">
        <v>26</v>
      </c>
      <c r="BK97" s="225"/>
      <c r="BL97" s="241">
        <v>0.8</v>
      </c>
      <c r="BM97" s="244">
        <v>0.78</v>
      </c>
      <c r="BN97" s="242"/>
      <c r="BO97" s="243">
        <v>0.95</v>
      </c>
      <c r="BP97" s="234">
        <v>1</v>
      </c>
      <c r="BQ97" s="242">
        <v>2.5000000000000001E-3</v>
      </c>
    </row>
    <row r="98" spans="1:69" s="211" customFormat="1" ht="22.35" customHeight="1" x14ac:dyDescent="0.2">
      <c r="A98" s="221" t="s">
        <v>140</v>
      </c>
      <c r="B98" s="221" t="s">
        <v>141</v>
      </c>
      <c r="C98" s="221" t="s">
        <v>156</v>
      </c>
      <c r="D98" s="222">
        <v>2.7451908808888899</v>
      </c>
      <c r="E98" s="223"/>
      <c r="F98" s="224">
        <v>3.6999999999999998E-2</v>
      </c>
      <c r="G98" s="224">
        <v>2.8000000000000001E-2</v>
      </c>
      <c r="H98" s="225"/>
      <c r="I98" s="226">
        <v>4</v>
      </c>
      <c r="J98" s="226">
        <v>3</v>
      </c>
      <c r="K98" s="223"/>
      <c r="L98" s="227">
        <v>413.00596999999999</v>
      </c>
      <c r="M98" s="227">
        <v>641.11500000000001</v>
      </c>
      <c r="N98" s="227">
        <v>1054.1209699999999</v>
      </c>
      <c r="O98" s="222">
        <v>383.98822367451402</v>
      </c>
      <c r="P98" s="228">
        <v>287.5</v>
      </c>
      <c r="Q98" s="234">
        <v>1.3356112127809201</v>
      </c>
      <c r="R98" s="235">
        <v>192.26829294493299</v>
      </c>
      <c r="S98" s="224">
        <v>0.01</v>
      </c>
      <c r="T98" s="224">
        <v>0.01</v>
      </c>
      <c r="U98" s="231">
        <v>0</v>
      </c>
      <c r="V98" s="232">
        <v>0</v>
      </c>
      <c r="W98" s="223"/>
      <c r="X98" s="231">
        <v>699.08525999999995</v>
      </c>
      <c r="Y98" s="222">
        <v>254.658160518746</v>
      </c>
      <c r="Z98" s="233">
        <v>573</v>
      </c>
      <c r="AA98" s="229">
        <v>0.444429599509155</v>
      </c>
      <c r="AB98" s="230">
        <v>-1018.62459722627</v>
      </c>
      <c r="AC98" s="224"/>
      <c r="AD98" s="224"/>
      <c r="AE98" s="232">
        <v>874</v>
      </c>
      <c r="AF98" s="232">
        <v>1189</v>
      </c>
      <c r="AG98" s="223"/>
      <c r="AH98" s="236">
        <v>168.4</v>
      </c>
      <c r="AI98" s="222">
        <v>61.3436395889062</v>
      </c>
      <c r="AJ98" s="237" t="s">
        <v>54</v>
      </c>
      <c r="AK98" s="238">
        <v>0.97370856490327296</v>
      </c>
      <c r="AL98" s="239">
        <v>-20.458151841632102</v>
      </c>
      <c r="AM98" s="224">
        <v>7.0000000000000001E-3</v>
      </c>
      <c r="AN98" s="224"/>
      <c r="AO98" s="232">
        <v>5</v>
      </c>
      <c r="AP98" s="232">
        <v>40</v>
      </c>
      <c r="AQ98" s="223"/>
      <c r="AR98" s="236">
        <v>23.6</v>
      </c>
      <c r="AS98" s="222">
        <v>8.5968521039084695</v>
      </c>
      <c r="AT98" s="237" t="s">
        <v>55</v>
      </c>
      <c r="AU98" s="229">
        <v>0.53730325649427901</v>
      </c>
      <c r="AV98" s="230">
        <v>-24.363975070890699</v>
      </c>
      <c r="AW98" s="224"/>
      <c r="AX98" s="224"/>
      <c r="AY98" s="232">
        <v>21</v>
      </c>
      <c r="AZ98" s="232">
        <v>30</v>
      </c>
      <c r="BA98" s="223"/>
      <c r="BB98" s="240">
        <v>103.4</v>
      </c>
      <c r="BC98" s="236">
        <v>37.665868963734603</v>
      </c>
      <c r="BD98" s="237" t="s">
        <v>56</v>
      </c>
      <c r="BE98" s="234">
        <v>1.1770584051167099</v>
      </c>
      <c r="BF98" s="235">
        <v>7.4720498582186101</v>
      </c>
      <c r="BG98" s="224">
        <v>0.02</v>
      </c>
      <c r="BH98" s="224">
        <v>1.7999999999999999E-2</v>
      </c>
      <c r="BI98" s="232">
        <v>0</v>
      </c>
      <c r="BJ98" s="232">
        <v>3</v>
      </c>
      <c r="BK98" s="225"/>
      <c r="BL98" s="241">
        <v>0.8</v>
      </c>
      <c r="BM98" s="244">
        <v>0.7</v>
      </c>
      <c r="BN98" s="242"/>
      <c r="BO98" s="243">
        <v>0.95</v>
      </c>
      <c r="BP98" s="234">
        <v>1</v>
      </c>
      <c r="BQ98" s="242">
        <v>2.5000000000000001E-3</v>
      </c>
    </row>
    <row r="99" spans="1:69" s="211" customFormat="1" ht="22.35" customHeight="1" x14ac:dyDescent="0.2">
      <c r="A99" s="221" t="s">
        <v>140</v>
      </c>
      <c r="B99" s="221" t="s">
        <v>141</v>
      </c>
      <c r="C99" s="221" t="s">
        <v>157</v>
      </c>
      <c r="D99" s="222">
        <v>3.756503602</v>
      </c>
      <c r="E99" s="223"/>
      <c r="F99" s="224">
        <v>4.1000000000000002E-2</v>
      </c>
      <c r="G99" s="224">
        <v>3.1E-2</v>
      </c>
      <c r="H99" s="225"/>
      <c r="I99" s="226">
        <v>5</v>
      </c>
      <c r="J99" s="226">
        <v>4</v>
      </c>
      <c r="K99" s="223"/>
      <c r="L99" s="227">
        <v>1727.7213099999999</v>
      </c>
      <c r="M99" s="227">
        <v>-41.596420000000002</v>
      </c>
      <c r="N99" s="227">
        <v>1686.1248900000001</v>
      </c>
      <c r="O99" s="222">
        <v>448.85485777314102</v>
      </c>
      <c r="P99" s="228">
        <v>261.89100000000002</v>
      </c>
      <c r="Q99" s="234">
        <v>1.7138995145810301</v>
      </c>
      <c r="R99" s="235">
        <v>611.82131256413095</v>
      </c>
      <c r="S99" s="224">
        <v>0.01</v>
      </c>
      <c r="T99" s="224">
        <v>0.01</v>
      </c>
      <c r="U99" s="231">
        <v>0</v>
      </c>
      <c r="V99" s="232">
        <v>0</v>
      </c>
      <c r="W99" s="223"/>
      <c r="X99" s="231">
        <v>2157.8723850000001</v>
      </c>
      <c r="Y99" s="222">
        <v>574.43639448425597</v>
      </c>
      <c r="Z99" s="233">
        <v>573</v>
      </c>
      <c r="AA99" s="238">
        <v>1.0025067966566401</v>
      </c>
      <c r="AB99" s="239">
        <v>-192.632022829032</v>
      </c>
      <c r="AC99" s="224">
        <v>0.01</v>
      </c>
      <c r="AD99" s="224">
        <v>1E-3</v>
      </c>
      <c r="AE99" s="232">
        <v>0</v>
      </c>
      <c r="AF99" s="232">
        <v>426</v>
      </c>
      <c r="AG99" s="223"/>
      <c r="AH99" s="236">
        <v>217.35</v>
      </c>
      <c r="AI99" s="222">
        <v>57.859654356322402</v>
      </c>
      <c r="AJ99" s="237" t="s">
        <v>54</v>
      </c>
      <c r="AK99" s="238">
        <v>0.91840721200511699</v>
      </c>
      <c r="AL99" s="239">
        <v>-41.082421803191998</v>
      </c>
      <c r="AM99" s="224">
        <v>1E-3</v>
      </c>
      <c r="AN99" s="224"/>
      <c r="AO99" s="232">
        <v>20</v>
      </c>
      <c r="AP99" s="232">
        <v>67</v>
      </c>
      <c r="AQ99" s="223"/>
      <c r="AR99" s="236">
        <v>24</v>
      </c>
      <c r="AS99" s="222">
        <v>6.3889197356877698</v>
      </c>
      <c r="AT99" s="237" t="s">
        <v>55</v>
      </c>
      <c r="AU99" s="229">
        <v>0.399307483480486</v>
      </c>
      <c r="AV99" s="230">
        <v>-41.633630934144001</v>
      </c>
      <c r="AW99" s="224"/>
      <c r="AX99" s="224"/>
      <c r="AY99" s="232">
        <v>37</v>
      </c>
      <c r="AZ99" s="232">
        <v>49</v>
      </c>
      <c r="BA99" s="223"/>
      <c r="BB99" s="240">
        <v>153</v>
      </c>
      <c r="BC99" s="236">
        <v>40.7293633150095</v>
      </c>
      <c r="BD99" s="237" t="s">
        <v>56</v>
      </c>
      <c r="BE99" s="234">
        <v>1.27279260359405</v>
      </c>
      <c r="BF99" s="235">
        <v>21.732738131712001</v>
      </c>
      <c r="BG99" s="224">
        <v>0.02</v>
      </c>
      <c r="BH99" s="224">
        <v>0.02</v>
      </c>
      <c r="BI99" s="232">
        <v>0</v>
      </c>
      <c r="BJ99" s="232">
        <v>0</v>
      </c>
      <c r="BK99" s="225"/>
      <c r="BL99" s="241">
        <v>0.8</v>
      </c>
      <c r="BM99" s="244">
        <v>0.71</v>
      </c>
      <c r="BN99" s="242"/>
      <c r="BO99" s="243">
        <v>0.95</v>
      </c>
      <c r="BP99" s="234">
        <v>1</v>
      </c>
      <c r="BQ99" s="242">
        <v>2.5000000000000001E-3</v>
      </c>
    </row>
    <row r="100" spans="1:69" s="211" customFormat="1" ht="22.35" customHeight="1" x14ac:dyDescent="0.2">
      <c r="A100" s="221" t="s">
        <v>140</v>
      </c>
      <c r="B100" s="221" t="s">
        <v>141</v>
      </c>
      <c r="C100" s="221" t="s">
        <v>158</v>
      </c>
      <c r="D100" s="222">
        <v>2.8448773448888902</v>
      </c>
      <c r="E100" s="223"/>
      <c r="F100" s="224">
        <v>0.01</v>
      </c>
      <c r="G100" s="224">
        <v>0.01</v>
      </c>
      <c r="H100" s="225"/>
      <c r="I100" s="226">
        <v>2</v>
      </c>
      <c r="J100" s="226">
        <v>2</v>
      </c>
      <c r="K100" s="223"/>
      <c r="L100" s="227">
        <v>1494.0301099999999</v>
      </c>
      <c r="M100" s="227">
        <v>-288.5992</v>
      </c>
      <c r="N100" s="227">
        <v>1205.43091</v>
      </c>
      <c r="O100" s="222">
        <v>423.71981771575503</v>
      </c>
      <c r="P100" s="228">
        <v>228.56200000000001</v>
      </c>
      <c r="Q100" s="234">
        <v>1.85385067384672</v>
      </c>
      <c r="R100" s="235">
        <v>495.37881557287602</v>
      </c>
      <c r="S100" s="224">
        <v>0.01</v>
      </c>
      <c r="T100" s="224">
        <v>0.01</v>
      </c>
      <c r="U100" s="231">
        <v>0</v>
      </c>
      <c r="V100" s="232">
        <v>0</v>
      </c>
      <c r="W100" s="223"/>
      <c r="X100" s="231">
        <v>952.47429499999998</v>
      </c>
      <c r="Y100" s="222">
        <v>334.803290100087</v>
      </c>
      <c r="Z100" s="233">
        <v>573</v>
      </c>
      <c r="AA100" s="229">
        <v>0.58429893560224599</v>
      </c>
      <c r="AB100" s="230">
        <v>-827.61097773449706</v>
      </c>
      <c r="AC100" s="224"/>
      <c r="AD100" s="224"/>
      <c r="AE100" s="232">
        <v>678</v>
      </c>
      <c r="AF100" s="232">
        <v>1004</v>
      </c>
      <c r="AG100" s="223"/>
      <c r="AH100" s="236">
        <v>105.3</v>
      </c>
      <c r="AI100" s="222">
        <v>37.013898047022003</v>
      </c>
      <c r="AJ100" s="237" t="s">
        <v>54</v>
      </c>
      <c r="AK100" s="229">
        <v>0.58752219122257099</v>
      </c>
      <c r="AL100" s="230">
        <v>-90.416181818976099</v>
      </c>
      <c r="AM100" s="224"/>
      <c r="AN100" s="224"/>
      <c r="AO100" s="232">
        <v>74</v>
      </c>
      <c r="AP100" s="232">
        <v>110</v>
      </c>
      <c r="AQ100" s="223"/>
      <c r="AR100" s="236">
        <v>1</v>
      </c>
      <c r="AS100" s="222">
        <v>0.35150900329555601</v>
      </c>
      <c r="AT100" s="237" t="s">
        <v>55</v>
      </c>
      <c r="AU100" s="229">
        <v>2.1969312705972199E-2</v>
      </c>
      <c r="AV100" s="230">
        <v>-48.705696969898703</v>
      </c>
      <c r="AW100" s="224"/>
      <c r="AX100" s="224"/>
      <c r="AY100" s="232">
        <v>45</v>
      </c>
      <c r="AZ100" s="232">
        <v>54</v>
      </c>
      <c r="BA100" s="223"/>
      <c r="BB100" s="240">
        <v>48.4</v>
      </c>
      <c r="BC100" s="236">
        <v>17.013035759504898</v>
      </c>
      <c r="BD100" s="237" t="s">
        <v>56</v>
      </c>
      <c r="BE100" s="229">
        <v>0.53165736748452797</v>
      </c>
      <c r="BF100" s="230">
        <v>-51.011393939797401</v>
      </c>
      <c r="BG100" s="224"/>
      <c r="BH100" s="224"/>
      <c r="BI100" s="232">
        <v>43</v>
      </c>
      <c r="BJ100" s="232">
        <v>61</v>
      </c>
      <c r="BK100" s="225"/>
      <c r="BL100" s="241">
        <v>0.8</v>
      </c>
      <c r="BM100" s="244">
        <v>0.75</v>
      </c>
      <c r="BN100" s="242"/>
      <c r="BO100" s="243">
        <v>0.95</v>
      </c>
      <c r="BP100" s="234">
        <v>1</v>
      </c>
      <c r="BQ100" s="242">
        <v>2.5000000000000001E-3</v>
      </c>
    </row>
    <row r="101" spans="1:69" s="211" customFormat="1" ht="22.35" customHeight="1" x14ac:dyDescent="0.2">
      <c r="A101" s="221" t="s">
        <v>140</v>
      </c>
      <c r="B101" s="221" t="s">
        <v>141</v>
      </c>
      <c r="C101" s="221" t="s">
        <v>159</v>
      </c>
      <c r="D101" s="222">
        <v>2.4566604814444402</v>
      </c>
      <c r="E101" s="223"/>
      <c r="F101" s="224">
        <v>0.01</v>
      </c>
      <c r="G101" s="224">
        <v>0.01</v>
      </c>
      <c r="H101" s="225"/>
      <c r="I101" s="226">
        <v>2</v>
      </c>
      <c r="J101" s="226">
        <v>2</v>
      </c>
      <c r="K101" s="223"/>
      <c r="L101" s="227">
        <v>1398.3889799999999</v>
      </c>
      <c r="M101" s="227">
        <v>249.85265000000001</v>
      </c>
      <c r="N101" s="227">
        <v>1648.24163</v>
      </c>
      <c r="O101" s="222">
        <v>670.92772584955696</v>
      </c>
      <c r="P101" s="228">
        <v>287.5</v>
      </c>
      <c r="Q101" s="234">
        <v>2.33366165512889</v>
      </c>
      <c r="R101" s="235">
        <v>876.97307185051795</v>
      </c>
      <c r="S101" s="224">
        <v>0.01</v>
      </c>
      <c r="T101" s="224">
        <v>0.01</v>
      </c>
      <c r="U101" s="231">
        <v>0</v>
      </c>
      <c r="V101" s="232">
        <v>0</v>
      </c>
      <c r="W101" s="223"/>
      <c r="X101" s="231">
        <v>739.85117500000001</v>
      </c>
      <c r="Y101" s="222">
        <v>301.16134508134797</v>
      </c>
      <c r="Z101" s="233">
        <v>573</v>
      </c>
      <c r="AA101" s="229">
        <v>0.525586989670764</v>
      </c>
      <c r="AB101" s="230">
        <v>-797.32059480748899</v>
      </c>
      <c r="AC101" s="224"/>
      <c r="AD101" s="224"/>
      <c r="AE101" s="232">
        <v>668</v>
      </c>
      <c r="AF101" s="232">
        <v>950</v>
      </c>
      <c r="AG101" s="223"/>
      <c r="AH101" s="236">
        <v>87.3</v>
      </c>
      <c r="AI101" s="222">
        <v>35.536046050885403</v>
      </c>
      <c r="AJ101" s="237" t="s">
        <v>54</v>
      </c>
      <c r="AK101" s="229">
        <v>0.56406422302992598</v>
      </c>
      <c r="AL101" s="230">
        <v>-81.708414481451697</v>
      </c>
      <c r="AM101" s="224"/>
      <c r="AN101" s="224"/>
      <c r="AO101" s="232">
        <v>68</v>
      </c>
      <c r="AP101" s="232">
        <v>99</v>
      </c>
      <c r="AQ101" s="223"/>
      <c r="AR101" s="236">
        <v>1.5</v>
      </c>
      <c r="AS101" s="222">
        <v>0.61058498369218805</v>
      </c>
      <c r="AT101" s="237" t="s">
        <v>55</v>
      </c>
      <c r="AU101" s="229">
        <v>3.8161561480761802E-2</v>
      </c>
      <c r="AV101" s="230">
        <v>-41.4227719317973</v>
      </c>
      <c r="AW101" s="224"/>
      <c r="AX101" s="224"/>
      <c r="AY101" s="232">
        <v>38</v>
      </c>
      <c r="AZ101" s="232">
        <v>46</v>
      </c>
      <c r="BA101" s="223"/>
      <c r="BB101" s="240">
        <v>68.400000000000006</v>
      </c>
      <c r="BC101" s="236">
        <v>27.842675256363801</v>
      </c>
      <c r="BD101" s="237" t="s">
        <v>56</v>
      </c>
      <c r="BE101" s="244">
        <v>0.87008360176136901</v>
      </c>
      <c r="BF101" s="227">
        <v>-17.445543863594501</v>
      </c>
      <c r="BG101" s="224"/>
      <c r="BH101" s="224"/>
      <c r="BI101" s="232">
        <v>11</v>
      </c>
      <c r="BJ101" s="232">
        <v>26</v>
      </c>
      <c r="BK101" s="225"/>
      <c r="BL101" s="241">
        <v>0.8</v>
      </c>
      <c r="BM101" s="244">
        <v>0.77</v>
      </c>
      <c r="BN101" s="242"/>
      <c r="BO101" s="243">
        <v>0.95</v>
      </c>
      <c r="BP101" s="234">
        <v>1</v>
      </c>
      <c r="BQ101" s="242">
        <v>2.5000000000000001E-3</v>
      </c>
    </row>
    <row r="102" spans="1:69" s="211" customFormat="1" ht="22.35" customHeight="1" x14ac:dyDescent="0.2">
      <c r="A102" s="221" t="s">
        <v>140</v>
      </c>
      <c r="B102" s="221" t="s">
        <v>160</v>
      </c>
      <c r="C102" s="221" t="s">
        <v>161</v>
      </c>
      <c r="D102" s="222">
        <v>3.9968760643333301</v>
      </c>
      <c r="E102" s="223"/>
      <c r="F102" s="224">
        <v>0.01</v>
      </c>
      <c r="G102" s="224">
        <v>0.01</v>
      </c>
      <c r="H102" s="225"/>
      <c r="I102" s="226">
        <v>2</v>
      </c>
      <c r="J102" s="226">
        <v>2</v>
      </c>
      <c r="K102" s="223"/>
      <c r="L102" s="227">
        <v>6038.06945</v>
      </c>
      <c r="M102" s="227">
        <v>-316.69952999999998</v>
      </c>
      <c r="N102" s="227">
        <v>5721.3699200000001</v>
      </c>
      <c r="O102" s="222">
        <v>1431.46042757128</v>
      </c>
      <c r="P102" s="228">
        <v>274.60399999999998</v>
      </c>
      <c r="Q102" s="234">
        <v>5.2128171023411198</v>
      </c>
      <c r="R102" s="235">
        <v>4522.8364149909503</v>
      </c>
      <c r="S102" s="224">
        <v>0.01</v>
      </c>
      <c r="T102" s="224">
        <v>0.01</v>
      </c>
      <c r="U102" s="231">
        <v>0</v>
      </c>
      <c r="V102" s="232">
        <v>0</v>
      </c>
      <c r="W102" s="223"/>
      <c r="X102" s="231">
        <v>1695.8392449999999</v>
      </c>
      <c r="Y102" s="222">
        <v>424.29117583431002</v>
      </c>
      <c r="Z102" s="233">
        <v>573</v>
      </c>
      <c r="AA102" s="244">
        <v>0.74047325625534</v>
      </c>
      <c r="AB102" s="227">
        <v>-805.07005847039397</v>
      </c>
      <c r="AC102" s="224"/>
      <c r="AD102" s="224"/>
      <c r="AE102" s="232">
        <v>595</v>
      </c>
      <c r="AF102" s="232">
        <v>1053</v>
      </c>
      <c r="AG102" s="223"/>
      <c r="AH102" s="236">
        <v>128.30000000000001</v>
      </c>
      <c r="AI102" s="222">
        <v>32.100069638111201</v>
      </c>
      <c r="AJ102" s="237" t="s">
        <v>54</v>
      </c>
      <c r="AK102" s="229">
        <v>0.50952491489065499</v>
      </c>
      <c r="AL102" s="230">
        <v>-146.669085721876</v>
      </c>
      <c r="AM102" s="224"/>
      <c r="AN102" s="224"/>
      <c r="AO102" s="232">
        <v>124</v>
      </c>
      <c r="AP102" s="232">
        <v>174</v>
      </c>
      <c r="AQ102" s="223"/>
      <c r="AR102" s="236">
        <v>8</v>
      </c>
      <c r="AS102" s="222">
        <v>2.0015631886585301</v>
      </c>
      <c r="AT102" s="237" t="s">
        <v>55</v>
      </c>
      <c r="AU102" s="229">
        <v>0.12509769929115799</v>
      </c>
      <c r="AV102" s="230">
        <v>-61.833418596031997</v>
      </c>
      <c r="AW102" s="224"/>
      <c r="AX102" s="224"/>
      <c r="AY102" s="232">
        <v>56</v>
      </c>
      <c r="AZ102" s="232">
        <v>69</v>
      </c>
      <c r="BA102" s="223"/>
      <c r="BB102" s="240">
        <v>95.2</v>
      </c>
      <c r="BC102" s="236">
        <v>23.818601945036502</v>
      </c>
      <c r="BD102" s="237" t="s">
        <v>56</v>
      </c>
      <c r="BE102" s="244">
        <v>0.74433131078239201</v>
      </c>
      <c r="BF102" s="227">
        <v>-44.466837192063899</v>
      </c>
      <c r="BG102" s="224"/>
      <c r="BH102" s="224"/>
      <c r="BI102" s="232">
        <v>33</v>
      </c>
      <c r="BJ102" s="232">
        <v>59</v>
      </c>
      <c r="BK102" s="225"/>
      <c r="BL102" s="241">
        <v>0.8</v>
      </c>
      <c r="BM102" s="244">
        <v>0.71</v>
      </c>
      <c r="BN102" s="242"/>
      <c r="BO102" s="243">
        <v>0.95</v>
      </c>
      <c r="BP102" s="234">
        <v>1</v>
      </c>
      <c r="BQ102" s="242">
        <v>2.5000000000000001E-3</v>
      </c>
    </row>
    <row r="103" spans="1:69" s="211" customFormat="1" ht="22.35" customHeight="1" x14ac:dyDescent="0.2">
      <c r="A103" s="221" t="s">
        <v>140</v>
      </c>
      <c r="B103" s="221" t="s">
        <v>160</v>
      </c>
      <c r="C103" s="221" t="s">
        <v>162</v>
      </c>
      <c r="D103" s="222">
        <v>3.1170158208888901</v>
      </c>
      <c r="E103" s="223"/>
      <c r="F103" s="224">
        <v>2.1000000000000001E-2</v>
      </c>
      <c r="G103" s="224">
        <v>1.0999999999999999E-2</v>
      </c>
      <c r="H103" s="225"/>
      <c r="I103" s="226">
        <v>3</v>
      </c>
      <c r="J103" s="226">
        <v>3</v>
      </c>
      <c r="K103" s="223"/>
      <c r="L103" s="227">
        <v>3009.7157299999999</v>
      </c>
      <c r="M103" s="227">
        <v>1432.84348</v>
      </c>
      <c r="N103" s="227">
        <v>4442.5592100000003</v>
      </c>
      <c r="O103" s="222">
        <v>1425.2603981756799</v>
      </c>
      <c r="P103" s="228">
        <v>254.25200000000001</v>
      </c>
      <c r="Q103" s="234">
        <v>5.6056998496597101</v>
      </c>
      <c r="R103" s="235">
        <v>3577.14101291003</v>
      </c>
      <c r="S103" s="224">
        <v>0.01</v>
      </c>
      <c r="T103" s="224">
        <v>0.01</v>
      </c>
      <c r="U103" s="231">
        <v>0</v>
      </c>
      <c r="V103" s="232">
        <v>0</v>
      </c>
      <c r="W103" s="223"/>
      <c r="X103" s="231">
        <v>1353.471035</v>
      </c>
      <c r="Y103" s="222">
        <v>434.22013642973002</v>
      </c>
      <c r="Z103" s="233">
        <v>573</v>
      </c>
      <c r="AA103" s="244">
        <v>0.75780128521767898</v>
      </c>
      <c r="AB103" s="227">
        <v>-596.89563638331299</v>
      </c>
      <c r="AC103" s="224"/>
      <c r="AD103" s="224"/>
      <c r="AE103" s="232">
        <v>433</v>
      </c>
      <c r="AF103" s="232">
        <v>790</v>
      </c>
      <c r="AG103" s="223"/>
      <c r="AH103" s="236">
        <v>98.8</v>
      </c>
      <c r="AI103" s="222">
        <v>31.696983806718301</v>
      </c>
      <c r="AJ103" s="237" t="s">
        <v>54</v>
      </c>
      <c r="AK103" s="229">
        <v>0.503126727090767</v>
      </c>
      <c r="AL103" s="230">
        <v>-115.63822041387201</v>
      </c>
      <c r="AM103" s="224"/>
      <c r="AN103" s="224"/>
      <c r="AO103" s="232">
        <v>98</v>
      </c>
      <c r="AP103" s="232">
        <v>137</v>
      </c>
      <c r="AQ103" s="223"/>
      <c r="AR103" s="236">
        <v>31.4</v>
      </c>
      <c r="AS103" s="222">
        <v>10.073737768531901</v>
      </c>
      <c r="AT103" s="237" t="s">
        <v>55</v>
      </c>
      <c r="AU103" s="229">
        <v>0.62960861053324602</v>
      </c>
      <c r="AV103" s="230">
        <v>-23.060500422570701</v>
      </c>
      <c r="AW103" s="224"/>
      <c r="AX103" s="224"/>
      <c r="AY103" s="232">
        <v>19</v>
      </c>
      <c r="AZ103" s="232">
        <v>29</v>
      </c>
      <c r="BA103" s="223"/>
      <c r="BB103" s="240">
        <v>100.8</v>
      </c>
      <c r="BC103" s="236">
        <v>32.338623155032501</v>
      </c>
      <c r="BD103" s="237" t="s">
        <v>56</v>
      </c>
      <c r="BE103" s="238">
        <v>1.0105819735947701</v>
      </c>
      <c r="BF103" s="239">
        <v>-8.1210008451413795</v>
      </c>
      <c r="BG103" s="224">
        <v>1.0999999999999999E-2</v>
      </c>
      <c r="BH103" s="224">
        <v>1E-3</v>
      </c>
      <c r="BI103" s="232">
        <v>0</v>
      </c>
      <c r="BJ103" s="232">
        <v>19</v>
      </c>
      <c r="BK103" s="225"/>
      <c r="BL103" s="241">
        <v>0.8</v>
      </c>
      <c r="BM103" s="244">
        <v>0.74</v>
      </c>
      <c r="BN103" s="242"/>
      <c r="BO103" s="243">
        <v>0.95</v>
      </c>
      <c r="BP103" s="234">
        <v>1</v>
      </c>
      <c r="BQ103" s="242">
        <v>2.5000000000000001E-3</v>
      </c>
    </row>
    <row r="104" spans="1:69" s="211" customFormat="1" ht="22.35" customHeight="1" x14ac:dyDescent="0.2">
      <c r="A104" s="221" t="s">
        <v>140</v>
      </c>
      <c r="B104" s="221" t="s">
        <v>160</v>
      </c>
      <c r="C104" s="221" t="s">
        <v>163</v>
      </c>
      <c r="D104" s="222">
        <v>3.5189073529999999</v>
      </c>
      <c r="E104" s="223"/>
      <c r="F104" s="224">
        <v>4.9000000000000002E-2</v>
      </c>
      <c r="G104" s="224">
        <v>3.3000000000000002E-2</v>
      </c>
      <c r="H104" s="225"/>
      <c r="I104" s="226">
        <v>5</v>
      </c>
      <c r="J104" s="226">
        <v>4</v>
      </c>
      <c r="K104" s="223"/>
      <c r="L104" s="227">
        <v>1311.7811899999999</v>
      </c>
      <c r="M104" s="227">
        <v>1254.7655199999999</v>
      </c>
      <c r="N104" s="227">
        <v>2566.5467100000001</v>
      </c>
      <c r="O104" s="222">
        <v>729.35898917938903</v>
      </c>
      <c r="P104" s="228">
        <v>274.60399999999998</v>
      </c>
      <c r="Q104" s="234">
        <v>2.6560392025585502</v>
      </c>
      <c r="R104" s="235">
        <v>1511.34052003857</v>
      </c>
      <c r="S104" s="224">
        <v>0.01</v>
      </c>
      <c r="T104" s="224">
        <v>0.01</v>
      </c>
      <c r="U104" s="231">
        <v>0</v>
      </c>
      <c r="V104" s="232">
        <v>0</v>
      </c>
      <c r="W104" s="223"/>
      <c r="X104" s="231">
        <v>2334.2631550000001</v>
      </c>
      <c r="Y104" s="222">
        <v>663.34885259481302</v>
      </c>
      <c r="Z104" s="233">
        <v>573</v>
      </c>
      <c r="AA104" s="234">
        <v>1.1576768806192199</v>
      </c>
      <c r="AB104" s="235">
        <v>132.42652171025199</v>
      </c>
      <c r="AC104" s="224">
        <v>0.02</v>
      </c>
      <c r="AD104" s="224">
        <v>1.6E-2</v>
      </c>
      <c r="AE104" s="232">
        <v>0</v>
      </c>
      <c r="AF104" s="232">
        <v>86</v>
      </c>
      <c r="AG104" s="223"/>
      <c r="AH104" s="236">
        <v>206.4</v>
      </c>
      <c r="AI104" s="222">
        <v>58.654570664963998</v>
      </c>
      <c r="AJ104" s="237" t="s">
        <v>54</v>
      </c>
      <c r="AK104" s="238">
        <v>0.93102493118990504</v>
      </c>
      <c r="AL104" s="239">
        <v>-35.686750256987999</v>
      </c>
      <c r="AM104" s="224">
        <v>2E-3</v>
      </c>
      <c r="AN104" s="224"/>
      <c r="AO104" s="232">
        <v>16</v>
      </c>
      <c r="AP104" s="232">
        <v>60</v>
      </c>
      <c r="AQ104" s="223"/>
      <c r="AR104" s="236">
        <v>23.5</v>
      </c>
      <c r="AS104" s="222">
        <v>6.6782093538113099</v>
      </c>
      <c r="AT104" s="237" t="s">
        <v>55</v>
      </c>
      <c r="AU104" s="229">
        <v>0.41738808461320698</v>
      </c>
      <c r="AV104" s="230">
        <v>-37.982349271616002</v>
      </c>
      <c r="AW104" s="224"/>
      <c r="AX104" s="224"/>
      <c r="AY104" s="232">
        <v>33</v>
      </c>
      <c r="AZ104" s="232">
        <v>45</v>
      </c>
      <c r="BA104" s="223"/>
      <c r="BB104" s="240">
        <v>120.4</v>
      </c>
      <c r="BC104" s="236">
        <v>34.215166221228998</v>
      </c>
      <c r="BD104" s="237" t="s">
        <v>56</v>
      </c>
      <c r="BE104" s="238">
        <v>1.06922394441341</v>
      </c>
      <c r="BF104" s="239">
        <v>-2.56469854323201</v>
      </c>
      <c r="BG104" s="224">
        <v>1.7000000000000001E-2</v>
      </c>
      <c r="BH104" s="224">
        <v>7.0000000000000001E-3</v>
      </c>
      <c r="BI104" s="232">
        <v>0</v>
      </c>
      <c r="BJ104" s="232">
        <v>15</v>
      </c>
      <c r="BK104" s="225"/>
      <c r="BL104" s="241">
        <v>0.8</v>
      </c>
      <c r="BM104" s="229">
        <v>0.68</v>
      </c>
      <c r="BN104" s="242"/>
      <c r="BO104" s="243">
        <v>0.95</v>
      </c>
      <c r="BP104" s="234">
        <v>1</v>
      </c>
      <c r="BQ104" s="242">
        <v>2.5000000000000001E-3</v>
      </c>
    </row>
    <row r="105" spans="1:69" s="211" customFormat="1" ht="22.35" customHeight="1" x14ac:dyDescent="0.2">
      <c r="A105" s="221" t="s">
        <v>140</v>
      </c>
      <c r="B105" s="221" t="s">
        <v>160</v>
      </c>
      <c r="C105" s="221" t="s">
        <v>164</v>
      </c>
      <c r="D105" s="222">
        <v>3.27682426844444</v>
      </c>
      <c r="E105" s="223"/>
      <c r="F105" s="224">
        <v>2.8000000000000001E-2</v>
      </c>
      <c r="G105" s="224">
        <v>1.2999999999999999E-2</v>
      </c>
      <c r="H105" s="225"/>
      <c r="I105" s="226">
        <v>4</v>
      </c>
      <c r="J105" s="226">
        <v>3</v>
      </c>
      <c r="K105" s="223"/>
      <c r="L105" s="227">
        <v>2728.6725000000001</v>
      </c>
      <c r="M105" s="227">
        <v>2504.6582899999999</v>
      </c>
      <c r="N105" s="227">
        <v>5233.33079</v>
      </c>
      <c r="O105" s="222">
        <v>1597.07398422203</v>
      </c>
      <c r="P105" s="228">
        <v>246.58500000000001</v>
      </c>
      <c r="Q105" s="234">
        <v>6.4767685959082302</v>
      </c>
      <c r="R105" s="235">
        <v>4350.9776322400703</v>
      </c>
      <c r="S105" s="224">
        <v>0.01</v>
      </c>
      <c r="T105" s="224">
        <v>0.01</v>
      </c>
      <c r="U105" s="231">
        <v>0</v>
      </c>
      <c r="V105" s="232">
        <v>0</v>
      </c>
      <c r="W105" s="223"/>
      <c r="X105" s="231">
        <v>1801.66002</v>
      </c>
      <c r="Y105" s="222">
        <v>549.81893211358397</v>
      </c>
      <c r="Z105" s="233">
        <v>573</v>
      </c>
      <c r="AA105" s="238">
        <v>0.95954438414237997</v>
      </c>
      <c r="AB105" s="239">
        <v>-248.701353953981</v>
      </c>
      <c r="AC105" s="224">
        <v>5.0000000000000001E-3</v>
      </c>
      <c r="AD105" s="224"/>
      <c r="AE105" s="232">
        <v>76</v>
      </c>
      <c r="AF105" s="232">
        <v>452</v>
      </c>
      <c r="AG105" s="223"/>
      <c r="AH105" s="236">
        <v>122.8</v>
      </c>
      <c r="AI105" s="222">
        <v>37.475308390063603</v>
      </c>
      <c r="AJ105" s="237" t="s">
        <v>54</v>
      </c>
      <c r="AK105" s="229">
        <v>0.59484616492164399</v>
      </c>
      <c r="AL105" s="230">
        <v>-102.63240237190401</v>
      </c>
      <c r="AM105" s="224"/>
      <c r="AN105" s="224"/>
      <c r="AO105" s="232">
        <v>84</v>
      </c>
      <c r="AP105" s="232">
        <v>125</v>
      </c>
      <c r="AQ105" s="223"/>
      <c r="AR105" s="236">
        <v>12.8</v>
      </c>
      <c r="AS105" s="222">
        <v>3.9062210699740501</v>
      </c>
      <c r="AT105" s="237" t="s">
        <v>55</v>
      </c>
      <c r="AU105" s="229">
        <v>0.24413881687337799</v>
      </c>
      <c r="AV105" s="230">
        <v>-44.452673618261301</v>
      </c>
      <c r="AW105" s="224"/>
      <c r="AX105" s="224"/>
      <c r="AY105" s="232">
        <v>40</v>
      </c>
      <c r="AZ105" s="232">
        <v>51</v>
      </c>
      <c r="BA105" s="223"/>
      <c r="BB105" s="240">
        <v>108</v>
      </c>
      <c r="BC105" s="236">
        <v>32.958740277906102</v>
      </c>
      <c r="BD105" s="237" t="s">
        <v>56</v>
      </c>
      <c r="BE105" s="238">
        <v>1.0299606336845599</v>
      </c>
      <c r="BF105" s="239">
        <v>-6.5053472365225202</v>
      </c>
      <c r="BG105" s="224">
        <v>1.2999999999999999E-2</v>
      </c>
      <c r="BH105" s="224">
        <v>3.0000000000000001E-3</v>
      </c>
      <c r="BI105" s="232">
        <v>0</v>
      </c>
      <c r="BJ105" s="232">
        <v>18</v>
      </c>
      <c r="BK105" s="225"/>
      <c r="BL105" s="241">
        <v>0.8</v>
      </c>
      <c r="BM105" s="244">
        <v>0.75</v>
      </c>
      <c r="BN105" s="242"/>
      <c r="BO105" s="243">
        <v>0.95</v>
      </c>
      <c r="BP105" s="234">
        <v>1</v>
      </c>
      <c r="BQ105" s="242">
        <v>2.5000000000000001E-3</v>
      </c>
    </row>
    <row r="106" spans="1:69" s="211" customFormat="1" ht="22.35" customHeight="1" x14ac:dyDescent="0.2">
      <c r="A106" s="221" t="s">
        <v>140</v>
      </c>
      <c r="B106" s="221" t="s">
        <v>160</v>
      </c>
      <c r="C106" s="221" t="s">
        <v>165</v>
      </c>
      <c r="D106" s="222">
        <v>2.5224867724444402</v>
      </c>
      <c r="E106" s="223"/>
      <c r="F106" s="224">
        <v>0.01</v>
      </c>
      <c r="G106" s="224">
        <v>0.01</v>
      </c>
      <c r="H106" s="225"/>
      <c r="I106" s="226">
        <v>2</v>
      </c>
      <c r="J106" s="226">
        <v>2</v>
      </c>
      <c r="K106" s="223"/>
      <c r="L106" s="227">
        <v>1082.65724</v>
      </c>
      <c r="M106" s="227">
        <v>350.47545000000002</v>
      </c>
      <c r="N106" s="227">
        <v>1433.1326899999999</v>
      </c>
      <c r="O106" s="222">
        <v>568.14279688420595</v>
      </c>
      <c r="P106" s="228">
        <v>260.82400000000001</v>
      </c>
      <c r="Q106" s="234">
        <v>2.1782611910108201</v>
      </c>
      <c r="R106" s="235">
        <v>714.67849178983499</v>
      </c>
      <c r="S106" s="224">
        <v>0.01</v>
      </c>
      <c r="T106" s="224">
        <v>0.01</v>
      </c>
      <c r="U106" s="231">
        <v>0</v>
      </c>
      <c r="V106" s="232">
        <v>0</v>
      </c>
      <c r="W106" s="223"/>
      <c r="X106" s="231">
        <v>1230.9014299999999</v>
      </c>
      <c r="Y106" s="222">
        <v>487.97141116707701</v>
      </c>
      <c r="Z106" s="233">
        <v>573</v>
      </c>
      <c r="AA106" s="244">
        <v>0.85160804741200102</v>
      </c>
      <c r="AB106" s="227">
        <v>-347.458903306845</v>
      </c>
      <c r="AC106" s="224"/>
      <c r="AD106" s="224"/>
      <c r="AE106" s="232">
        <v>215</v>
      </c>
      <c r="AF106" s="232">
        <v>504</v>
      </c>
      <c r="AG106" s="223"/>
      <c r="AH106" s="236">
        <v>105.7</v>
      </c>
      <c r="AI106" s="222">
        <v>41.903093865412103</v>
      </c>
      <c r="AJ106" s="237" t="s">
        <v>54</v>
      </c>
      <c r="AK106" s="229">
        <v>0.66512847405415998</v>
      </c>
      <c r="AL106" s="230">
        <v>-67.836999997087702</v>
      </c>
      <c r="AM106" s="224"/>
      <c r="AN106" s="224"/>
      <c r="AO106" s="232">
        <v>54</v>
      </c>
      <c r="AP106" s="232">
        <v>85</v>
      </c>
      <c r="AQ106" s="223"/>
      <c r="AR106" s="236">
        <v>3</v>
      </c>
      <c r="AS106" s="222">
        <v>1.1893025695008199</v>
      </c>
      <c r="AT106" s="237" t="s">
        <v>55</v>
      </c>
      <c r="AU106" s="229">
        <v>7.4331410593801203E-2</v>
      </c>
      <c r="AV106" s="230">
        <v>-41.072888888149301</v>
      </c>
      <c r="AW106" s="224"/>
      <c r="AX106" s="224"/>
      <c r="AY106" s="232">
        <v>38</v>
      </c>
      <c r="AZ106" s="232">
        <v>46</v>
      </c>
      <c r="BA106" s="223"/>
      <c r="BB106" s="240">
        <v>36.6</v>
      </c>
      <c r="BC106" s="236">
        <v>14.50949134791</v>
      </c>
      <c r="BD106" s="237" t="s">
        <v>56</v>
      </c>
      <c r="BE106" s="229">
        <v>0.453421604622186</v>
      </c>
      <c r="BF106" s="230">
        <v>-51.5457777762985</v>
      </c>
      <c r="BG106" s="224"/>
      <c r="BH106" s="224"/>
      <c r="BI106" s="232">
        <v>45</v>
      </c>
      <c r="BJ106" s="232">
        <v>61</v>
      </c>
      <c r="BK106" s="225"/>
      <c r="BL106" s="241">
        <v>0.8</v>
      </c>
      <c r="BM106" s="244">
        <v>0.77</v>
      </c>
      <c r="BN106" s="242"/>
      <c r="BO106" s="243">
        <v>0.95</v>
      </c>
      <c r="BP106" s="234">
        <v>1</v>
      </c>
      <c r="BQ106" s="242">
        <v>2.5000000000000001E-3</v>
      </c>
    </row>
    <row r="107" spans="1:69" s="211" customFormat="1" ht="22.35" customHeight="1" x14ac:dyDescent="0.2">
      <c r="A107" s="221" t="s">
        <v>140</v>
      </c>
      <c r="B107" s="221" t="s">
        <v>160</v>
      </c>
      <c r="C107" s="221" t="s">
        <v>166</v>
      </c>
      <c r="D107" s="222">
        <v>5.5385385716666704</v>
      </c>
      <c r="E107" s="223"/>
      <c r="F107" s="224">
        <v>2.3E-2</v>
      </c>
      <c r="G107" s="224">
        <v>1.2E-2</v>
      </c>
      <c r="H107" s="225"/>
      <c r="I107" s="226">
        <v>3</v>
      </c>
      <c r="J107" s="226">
        <v>3</v>
      </c>
      <c r="K107" s="223"/>
      <c r="L107" s="227">
        <v>4064.3967200000002</v>
      </c>
      <c r="M107" s="227">
        <v>-1981.9354599999999</v>
      </c>
      <c r="N107" s="227">
        <v>2082.46126</v>
      </c>
      <c r="O107" s="222">
        <v>375.99472009695501</v>
      </c>
      <c r="P107" s="228">
        <v>236.32499999999999</v>
      </c>
      <c r="Q107" s="234">
        <v>1.5910069611634601</v>
      </c>
      <c r="R107" s="235">
        <v>653.14778027955504</v>
      </c>
      <c r="S107" s="224">
        <v>0.01</v>
      </c>
      <c r="T107" s="224">
        <v>0.01</v>
      </c>
      <c r="U107" s="231">
        <v>0</v>
      </c>
      <c r="V107" s="232">
        <v>0</v>
      </c>
      <c r="W107" s="223"/>
      <c r="X107" s="231">
        <v>2047.1364799999999</v>
      </c>
      <c r="Y107" s="222">
        <v>369.61672352928503</v>
      </c>
      <c r="Z107" s="233">
        <v>573</v>
      </c>
      <c r="AA107" s="229">
        <v>0.64505536392545404</v>
      </c>
      <c r="AB107" s="230">
        <v>-1418.4157209089799</v>
      </c>
      <c r="AC107" s="224"/>
      <c r="AD107" s="224"/>
      <c r="AE107" s="232">
        <v>1127</v>
      </c>
      <c r="AF107" s="232">
        <v>1762</v>
      </c>
      <c r="AG107" s="223"/>
      <c r="AH107" s="236">
        <v>203</v>
      </c>
      <c r="AI107" s="222">
        <v>36.652267989696902</v>
      </c>
      <c r="AJ107" s="237" t="s">
        <v>54</v>
      </c>
      <c r="AK107" s="229">
        <v>0.58178203158249098</v>
      </c>
      <c r="AL107" s="230">
        <v>-178.02929957638</v>
      </c>
      <c r="AM107" s="224"/>
      <c r="AN107" s="224"/>
      <c r="AO107" s="232">
        <v>146</v>
      </c>
      <c r="AP107" s="232">
        <v>216</v>
      </c>
      <c r="AQ107" s="223"/>
      <c r="AR107" s="236">
        <v>36.6</v>
      </c>
      <c r="AS107" s="222">
        <v>6.6082414208025</v>
      </c>
      <c r="AT107" s="237" t="s">
        <v>55</v>
      </c>
      <c r="AU107" s="229">
        <v>0.41301508880015603</v>
      </c>
      <c r="AV107" s="230">
        <v>-60.169345924160098</v>
      </c>
      <c r="AW107" s="224"/>
      <c r="AX107" s="224"/>
      <c r="AY107" s="232">
        <v>53</v>
      </c>
      <c r="AZ107" s="232">
        <v>70</v>
      </c>
      <c r="BA107" s="223"/>
      <c r="BB107" s="240">
        <v>181.6</v>
      </c>
      <c r="BC107" s="236">
        <v>32.788432842014601</v>
      </c>
      <c r="BD107" s="237" t="s">
        <v>56</v>
      </c>
      <c r="BE107" s="238">
        <v>1.02463852631296</v>
      </c>
      <c r="BF107" s="239">
        <v>-11.938691848320101</v>
      </c>
      <c r="BG107" s="224">
        <v>1.2999999999999999E-2</v>
      </c>
      <c r="BH107" s="224">
        <v>2E-3</v>
      </c>
      <c r="BI107" s="232">
        <v>0</v>
      </c>
      <c r="BJ107" s="232">
        <v>32</v>
      </c>
      <c r="BK107" s="225"/>
      <c r="BL107" s="241">
        <v>0.8</v>
      </c>
      <c r="BM107" s="244">
        <v>0.71</v>
      </c>
      <c r="BN107" s="242"/>
      <c r="BO107" s="243">
        <v>0.95</v>
      </c>
      <c r="BP107" s="234">
        <v>1</v>
      </c>
      <c r="BQ107" s="242">
        <v>2.5000000000000001E-3</v>
      </c>
    </row>
    <row r="108" spans="1:69" s="211" customFormat="1" ht="22.35" customHeight="1" x14ac:dyDescent="0.2">
      <c r="A108" s="221" t="s">
        <v>140</v>
      </c>
      <c r="B108" s="221" t="s">
        <v>160</v>
      </c>
      <c r="C108" s="221" t="s">
        <v>167</v>
      </c>
      <c r="D108" s="222">
        <v>4.7470153233333301</v>
      </c>
      <c r="E108" s="223"/>
      <c r="F108" s="224">
        <v>0.02</v>
      </c>
      <c r="G108" s="224">
        <v>1.4999999999999999E-2</v>
      </c>
      <c r="H108" s="225"/>
      <c r="I108" s="226">
        <v>2</v>
      </c>
      <c r="J108" s="226">
        <v>2</v>
      </c>
      <c r="K108" s="223"/>
      <c r="L108" s="227">
        <v>2972.81342</v>
      </c>
      <c r="M108" s="227">
        <v>-2491.7579099999998</v>
      </c>
      <c r="N108" s="227">
        <v>481.05551000000003</v>
      </c>
      <c r="O108" s="222">
        <v>101.338520572166</v>
      </c>
      <c r="P108" s="228">
        <v>287.5</v>
      </c>
      <c r="Q108" s="229">
        <v>0.35248181068579298</v>
      </c>
      <c r="R108" s="230">
        <v>-1009.2699507605</v>
      </c>
      <c r="S108" s="224"/>
      <c r="T108" s="224"/>
      <c r="U108" s="231">
        <v>884</v>
      </c>
      <c r="V108" s="232">
        <v>1157</v>
      </c>
      <c r="W108" s="223"/>
      <c r="X108" s="231">
        <v>1982.4209900000001</v>
      </c>
      <c r="Y108" s="222">
        <v>417.614196494304</v>
      </c>
      <c r="Z108" s="233">
        <v>573</v>
      </c>
      <c r="AA108" s="244">
        <v>0.72882058725009502</v>
      </c>
      <c r="AB108" s="227">
        <v>-987.86245005483795</v>
      </c>
      <c r="AC108" s="224"/>
      <c r="AD108" s="224"/>
      <c r="AE108" s="232">
        <v>738</v>
      </c>
      <c r="AF108" s="232">
        <v>1282</v>
      </c>
      <c r="AG108" s="223"/>
      <c r="AH108" s="236">
        <v>205.3</v>
      </c>
      <c r="AI108" s="222">
        <v>43.248227784493302</v>
      </c>
      <c r="AJ108" s="237" t="s">
        <v>54</v>
      </c>
      <c r="AK108" s="229">
        <v>0.68647980610306802</v>
      </c>
      <c r="AL108" s="230">
        <v>-121.27566618404001</v>
      </c>
      <c r="AM108" s="224"/>
      <c r="AN108" s="224"/>
      <c r="AO108" s="232">
        <v>94</v>
      </c>
      <c r="AP108" s="232">
        <v>154</v>
      </c>
      <c r="AQ108" s="223"/>
      <c r="AR108" s="236">
        <v>38.700000000000003</v>
      </c>
      <c r="AS108" s="222">
        <v>8.1524910631265897</v>
      </c>
      <c r="AT108" s="237" t="s">
        <v>55</v>
      </c>
      <c r="AU108" s="229">
        <v>0.50953069144541197</v>
      </c>
      <c r="AV108" s="230">
        <v>-44.239851729279998</v>
      </c>
      <c r="AW108" s="224"/>
      <c r="AX108" s="224"/>
      <c r="AY108" s="232">
        <v>38</v>
      </c>
      <c r="AZ108" s="232">
        <v>53</v>
      </c>
      <c r="BA108" s="223"/>
      <c r="BB108" s="240">
        <v>174.8</v>
      </c>
      <c r="BC108" s="236">
        <v>36.823137928540802</v>
      </c>
      <c r="BD108" s="237" t="s">
        <v>56</v>
      </c>
      <c r="BE108" s="234">
        <v>1.1507230602669001</v>
      </c>
      <c r="BF108" s="235">
        <v>8.9202965414401092</v>
      </c>
      <c r="BG108" s="224">
        <v>0.02</v>
      </c>
      <c r="BH108" s="224">
        <v>1.4999999999999999E-2</v>
      </c>
      <c r="BI108" s="232">
        <v>0</v>
      </c>
      <c r="BJ108" s="232">
        <v>8</v>
      </c>
      <c r="BK108" s="225"/>
      <c r="BL108" s="241">
        <v>0.8</v>
      </c>
      <c r="BM108" s="229">
        <v>0.64</v>
      </c>
      <c r="BN108" s="242"/>
      <c r="BO108" s="243">
        <v>0.95</v>
      </c>
      <c r="BP108" s="234">
        <v>1</v>
      </c>
      <c r="BQ108" s="242">
        <v>2.5000000000000001E-3</v>
      </c>
    </row>
    <row r="109" spans="1:69" s="211" customFormat="1" ht="22.35" customHeight="1" x14ac:dyDescent="0.2">
      <c r="A109" s="221" t="s">
        <v>140</v>
      </c>
      <c r="B109" s="221" t="s">
        <v>160</v>
      </c>
      <c r="C109" s="221" t="s">
        <v>168</v>
      </c>
      <c r="D109" s="222">
        <v>5.8254724778888898</v>
      </c>
      <c r="E109" s="223"/>
      <c r="F109" s="224"/>
      <c r="G109" s="224"/>
      <c r="H109" s="225"/>
      <c r="I109" s="226">
        <v>1</v>
      </c>
      <c r="J109" s="226">
        <v>1</v>
      </c>
      <c r="K109" s="223"/>
      <c r="L109" s="227">
        <v>1640.1132500000001</v>
      </c>
      <c r="M109" s="227">
        <v>-998.47879999999998</v>
      </c>
      <c r="N109" s="227">
        <v>641.63445000000002</v>
      </c>
      <c r="O109" s="222">
        <v>110.14290298948001</v>
      </c>
      <c r="P109" s="228">
        <v>236.41900000000001</v>
      </c>
      <c r="Q109" s="229">
        <v>0.46588008150563098</v>
      </c>
      <c r="R109" s="230">
        <v>-862.32514650301403</v>
      </c>
      <c r="S109" s="224"/>
      <c r="T109" s="224"/>
      <c r="U109" s="231">
        <v>736</v>
      </c>
      <c r="V109" s="232">
        <v>1012</v>
      </c>
      <c r="W109" s="223"/>
      <c r="X109" s="231">
        <v>2746.7004400000001</v>
      </c>
      <c r="Y109" s="222">
        <v>471.49831201251902</v>
      </c>
      <c r="Z109" s="233">
        <v>573</v>
      </c>
      <c r="AA109" s="244">
        <v>0.82285918326792196</v>
      </c>
      <c r="AB109" s="227">
        <v>-898.390896974724</v>
      </c>
      <c r="AC109" s="224"/>
      <c r="AD109" s="224"/>
      <c r="AE109" s="232">
        <v>592</v>
      </c>
      <c r="AF109" s="232">
        <v>1259</v>
      </c>
      <c r="AG109" s="223"/>
      <c r="AH109" s="236">
        <v>268.5</v>
      </c>
      <c r="AI109" s="222">
        <v>46.090682089584398</v>
      </c>
      <c r="AJ109" s="237" t="s">
        <v>54</v>
      </c>
      <c r="AK109" s="244">
        <v>0.73159812840610094</v>
      </c>
      <c r="AL109" s="227">
        <v>-132.26920458884399</v>
      </c>
      <c r="AM109" s="224"/>
      <c r="AN109" s="224"/>
      <c r="AO109" s="232">
        <v>99</v>
      </c>
      <c r="AP109" s="232">
        <v>172</v>
      </c>
      <c r="AQ109" s="223"/>
      <c r="AR109" s="236">
        <v>19.399999999999999</v>
      </c>
      <c r="AS109" s="222">
        <v>3.3302019833815102</v>
      </c>
      <c r="AT109" s="237" t="s">
        <v>55</v>
      </c>
      <c r="AU109" s="229">
        <v>0.208137623961344</v>
      </c>
      <c r="AV109" s="230">
        <v>-82.382655133674703</v>
      </c>
      <c r="AW109" s="224"/>
      <c r="AX109" s="224"/>
      <c r="AY109" s="232">
        <v>74</v>
      </c>
      <c r="AZ109" s="232">
        <v>93</v>
      </c>
      <c r="BA109" s="223"/>
      <c r="BB109" s="240">
        <v>164.4</v>
      </c>
      <c r="BC109" s="236">
        <v>28.220886910717599</v>
      </c>
      <c r="BD109" s="237" t="s">
        <v>56</v>
      </c>
      <c r="BE109" s="244">
        <v>0.88190271595992398</v>
      </c>
      <c r="BF109" s="227">
        <v>-39.165310267349398</v>
      </c>
      <c r="BG109" s="224"/>
      <c r="BH109" s="224"/>
      <c r="BI109" s="232">
        <v>23</v>
      </c>
      <c r="BJ109" s="232">
        <v>60</v>
      </c>
      <c r="BK109" s="225"/>
      <c r="BL109" s="241">
        <v>0.8</v>
      </c>
      <c r="BM109" s="229">
        <v>0.63</v>
      </c>
      <c r="BN109" s="242"/>
      <c r="BO109" s="243">
        <v>0.95</v>
      </c>
      <c r="BP109" s="234">
        <v>1</v>
      </c>
      <c r="BQ109" s="242">
        <v>2.5000000000000001E-3</v>
      </c>
    </row>
    <row r="110" spans="1:69" s="211" customFormat="1" ht="22.35" customHeight="1" x14ac:dyDescent="0.2">
      <c r="A110" s="221" t="s">
        <v>140</v>
      </c>
      <c r="B110" s="221" t="s">
        <v>160</v>
      </c>
      <c r="C110" s="221" t="s">
        <v>169</v>
      </c>
      <c r="D110" s="222">
        <v>2.9978898042222202</v>
      </c>
      <c r="E110" s="223"/>
      <c r="F110" s="224">
        <v>4.2999999999999997E-2</v>
      </c>
      <c r="G110" s="224">
        <v>2.1000000000000001E-2</v>
      </c>
      <c r="H110" s="225"/>
      <c r="I110" s="226">
        <v>4</v>
      </c>
      <c r="J110" s="226">
        <v>4</v>
      </c>
      <c r="K110" s="223"/>
      <c r="L110" s="227">
        <v>1634.88858</v>
      </c>
      <c r="M110" s="227">
        <v>-646.99815999999998</v>
      </c>
      <c r="N110" s="227">
        <v>987.89041999999995</v>
      </c>
      <c r="O110" s="222">
        <v>329.52859661774698</v>
      </c>
      <c r="P110" s="228">
        <v>244.03100000000001</v>
      </c>
      <c r="Q110" s="234">
        <v>1.3503554737625401</v>
      </c>
      <c r="R110" s="235">
        <v>189.00719287894501</v>
      </c>
      <c r="S110" s="224">
        <v>0.01</v>
      </c>
      <c r="T110" s="224">
        <v>0.01</v>
      </c>
      <c r="U110" s="231">
        <v>0</v>
      </c>
      <c r="V110" s="232">
        <v>0</v>
      </c>
      <c r="W110" s="223"/>
      <c r="X110" s="231">
        <v>1842.1607200000001</v>
      </c>
      <c r="Y110" s="222">
        <v>614.48580178147404</v>
      </c>
      <c r="Z110" s="233">
        <v>573</v>
      </c>
      <c r="AA110" s="238">
        <v>1.0724010502294501</v>
      </c>
      <c r="AB110" s="239">
        <v>-33.666896738710399</v>
      </c>
      <c r="AC110" s="224">
        <v>1.7999999999999999E-2</v>
      </c>
      <c r="AD110" s="224">
        <v>7.0000000000000001E-3</v>
      </c>
      <c r="AE110" s="232">
        <v>0</v>
      </c>
      <c r="AF110" s="232">
        <v>220</v>
      </c>
      <c r="AG110" s="223"/>
      <c r="AH110" s="236">
        <v>123.35</v>
      </c>
      <c r="AI110" s="222">
        <v>41.145608429727503</v>
      </c>
      <c r="AJ110" s="237" t="s">
        <v>54</v>
      </c>
      <c r="AK110" s="229">
        <v>0.65310489570996</v>
      </c>
      <c r="AL110" s="230">
        <v>-82.892826971271802</v>
      </c>
      <c r="AM110" s="224"/>
      <c r="AN110" s="224"/>
      <c r="AO110" s="232">
        <v>66</v>
      </c>
      <c r="AP110" s="232">
        <v>104</v>
      </c>
      <c r="AQ110" s="223"/>
      <c r="AR110" s="236">
        <v>6.8</v>
      </c>
      <c r="AS110" s="222">
        <v>2.2682621590769898</v>
      </c>
      <c r="AT110" s="237" t="s">
        <v>55</v>
      </c>
      <c r="AU110" s="229">
        <v>0.141766384942312</v>
      </c>
      <c r="AV110" s="230">
        <v>-45.579130659370598</v>
      </c>
      <c r="AW110" s="224"/>
      <c r="AX110" s="224"/>
      <c r="AY110" s="232">
        <v>42</v>
      </c>
      <c r="AZ110" s="232">
        <v>51</v>
      </c>
      <c r="BA110" s="223"/>
      <c r="BB110" s="240">
        <v>100.2</v>
      </c>
      <c r="BC110" s="236">
        <v>33.423510049928602</v>
      </c>
      <c r="BD110" s="237" t="s">
        <v>56</v>
      </c>
      <c r="BE110" s="238">
        <v>1.0444846890602699</v>
      </c>
      <c r="BF110" s="239">
        <v>-4.5582613187412404</v>
      </c>
      <c r="BG110" s="224">
        <v>1.4999999999999999E-2</v>
      </c>
      <c r="BH110" s="224">
        <v>4.0000000000000001E-3</v>
      </c>
      <c r="BI110" s="232">
        <v>0</v>
      </c>
      <c r="BJ110" s="232">
        <v>15</v>
      </c>
      <c r="BK110" s="225"/>
      <c r="BL110" s="241">
        <v>0.8</v>
      </c>
      <c r="BM110" s="244">
        <v>0.72</v>
      </c>
      <c r="BN110" s="242"/>
      <c r="BO110" s="243">
        <v>0.95</v>
      </c>
      <c r="BP110" s="234">
        <v>1</v>
      </c>
      <c r="BQ110" s="242">
        <v>2.5000000000000001E-3</v>
      </c>
    </row>
    <row r="111" spans="1:69" s="211" customFormat="1" ht="22.35" customHeight="1" x14ac:dyDescent="0.2">
      <c r="A111" s="221" t="s">
        <v>140</v>
      </c>
      <c r="B111" s="221" t="s">
        <v>160</v>
      </c>
      <c r="C111" s="221" t="s">
        <v>170</v>
      </c>
      <c r="D111" s="222">
        <v>3.5180638414444401</v>
      </c>
      <c r="E111" s="223"/>
      <c r="F111" s="224">
        <v>2.7E-2</v>
      </c>
      <c r="G111" s="224">
        <v>1.7000000000000001E-2</v>
      </c>
      <c r="H111" s="225"/>
      <c r="I111" s="226">
        <v>3</v>
      </c>
      <c r="J111" s="226">
        <v>3</v>
      </c>
      <c r="K111" s="223"/>
      <c r="L111" s="227">
        <v>3068.3685300000002</v>
      </c>
      <c r="M111" s="227">
        <v>739.7577</v>
      </c>
      <c r="N111" s="227">
        <v>3808.1262299999999</v>
      </c>
      <c r="O111" s="222">
        <v>1082.44943856291</v>
      </c>
      <c r="P111" s="228">
        <v>287.5</v>
      </c>
      <c r="Q111" s="234">
        <v>3.7650415254362102</v>
      </c>
      <c r="R111" s="235">
        <v>2703.63008697852</v>
      </c>
      <c r="S111" s="224">
        <v>0.01</v>
      </c>
      <c r="T111" s="224">
        <v>0.01</v>
      </c>
      <c r="U111" s="231">
        <v>0</v>
      </c>
      <c r="V111" s="232">
        <v>0</v>
      </c>
      <c r="W111" s="223"/>
      <c r="X111" s="231">
        <v>1642.1595199999999</v>
      </c>
      <c r="Y111" s="222">
        <v>466.77934057210399</v>
      </c>
      <c r="Z111" s="233">
        <v>573</v>
      </c>
      <c r="AA111" s="244">
        <v>0.81462363101588797</v>
      </c>
      <c r="AB111" s="227">
        <v>-559.14931461324898</v>
      </c>
      <c r="AC111" s="224"/>
      <c r="AD111" s="224"/>
      <c r="AE111" s="232">
        <v>374</v>
      </c>
      <c r="AF111" s="232">
        <v>777</v>
      </c>
      <c r="AG111" s="223"/>
      <c r="AH111" s="236">
        <v>162</v>
      </c>
      <c r="AI111" s="222">
        <v>46.0480557776024</v>
      </c>
      <c r="AJ111" s="237" t="s">
        <v>54</v>
      </c>
      <c r="AK111" s="244">
        <v>0.73092152027940305</v>
      </c>
      <c r="AL111" s="227">
        <v>-80.028720036011705</v>
      </c>
      <c r="AM111" s="224"/>
      <c r="AN111" s="224"/>
      <c r="AO111" s="232">
        <v>60</v>
      </c>
      <c r="AP111" s="232">
        <v>104</v>
      </c>
      <c r="AQ111" s="223"/>
      <c r="AR111" s="236">
        <v>39.700000000000003</v>
      </c>
      <c r="AS111" s="222">
        <v>11.284616138091399</v>
      </c>
      <c r="AT111" s="237" t="s">
        <v>55</v>
      </c>
      <c r="AU111" s="229">
        <v>0.70528850863071602</v>
      </c>
      <c r="AV111" s="230">
        <v>-21.7676114377172</v>
      </c>
      <c r="AW111" s="224"/>
      <c r="AX111" s="224"/>
      <c r="AY111" s="232">
        <v>17</v>
      </c>
      <c r="AZ111" s="232">
        <v>28</v>
      </c>
      <c r="BA111" s="223"/>
      <c r="BB111" s="240">
        <v>120</v>
      </c>
      <c r="BC111" s="236">
        <v>34.109670946372198</v>
      </c>
      <c r="BD111" s="237" t="s">
        <v>56</v>
      </c>
      <c r="BE111" s="238">
        <v>1.0659272170741301</v>
      </c>
      <c r="BF111" s="239">
        <v>-2.9352228754345</v>
      </c>
      <c r="BG111" s="224">
        <v>1.7000000000000001E-2</v>
      </c>
      <c r="BH111" s="224">
        <v>7.0000000000000001E-3</v>
      </c>
      <c r="BI111" s="232">
        <v>0</v>
      </c>
      <c r="BJ111" s="232">
        <v>16</v>
      </c>
      <c r="BK111" s="225"/>
      <c r="BL111" s="241">
        <v>0.8</v>
      </c>
      <c r="BM111" s="244">
        <v>0.76</v>
      </c>
      <c r="BN111" s="242"/>
      <c r="BO111" s="243">
        <v>0.95</v>
      </c>
      <c r="BP111" s="234">
        <v>1</v>
      </c>
      <c r="BQ111" s="242">
        <v>2.5000000000000001E-3</v>
      </c>
    </row>
    <row r="112" spans="1:69" s="211" customFormat="1" ht="22.35" customHeight="1" x14ac:dyDescent="0.2">
      <c r="A112" s="221" t="s">
        <v>140</v>
      </c>
      <c r="B112" s="221" t="s">
        <v>160</v>
      </c>
      <c r="C112" s="221" t="s">
        <v>171</v>
      </c>
      <c r="D112" s="222">
        <v>3.33057645111111</v>
      </c>
      <c r="E112" s="223"/>
      <c r="F112" s="224">
        <v>1.2E-2</v>
      </c>
      <c r="G112" s="224">
        <v>0.01</v>
      </c>
      <c r="H112" s="225"/>
      <c r="I112" s="226">
        <v>3</v>
      </c>
      <c r="J112" s="226">
        <v>2</v>
      </c>
      <c r="K112" s="223"/>
      <c r="L112" s="227">
        <v>1574.85041</v>
      </c>
      <c r="M112" s="227">
        <v>1230.3034700000001</v>
      </c>
      <c r="N112" s="227">
        <v>2805.1538799999998</v>
      </c>
      <c r="O112" s="222">
        <v>842.24275322194603</v>
      </c>
      <c r="P112" s="228">
        <v>287.5</v>
      </c>
      <c r="Q112" s="234">
        <v>2.92954001120677</v>
      </c>
      <c r="R112" s="235">
        <v>1759.5194031736701</v>
      </c>
      <c r="S112" s="224">
        <v>0.01</v>
      </c>
      <c r="T112" s="224">
        <v>0.01</v>
      </c>
      <c r="U112" s="231">
        <v>0</v>
      </c>
      <c r="V112" s="232">
        <v>0</v>
      </c>
      <c r="W112" s="223"/>
      <c r="X112" s="231">
        <v>1629.476015</v>
      </c>
      <c r="Y112" s="222">
        <v>489.24744377400202</v>
      </c>
      <c r="Z112" s="233">
        <v>573</v>
      </c>
      <c r="AA112" s="244">
        <v>0.85383498040838102</v>
      </c>
      <c r="AB112" s="227">
        <v>-454.51895968343899</v>
      </c>
      <c r="AC112" s="224"/>
      <c r="AD112" s="224"/>
      <c r="AE112" s="232">
        <v>279</v>
      </c>
      <c r="AF112" s="232">
        <v>661</v>
      </c>
      <c r="AG112" s="223"/>
      <c r="AH112" s="236">
        <v>84.5</v>
      </c>
      <c r="AI112" s="222">
        <v>25.370983443965098</v>
      </c>
      <c r="AJ112" s="237" t="s">
        <v>54</v>
      </c>
      <c r="AK112" s="229">
        <v>0.40271402292008102</v>
      </c>
      <c r="AL112" s="230">
        <v>-144.63033753063999</v>
      </c>
      <c r="AM112" s="224"/>
      <c r="AN112" s="224"/>
      <c r="AO112" s="232">
        <v>126</v>
      </c>
      <c r="AP112" s="232">
        <v>168</v>
      </c>
      <c r="AQ112" s="223"/>
      <c r="AR112" s="236">
        <v>14.6</v>
      </c>
      <c r="AS112" s="222">
        <v>4.3836255417975201</v>
      </c>
      <c r="AT112" s="237" t="s">
        <v>55</v>
      </c>
      <c r="AU112" s="229">
        <v>0.273976596362345</v>
      </c>
      <c r="AV112" s="230">
        <v>-43.591831753813302</v>
      </c>
      <c r="AW112" s="224"/>
      <c r="AX112" s="224"/>
      <c r="AY112" s="232">
        <v>39</v>
      </c>
      <c r="AZ112" s="232">
        <v>50</v>
      </c>
      <c r="BA112" s="223"/>
      <c r="BB112" s="240">
        <v>98.8</v>
      </c>
      <c r="BC112" s="236">
        <v>29.6645344883284</v>
      </c>
      <c r="BD112" s="237" t="s">
        <v>56</v>
      </c>
      <c r="BE112" s="238">
        <v>0.92701670276026304</v>
      </c>
      <c r="BF112" s="239">
        <v>-17.5836635076266</v>
      </c>
      <c r="BG112" s="224">
        <v>2E-3</v>
      </c>
      <c r="BH112" s="224"/>
      <c r="BI112" s="232">
        <v>8</v>
      </c>
      <c r="BJ112" s="232">
        <v>30</v>
      </c>
      <c r="BK112" s="225"/>
      <c r="BL112" s="241">
        <v>0.8</v>
      </c>
      <c r="BM112" s="244">
        <v>0.74</v>
      </c>
      <c r="BN112" s="242"/>
      <c r="BO112" s="243">
        <v>0.95</v>
      </c>
      <c r="BP112" s="234">
        <v>1</v>
      </c>
      <c r="BQ112" s="242">
        <v>2.5000000000000001E-3</v>
      </c>
    </row>
    <row r="113" spans="1:69" s="211" customFormat="1" ht="22.35" customHeight="1" x14ac:dyDescent="0.2">
      <c r="A113" s="221" t="s">
        <v>140</v>
      </c>
      <c r="B113" s="221" t="s">
        <v>160</v>
      </c>
      <c r="C113" s="221" t="s">
        <v>172</v>
      </c>
      <c r="D113" s="222">
        <v>7.6444229506666703</v>
      </c>
      <c r="E113" s="223"/>
      <c r="F113" s="224">
        <v>0.01</v>
      </c>
      <c r="G113" s="224">
        <v>0.01</v>
      </c>
      <c r="H113" s="225"/>
      <c r="I113" s="226">
        <v>2</v>
      </c>
      <c r="J113" s="226">
        <v>2</v>
      </c>
      <c r="K113" s="223"/>
      <c r="L113" s="227">
        <v>5615.4095900000002</v>
      </c>
      <c r="M113" s="227">
        <v>-5.8896699999999997</v>
      </c>
      <c r="N113" s="227">
        <v>5609.5199199999997</v>
      </c>
      <c r="O113" s="222">
        <v>733.80554113777805</v>
      </c>
      <c r="P113" s="228">
        <v>287.5</v>
      </c>
      <c r="Q113" s="234">
        <v>2.5523670996096599</v>
      </c>
      <c r="R113" s="235">
        <v>3209.5533346381999</v>
      </c>
      <c r="S113" s="224">
        <v>0.01</v>
      </c>
      <c r="T113" s="224">
        <v>0.01</v>
      </c>
      <c r="U113" s="231">
        <v>0</v>
      </c>
      <c r="V113" s="232">
        <v>0</v>
      </c>
      <c r="W113" s="223"/>
      <c r="X113" s="231">
        <v>3948.5381200000002</v>
      </c>
      <c r="Y113" s="222">
        <v>516.52533428381901</v>
      </c>
      <c r="Z113" s="233">
        <v>573</v>
      </c>
      <c r="AA113" s="244">
        <v>0.90144037396827104</v>
      </c>
      <c r="AB113" s="227">
        <v>-834.69963099934603</v>
      </c>
      <c r="AC113" s="224"/>
      <c r="AD113" s="224"/>
      <c r="AE113" s="232">
        <v>432</v>
      </c>
      <c r="AF113" s="232">
        <v>1308</v>
      </c>
      <c r="AG113" s="223"/>
      <c r="AH113" s="236">
        <v>334.55</v>
      </c>
      <c r="AI113" s="222">
        <v>43.763931189969597</v>
      </c>
      <c r="AJ113" s="237" t="s">
        <v>54</v>
      </c>
      <c r="AK113" s="229">
        <v>0.69466557444396104</v>
      </c>
      <c r="AL113" s="230">
        <v>-191.355721314064</v>
      </c>
      <c r="AM113" s="224"/>
      <c r="AN113" s="224"/>
      <c r="AO113" s="232">
        <v>148</v>
      </c>
      <c r="AP113" s="232">
        <v>244</v>
      </c>
      <c r="AQ113" s="223"/>
      <c r="AR113" s="236">
        <v>29.8</v>
      </c>
      <c r="AS113" s="222">
        <v>3.89826677465578</v>
      </c>
      <c r="AT113" s="237" t="s">
        <v>55</v>
      </c>
      <c r="AU113" s="229">
        <v>0.243641673415986</v>
      </c>
      <c r="AV113" s="230">
        <v>-103.76335779404801</v>
      </c>
      <c r="AW113" s="224"/>
      <c r="AX113" s="224"/>
      <c r="AY113" s="232">
        <v>93</v>
      </c>
      <c r="AZ113" s="232">
        <v>117</v>
      </c>
      <c r="BA113" s="223"/>
      <c r="BB113" s="240">
        <v>204.4</v>
      </c>
      <c r="BC113" s="236">
        <v>26.738447273142299</v>
      </c>
      <c r="BD113" s="237" t="s">
        <v>56</v>
      </c>
      <c r="BE113" s="244">
        <v>0.83557647728569795</v>
      </c>
      <c r="BF113" s="227">
        <v>-62.726715588096098</v>
      </c>
      <c r="BG113" s="224"/>
      <c r="BH113" s="224"/>
      <c r="BI113" s="232">
        <v>41</v>
      </c>
      <c r="BJ113" s="232">
        <v>90</v>
      </c>
      <c r="BK113" s="225"/>
      <c r="BL113" s="241">
        <v>0.8</v>
      </c>
      <c r="BM113" s="244">
        <v>0.7</v>
      </c>
      <c r="BN113" s="242"/>
      <c r="BO113" s="243">
        <v>0.95</v>
      </c>
      <c r="BP113" s="234">
        <v>1</v>
      </c>
      <c r="BQ113" s="242">
        <v>2.5000000000000001E-3</v>
      </c>
    </row>
    <row r="114" spans="1:69" s="211" customFormat="1" ht="22.35" customHeight="1" x14ac:dyDescent="0.2">
      <c r="A114" s="221" t="s">
        <v>140</v>
      </c>
      <c r="B114" s="221" t="s">
        <v>160</v>
      </c>
      <c r="C114" s="221" t="s">
        <v>173</v>
      </c>
      <c r="D114" s="222">
        <v>6.0447914316666704</v>
      </c>
      <c r="E114" s="223"/>
      <c r="F114" s="224">
        <v>3.7999999999999999E-2</v>
      </c>
      <c r="G114" s="224">
        <v>2.1999999999999999E-2</v>
      </c>
      <c r="H114" s="225"/>
      <c r="I114" s="226">
        <v>4</v>
      </c>
      <c r="J114" s="226">
        <v>3</v>
      </c>
      <c r="K114" s="223"/>
      <c r="L114" s="227">
        <v>4315.5343599999997</v>
      </c>
      <c r="M114" s="227">
        <v>-581.60509000000002</v>
      </c>
      <c r="N114" s="227">
        <v>3733.9292700000001</v>
      </c>
      <c r="O114" s="222">
        <v>617.71019103143499</v>
      </c>
      <c r="P114" s="228">
        <v>260.82400000000001</v>
      </c>
      <c r="Q114" s="234">
        <v>2.3683027291638599</v>
      </c>
      <c r="R114" s="235">
        <v>2012.2529350326499</v>
      </c>
      <c r="S114" s="224">
        <v>0.01</v>
      </c>
      <c r="T114" s="224">
        <v>0.01</v>
      </c>
      <c r="U114" s="231">
        <v>0</v>
      </c>
      <c r="V114" s="232">
        <v>0</v>
      </c>
      <c r="W114" s="223"/>
      <c r="X114" s="231">
        <v>3867.3527250000002</v>
      </c>
      <c r="Y114" s="222">
        <v>639.78265730397504</v>
      </c>
      <c r="Z114" s="233">
        <v>573</v>
      </c>
      <c r="AA114" s="234">
        <v>1.1165491401465499</v>
      </c>
      <c r="AB114" s="235">
        <v>85.030009543258501</v>
      </c>
      <c r="AC114" s="224">
        <v>0.02</v>
      </c>
      <c r="AD114" s="224">
        <v>1.2E-2</v>
      </c>
      <c r="AE114" s="232">
        <v>0</v>
      </c>
      <c r="AF114" s="232">
        <v>290</v>
      </c>
      <c r="AG114" s="223"/>
      <c r="AH114" s="236">
        <v>225.1</v>
      </c>
      <c r="AI114" s="222">
        <v>37.238671101334504</v>
      </c>
      <c r="AJ114" s="237" t="s">
        <v>54</v>
      </c>
      <c r="AK114" s="229">
        <v>0.59109001748150003</v>
      </c>
      <c r="AL114" s="230">
        <v>-190.75747133294001</v>
      </c>
      <c r="AM114" s="224"/>
      <c r="AN114" s="224"/>
      <c r="AO114" s="232">
        <v>156</v>
      </c>
      <c r="AP114" s="232">
        <v>232</v>
      </c>
      <c r="AQ114" s="223"/>
      <c r="AR114" s="236">
        <v>35.799999999999997</v>
      </c>
      <c r="AS114" s="222">
        <v>5.9224541333974896</v>
      </c>
      <c r="AT114" s="237" t="s">
        <v>55</v>
      </c>
      <c r="AU114" s="229">
        <v>0.37015338333734299</v>
      </c>
      <c r="AV114" s="230">
        <v>-69.81459589408</v>
      </c>
      <c r="AW114" s="224"/>
      <c r="AX114" s="224"/>
      <c r="AY114" s="232">
        <v>61</v>
      </c>
      <c r="AZ114" s="232">
        <v>81</v>
      </c>
      <c r="BA114" s="223"/>
      <c r="BB114" s="240">
        <v>190.2</v>
      </c>
      <c r="BC114" s="236">
        <v>31.465105479670498</v>
      </c>
      <c r="BD114" s="237" t="s">
        <v>56</v>
      </c>
      <c r="BE114" s="238">
        <v>0.98328454623970196</v>
      </c>
      <c r="BF114" s="239">
        <v>-21.029191788160102</v>
      </c>
      <c r="BG114" s="224">
        <v>8.0000000000000002E-3</v>
      </c>
      <c r="BH114" s="224"/>
      <c r="BI114" s="232">
        <v>4</v>
      </c>
      <c r="BJ114" s="232">
        <v>42</v>
      </c>
      <c r="BK114" s="225"/>
      <c r="BL114" s="241">
        <v>0.8</v>
      </c>
      <c r="BM114" s="244">
        <v>0.72</v>
      </c>
      <c r="BN114" s="242"/>
      <c r="BO114" s="243">
        <v>0.95</v>
      </c>
      <c r="BP114" s="234">
        <v>1</v>
      </c>
      <c r="BQ114" s="242">
        <v>2.5000000000000001E-3</v>
      </c>
    </row>
    <row r="115" spans="1:69" s="211" customFormat="1" ht="22.35" customHeight="1" x14ac:dyDescent="0.2">
      <c r="A115" s="221" t="s">
        <v>140</v>
      </c>
      <c r="B115" s="221" t="s">
        <v>160</v>
      </c>
      <c r="C115" s="221" t="s">
        <v>174</v>
      </c>
      <c r="D115" s="222">
        <v>4.01034421888889</v>
      </c>
      <c r="E115" s="223"/>
      <c r="F115" s="224">
        <v>4.4999999999999998E-2</v>
      </c>
      <c r="G115" s="224">
        <v>0.03</v>
      </c>
      <c r="H115" s="225"/>
      <c r="I115" s="226">
        <v>5</v>
      </c>
      <c r="J115" s="226">
        <v>3</v>
      </c>
      <c r="K115" s="223"/>
      <c r="L115" s="227">
        <v>2431.8145300000001</v>
      </c>
      <c r="M115" s="227">
        <v>320.87880000000001</v>
      </c>
      <c r="N115" s="227">
        <v>2752.6933300000001</v>
      </c>
      <c r="O115" s="222">
        <v>686.39826901508798</v>
      </c>
      <c r="P115" s="228">
        <v>234.23500000000001</v>
      </c>
      <c r="Q115" s="234">
        <v>2.9303830299275901</v>
      </c>
      <c r="R115" s="235">
        <v>1726.90895790231</v>
      </c>
      <c r="S115" s="224">
        <v>0.01</v>
      </c>
      <c r="T115" s="224">
        <v>0.01</v>
      </c>
      <c r="U115" s="231">
        <v>0</v>
      </c>
      <c r="V115" s="232">
        <v>0</v>
      </c>
      <c r="W115" s="223"/>
      <c r="X115" s="231">
        <v>3311.2177849999998</v>
      </c>
      <c r="Y115" s="222">
        <v>825.669220463427</v>
      </c>
      <c r="Z115" s="233">
        <v>573</v>
      </c>
      <c r="AA115" s="234">
        <v>1.44095849993617</v>
      </c>
      <c r="AB115" s="235">
        <v>801.88124173371898</v>
      </c>
      <c r="AC115" s="224">
        <v>0.02</v>
      </c>
      <c r="AD115" s="224">
        <v>0.02</v>
      </c>
      <c r="AE115" s="232">
        <v>0</v>
      </c>
      <c r="AF115" s="232">
        <v>0</v>
      </c>
      <c r="AG115" s="223"/>
      <c r="AH115" s="236">
        <v>246.3</v>
      </c>
      <c r="AI115" s="222">
        <v>61.416174412140698</v>
      </c>
      <c r="AJ115" s="237" t="s">
        <v>54</v>
      </c>
      <c r="AK115" s="238">
        <v>0.97485991130381999</v>
      </c>
      <c r="AL115" s="239">
        <v>-29.595640882680101</v>
      </c>
      <c r="AM115" s="224">
        <v>7.0000000000000001E-3</v>
      </c>
      <c r="AN115" s="224"/>
      <c r="AO115" s="232">
        <v>7</v>
      </c>
      <c r="AP115" s="232">
        <v>57</v>
      </c>
      <c r="AQ115" s="223"/>
      <c r="AR115" s="236">
        <v>27.8</v>
      </c>
      <c r="AS115" s="222">
        <v>6.9320732791616297</v>
      </c>
      <c r="AT115" s="237" t="s">
        <v>55</v>
      </c>
      <c r="AU115" s="229">
        <v>0.43325457994760203</v>
      </c>
      <c r="AV115" s="230">
        <v>-42.268734192426699</v>
      </c>
      <c r="AW115" s="224"/>
      <c r="AX115" s="224"/>
      <c r="AY115" s="232">
        <v>37</v>
      </c>
      <c r="AZ115" s="232">
        <v>50</v>
      </c>
      <c r="BA115" s="223"/>
      <c r="BB115" s="240">
        <v>126.4</v>
      </c>
      <c r="BC115" s="236">
        <v>31.518491456332001</v>
      </c>
      <c r="BD115" s="237" t="s">
        <v>56</v>
      </c>
      <c r="BE115" s="238">
        <v>0.98495285801037602</v>
      </c>
      <c r="BF115" s="239">
        <v>-13.7374683848534</v>
      </c>
      <c r="BG115" s="224">
        <v>8.0000000000000002E-3</v>
      </c>
      <c r="BH115" s="224"/>
      <c r="BI115" s="232">
        <v>2</v>
      </c>
      <c r="BJ115" s="232">
        <v>28</v>
      </c>
      <c r="BK115" s="225"/>
      <c r="BL115" s="241">
        <v>0.8</v>
      </c>
      <c r="BM115" s="244">
        <v>0.74</v>
      </c>
      <c r="BN115" s="242"/>
      <c r="BO115" s="243">
        <v>0.95</v>
      </c>
      <c r="BP115" s="234">
        <v>1</v>
      </c>
      <c r="BQ115" s="242">
        <v>2.5000000000000001E-3</v>
      </c>
    </row>
    <row r="116" spans="1:69" s="211" customFormat="1" ht="22.35" customHeight="1" x14ac:dyDescent="0.2">
      <c r="A116" s="221" t="s">
        <v>140</v>
      </c>
      <c r="B116" s="221" t="s">
        <v>160</v>
      </c>
      <c r="C116" s="221" t="s">
        <v>175</v>
      </c>
      <c r="D116" s="222">
        <v>2.3561526822222199</v>
      </c>
      <c r="E116" s="223"/>
      <c r="F116" s="224">
        <v>2.4E-2</v>
      </c>
      <c r="G116" s="224">
        <v>1.4E-2</v>
      </c>
      <c r="H116" s="225"/>
      <c r="I116" s="226">
        <v>3</v>
      </c>
      <c r="J116" s="226">
        <v>3</v>
      </c>
      <c r="K116" s="223"/>
      <c r="L116" s="227">
        <v>1914.6487999999999</v>
      </c>
      <c r="M116" s="227">
        <v>971.89053999999999</v>
      </c>
      <c r="N116" s="227">
        <v>2886.5393399999998</v>
      </c>
      <c r="O116" s="222">
        <v>1225.1070831613299</v>
      </c>
      <c r="P116" s="228">
        <v>258.77999999999997</v>
      </c>
      <c r="Q116" s="234">
        <v>4.7341644762397799</v>
      </c>
      <c r="R116" s="235">
        <v>2220.7194313128298</v>
      </c>
      <c r="S116" s="224">
        <v>0.01</v>
      </c>
      <c r="T116" s="224">
        <v>0.01</v>
      </c>
      <c r="U116" s="231">
        <v>0</v>
      </c>
      <c r="V116" s="232">
        <v>0</v>
      </c>
      <c r="W116" s="223"/>
      <c r="X116" s="231">
        <v>1397.622245</v>
      </c>
      <c r="Y116" s="222">
        <v>593.17982894123099</v>
      </c>
      <c r="Z116" s="233">
        <v>573</v>
      </c>
      <c r="AA116" s="238">
        <v>1.03521785155538</v>
      </c>
      <c r="AB116" s="239">
        <v>-76.660186709358399</v>
      </c>
      <c r="AC116" s="224">
        <v>1.4E-2</v>
      </c>
      <c r="AD116" s="224">
        <v>4.0000000000000001E-3</v>
      </c>
      <c r="AE116" s="232">
        <v>0</v>
      </c>
      <c r="AF116" s="232">
        <v>223</v>
      </c>
      <c r="AG116" s="223"/>
      <c r="AH116" s="236">
        <v>126.5</v>
      </c>
      <c r="AI116" s="222">
        <v>53.689220123328603</v>
      </c>
      <c r="AJ116" s="237" t="s">
        <v>54</v>
      </c>
      <c r="AK116" s="244">
        <v>0.85220984322743798</v>
      </c>
      <c r="AL116" s="227">
        <v>-35.593879926159801</v>
      </c>
      <c r="AM116" s="224"/>
      <c r="AN116" s="224"/>
      <c r="AO116" s="232">
        <v>22</v>
      </c>
      <c r="AP116" s="232">
        <v>52</v>
      </c>
      <c r="AQ116" s="223"/>
      <c r="AR116" s="236">
        <v>8</v>
      </c>
      <c r="AS116" s="222">
        <v>3.39536569949904</v>
      </c>
      <c r="AT116" s="237" t="s">
        <v>55</v>
      </c>
      <c r="AU116" s="229">
        <v>0.21221035621869</v>
      </c>
      <c r="AV116" s="230">
        <v>-33.166699663786602</v>
      </c>
      <c r="AW116" s="224"/>
      <c r="AX116" s="224"/>
      <c r="AY116" s="232">
        <v>30</v>
      </c>
      <c r="AZ116" s="232">
        <v>38</v>
      </c>
      <c r="BA116" s="223"/>
      <c r="BB116" s="240">
        <v>61.2</v>
      </c>
      <c r="BC116" s="236">
        <v>25.9745476011677</v>
      </c>
      <c r="BD116" s="237" t="s">
        <v>56</v>
      </c>
      <c r="BE116" s="244">
        <v>0.81170461253648996</v>
      </c>
      <c r="BF116" s="227">
        <v>-21.133399327573301</v>
      </c>
      <c r="BG116" s="224"/>
      <c r="BH116" s="224"/>
      <c r="BI116" s="232">
        <v>15</v>
      </c>
      <c r="BJ116" s="232">
        <v>30</v>
      </c>
      <c r="BK116" s="225"/>
      <c r="BL116" s="241">
        <v>0.8</v>
      </c>
      <c r="BM116" s="244">
        <v>0.72</v>
      </c>
      <c r="BN116" s="242"/>
      <c r="BO116" s="243">
        <v>0.95</v>
      </c>
      <c r="BP116" s="234">
        <v>1</v>
      </c>
      <c r="BQ116" s="242">
        <v>2.5000000000000001E-3</v>
      </c>
    </row>
    <row r="117" spans="1:69" s="211" customFormat="1" ht="22.35" customHeight="1" x14ac:dyDescent="0.2">
      <c r="A117" s="221" t="s">
        <v>176</v>
      </c>
      <c r="B117" s="221" t="s">
        <v>177</v>
      </c>
      <c r="C117" s="221" t="s">
        <v>178</v>
      </c>
      <c r="D117" s="222">
        <v>5.36114939544444</v>
      </c>
      <c r="E117" s="223"/>
      <c r="F117" s="224">
        <v>3.5999999999999997E-2</v>
      </c>
      <c r="G117" s="224">
        <v>0.03</v>
      </c>
      <c r="H117" s="225"/>
      <c r="I117" s="226">
        <v>5</v>
      </c>
      <c r="J117" s="226">
        <v>4</v>
      </c>
      <c r="K117" s="223"/>
      <c r="L117" s="227">
        <v>2577.70093</v>
      </c>
      <c r="M117" s="227">
        <v>2918.0417900000002</v>
      </c>
      <c r="N117" s="227">
        <v>5495.7427200000002</v>
      </c>
      <c r="O117" s="222">
        <v>1025.10531131065</v>
      </c>
      <c r="P117" s="228">
        <v>227.6</v>
      </c>
      <c r="Q117" s="234">
        <v>4.5039776419624298</v>
      </c>
      <c r="R117" s="235">
        <v>4163.28693817576</v>
      </c>
      <c r="S117" s="224">
        <v>0.01</v>
      </c>
      <c r="T117" s="224">
        <v>0.01</v>
      </c>
      <c r="U117" s="231">
        <v>0</v>
      </c>
      <c r="V117" s="232">
        <v>0</v>
      </c>
      <c r="W117" s="223"/>
      <c r="X117" s="231">
        <v>2762.0153599999999</v>
      </c>
      <c r="Y117" s="222">
        <v>515.19089588269605</v>
      </c>
      <c r="Z117" s="233">
        <v>573</v>
      </c>
      <c r="AA117" s="244">
        <v>0.89911151113908605</v>
      </c>
      <c r="AB117" s="227">
        <v>-592.54159511991304</v>
      </c>
      <c r="AC117" s="224"/>
      <c r="AD117" s="224"/>
      <c r="AE117" s="232">
        <v>310</v>
      </c>
      <c r="AF117" s="232">
        <v>925</v>
      </c>
      <c r="AG117" s="223"/>
      <c r="AH117" s="236">
        <v>324.85000000000002</v>
      </c>
      <c r="AI117" s="222">
        <v>60.593349679088703</v>
      </c>
      <c r="AJ117" s="237" t="s">
        <v>54</v>
      </c>
      <c r="AK117" s="238">
        <v>0.96179920125537499</v>
      </c>
      <c r="AL117" s="239">
        <v>-43.975633808995703</v>
      </c>
      <c r="AM117" s="224">
        <v>6.0000000000000001E-3</v>
      </c>
      <c r="AN117" s="224"/>
      <c r="AO117" s="232">
        <v>13</v>
      </c>
      <c r="AP117" s="232">
        <v>81</v>
      </c>
      <c r="AQ117" s="223"/>
      <c r="AR117" s="236">
        <v>47.6</v>
      </c>
      <c r="AS117" s="222">
        <v>8.8786930728786206</v>
      </c>
      <c r="AT117" s="237" t="s">
        <v>55</v>
      </c>
      <c r="AU117" s="229">
        <v>0.55491831705491401</v>
      </c>
      <c r="AV117" s="230">
        <v>-46.070002237205301</v>
      </c>
      <c r="AW117" s="224"/>
      <c r="AX117" s="224"/>
      <c r="AY117" s="232">
        <v>39</v>
      </c>
      <c r="AZ117" s="232">
        <v>56</v>
      </c>
      <c r="BA117" s="223"/>
      <c r="BB117" s="240">
        <v>210.4</v>
      </c>
      <c r="BC117" s="236">
        <v>39.245315599446698</v>
      </c>
      <c r="BD117" s="237" t="s">
        <v>56</v>
      </c>
      <c r="BE117" s="234">
        <v>1.22641611248271</v>
      </c>
      <c r="BF117" s="235">
        <v>23.0599955255895</v>
      </c>
      <c r="BG117" s="224">
        <v>0.02</v>
      </c>
      <c r="BH117" s="224">
        <v>0.02</v>
      </c>
      <c r="BI117" s="232">
        <v>0</v>
      </c>
      <c r="BJ117" s="232">
        <v>0</v>
      </c>
      <c r="BK117" s="225"/>
      <c r="BL117" s="241">
        <v>0.8</v>
      </c>
      <c r="BM117" s="238">
        <v>0.83</v>
      </c>
      <c r="BN117" s="242">
        <v>1.1249999999999999E-3</v>
      </c>
      <c r="BO117" s="243">
        <v>0.95</v>
      </c>
      <c r="BP117" s="234">
        <v>1</v>
      </c>
      <c r="BQ117" s="242">
        <v>2.5000000000000001E-3</v>
      </c>
    </row>
    <row r="118" spans="1:69" s="211" customFormat="1" ht="22.35" customHeight="1" x14ac:dyDescent="0.2">
      <c r="A118" s="221" t="s">
        <v>176</v>
      </c>
      <c r="B118" s="221" t="s">
        <v>177</v>
      </c>
      <c r="C118" s="221" t="s">
        <v>179</v>
      </c>
      <c r="D118" s="222">
        <v>9.7145609433333302</v>
      </c>
      <c r="E118" s="223"/>
      <c r="F118" s="224">
        <v>7.6999999999999999E-2</v>
      </c>
      <c r="G118" s="224">
        <v>7.0000000000000007E-2</v>
      </c>
      <c r="H118" s="225"/>
      <c r="I118" s="226">
        <v>6</v>
      </c>
      <c r="J118" s="226">
        <v>6</v>
      </c>
      <c r="K118" s="223"/>
      <c r="L118" s="227">
        <v>5903.4721</v>
      </c>
      <c r="M118" s="227">
        <v>2298.1235799999999</v>
      </c>
      <c r="N118" s="227">
        <v>8201.5956800000004</v>
      </c>
      <c r="O118" s="222">
        <v>844.25798837860896</v>
      </c>
      <c r="P118" s="228">
        <v>242.374</v>
      </c>
      <c r="Q118" s="234">
        <v>3.4832861131086998</v>
      </c>
      <c r="R118" s="235">
        <v>5630.4194424652196</v>
      </c>
      <c r="S118" s="224">
        <v>0.01</v>
      </c>
      <c r="T118" s="224">
        <v>0.01</v>
      </c>
      <c r="U118" s="231">
        <v>0</v>
      </c>
      <c r="V118" s="232">
        <v>0</v>
      </c>
      <c r="W118" s="223"/>
      <c r="X118" s="231">
        <v>6556.3376449999996</v>
      </c>
      <c r="Y118" s="222">
        <v>674.89798903359804</v>
      </c>
      <c r="Z118" s="233">
        <v>573</v>
      </c>
      <c r="AA118" s="234">
        <v>1.1778324415944099</v>
      </c>
      <c r="AB118" s="235">
        <v>477.78142978124299</v>
      </c>
      <c r="AC118" s="224">
        <v>0.02</v>
      </c>
      <c r="AD118" s="224">
        <v>1.7999999999999999E-2</v>
      </c>
      <c r="AE118" s="232">
        <v>0</v>
      </c>
      <c r="AF118" s="232">
        <v>124</v>
      </c>
      <c r="AG118" s="223"/>
      <c r="AH118" s="236">
        <v>754.5</v>
      </c>
      <c r="AI118" s="222">
        <v>77.666917156742898</v>
      </c>
      <c r="AJ118" s="237" t="s">
        <v>54</v>
      </c>
      <c r="AK118" s="234">
        <v>1.2328082088371899</v>
      </c>
      <c r="AL118" s="235">
        <v>86.177065342440301</v>
      </c>
      <c r="AM118" s="224">
        <v>0.02</v>
      </c>
      <c r="AN118" s="224">
        <v>0.02</v>
      </c>
      <c r="AO118" s="232">
        <v>0</v>
      </c>
      <c r="AP118" s="232">
        <v>0</v>
      </c>
      <c r="AQ118" s="223"/>
      <c r="AR118" s="236">
        <v>161.1</v>
      </c>
      <c r="AS118" s="222">
        <v>16.5833536831693</v>
      </c>
      <c r="AT118" s="237" t="s">
        <v>55</v>
      </c>
      <c r="AU118" s="238">
        <v>1.0364596051980799</v>
      </c>
      <c r="AV118" s="239">
        <v>-8.6328088019199392</v>
      </c>
      <c r="AW118" s="224">
        <v>7.0000000000000001E-3</v>
      </c>
      <c r="AX118" s="224">
        <v>2E-3</v>
      </c>
      <c r="AY118" s="232">
        <v>0</v>
      </c>
      <c r="AZ118" s="232">
        <v>26</v>
      </c>
      <c r="BA118" s="223"/>
      <c r="BB118" s="240">
        <v>471.2</v>
      </c>
      <c r="BC118" s="236">
        <v>48.504508103720703</v>
      </c>
      <c r="BD118" s="237" t="s">
        <v>56</v>
      </c>
      <c r="BE118" s="234">
        <v>1.51576587824127</v>
      </c>
      <c r="BF118" s="235">
        <v>131.73438239615999</v>
      </c>
      <c r="BG118" s="224">
        <v>0.02</v>
      </c>
      <c r="BH118" s="224">
        <v>0.02</v>
      </c>
      <c r="BI118" s="232">
        <v>0</v>
      </c>
      <c r="BJ118" s="232">
        <v>0</v>
      </c>
      <c r="BK118" s="225"/>
      <c r="BL118" s="241">
        <v>0.8</v>
      </c>
      <c r="BM118" s="244">
        <v>0.76</v>
      </c>
      <c r="BN118" s="242"/>
      <c r="BO118" s="243">
        <v>0.95</v>
      </c>
      <c r="BP118" s="234">
        <v>1</v>
      </c>
      <c r="BQ118" s="242">
        <v>2.5000000000000001E-3</v>
      </c>
    </row>
    <row r="119" spans="1:69" s="211" customFormat="1" ht="22.35" customHeight="1" x14ac:dyDescent="0.2">
      <c r="A119" s="221" t="s">
        <v>176</v>
      </c>
      <c r="B119" s="221" t="s">
        <v>177</v>
      </c>
      <c r="C119" s="221" t="s">
        <v>180</v>
      </c>
      <c r="D119" s="222">
        <v>2.7303992304444402</v>
      </c>
      <c r="E119" s="223"/>
      <c r="F119" s="224">
        <v>0.08</v>
      </c>
      <c r="G119" s="224">
        <v>0.08</v>
      </c>
      <c r="H119" s="225"/>
      <c r="I119" s="226">
        <v>7</v>
      </c>
      <c r="J119" s="226">
        <v>7</v>
      </c>
      <c r="K119" s="223"/>
      <c r="L119" s="227">
        <v>579.12189999999998</v>
      </c>
      <c r="M119" s="227">
        <v>3064.25225</v>
      </c>
      <c r="N119" s="227">
        <v>3643.3741500000001</v>
      </c>
      <c r="O119" s="222">
        <v>1334.3741491631399</v>
      </c>
      <c r="P119" s="228">
        <v>212.5</v>
      </c>
      <c r="Q119" s="234">
        <v>6.2794077607677199</v>
      </c>
      <c r="R119" s="235">
        <v>3009.7850085753698</v>
      </c>
      <c r="S119" s="224">
        <v>0.01</v>
      </c>
      <c r="T119" s="224">
        <v>0.01</v>
      </c>
      <c r="U119" s="231">
        <v>0</v>
      </c>
      <c r="V119" s="232">
        <v>0</v>
      </c>
      <c r="W119" s="223"/>
      <c r="X119" s="231">
        <v>1901.1324199999999</v>
      </c>
      <c r="Y119" s="222">
        <v>696.28367851925498</v>
      </c>
      <c r="Z119" s="233">
        <v>573</v>
      </c>
      <c r="AA119" s="234">
        <v>1.21515476181371</v>
      </c>
      <c r="AB119" s="235">
        <v>192.677935123227</v>
      </c>
      <c r="AC119" s="224">
        <v>0.02</v>
      </c>
      <c r="AD119" s="224">
        <v>0.02</v>
      </c>
      <c r="AE119" s="232">
        <v>0</v>
      </c>
      <c r="AF119" s="232">
        <v>0</v>
      </c>
      <c r="AG119" s="223"/>
      <c r="AH119" s="236">
        <v>216.55</v>
      </c>
      <c r="AI119" s="222">
        <v>79.310746056997203</v>
      </c>
      <c r="AJ119" s="237" t="s">
        <v>54</v>
      </c>
      <c r="AK119" s="234">
        <v>1.2589007310634499</v>
      </c>
      <c r="AL119" s="235">
        <v>28.7094545423443</v>
      </c>
      <c r="AM119" s="224">
        <v>0.02</v>
      </c>
      <c r="AN119" s="224">
        <v>0.02</v>
      </c>
      <c r="AO119" s="232">
        <v>0</v>
      </c>
      <c r="AP119" s="232">
        <v>0</v>
      </c>
      <c r="AQ119" s="223"/>
      <c r="AR119" s="236">
        <v>59.6</v>
      </c>
      <c r="AS119" s="222">
        <v>21.828309697515699</v>
      </c>
      <c r="AT119" s="237" t="s">
        <v>55</v>
      </c>
      <c r="AU119" s="234">
        <v>1.3642693560947301</v>
      </c>
      <c r="AV119" s="235">
        <v>11.894464645674701</v>
      </c>
      <c r="AW119" s="224">
        <v>0.01</v>
      </c>
      <c r="AX119" s="224">
        <v>0.01</v>
      </c>
      <c r="AY119" s="232">
        <v>0</v>
      </c>
      <c r="AZ119" s="232">
        <v>0</v>
      </c>
      <c r="BA119" s="223"/>
      <c r="BB119" s="240">
        <v>146</v>
      </c>
      <c r="BC119" s="236">
        <v>53.472033822773497</v>
      </c>
      <c r="BD119" s="237" t="s">
        <v>56</v>
      </c>
      <c r="BE119" s="234">
        <v>1.67100105696167</v>
      </c>
      <c r="BF119" s="235">
        <v>50.588929291349501</v>
      </c>
      <c r="BG119" s="224">
        <v>0.02</v>
      </c>
      <c r="BH119" s="224">
        <v>0.02</v>
      </c>
      <c r="BI119" s="232">
        <v>0</v>
      </c>
      <c r="BJ119" s="232">
        <v>0</v>
      </c>
      <c r="BK119" s="225"/>
      <c r="BL119" s="241">
        <v>0.8</v>
      </c>
      <c r="BM119" s="238">
        <v>0.87</v>
      </c>
      <c r="BN119" s="242">
        <v>2.6250000000000002E-3</v>
      </c>
      <c r="BO119" s="243">
        <v>0.95</v>
      </c>
      <c r="BP119" s="234">
        <v>1</v>
      </c>
      <c r="BQ119" s="242">
        <v>2.5000000000000001E-3</v>
      </c>
    </row>
    <row r="120" spans="1:69" s="211" customFormat="1" ht="22.35" customHeight="1" x14ac:dyDescent="0.2">
      <c r="A120" s="221" t="s">
        <v>176</v>
      </c>
      <c r="B120" s="221" t="s">
        <v>177</v>
      </c>
      <c r="C120" s="221" t="s">
        <v>181</v>
      </c>
      <c r="D120" s="222">
        <v>3.1380264342222199</v>
      </c>
      <c r="E120" s="223"/>
      <c r="F120" s="224">
        <v>2.3E-2</v>
      </c>
      <c r="G120" s="224">
        <v>1.2E-2</v>
      </c>
      <c r="H120" s="225"/>
      <c r="I120" s="226">
        <v>5</v>
      </c>
      <c r="J120" s="226">
        <v>4</v>
      </c>
      <c r="K120" s="223"/>
      <c r="L120" s="227">
        <v>1320.2013999999999</v>
      </c>
      <c r="M120" s="227">
        <v>1311.6049700000001</v>
      </c>
      <c r="N120" s="227">
        <v>2631.8063699999998</v>
      </c>
      <c r="O120" s="222">
        <v>838.68202679825697</v>
      </c>
      <c r="P120" s="228">
        <v>212.5</v>
      </c>
      <c r="Q120" s="234">
        <v>3.9467389496388501</v>
      </c>
      <c r="R120" s="235">
        <v>1903.6273359387301</v>
      </c>
      <c r="S120" s="224">
        <v>0.01</v>
      </c>
      <c r="T120" s="224">
        <v>0.01</v>
      </c>
      <c r="U120" s="231">
        <v>0</v>
      </c>
      <c r="V120" s="232">
        <v>0</v>
      </c>
      <c r="W120" s="223"/>
      <c r="X120" s="231">
        <v>1545.049845</v>
      </c>
      <c r="Y120" s="222">
        <v>492.36355313971399</v>
      </c>
      <c r="Z120" s="233">
        <v>573</v>
      </c>
      <c r="AA120" s="244">
        <v>0.85927321664871503</v>
      </c>
      <c r="AB120" s="227">
        <v>-418.463503315791</v>
      </c>
      <c r="AC120" s="224"/>
      <c r="AD120" s="224"/>
      <c r="AE120" s="232">
        <v>254</v>
      </c>
      <c r="AF120" s="232">
        <v>613</v>
      </c>
      <c r="AG120" s="223"/>
      <c r="AH120" s="236">
        <v>173.2</v>
      </c>
      <c r="AI120" s="222">
        <v>55.193926383519603</v>
      </c>
      <c r="AJ120" s="237" t="s">
        <v>54</v>
      </c>
      <c r="AK120" s="244">
        <v>0.87609406957967695</v>
      </c>
      <c r="AL120" s="227">
        <v>-42.683666568751804</v>
      </c>
      <c r="AM120" s="224"/>
      <c r="AN120" s="224"/>
      <c r="AO120" s="232">
        <v>25</v>
      </c>
      <c r="AP120" s="232">
        <v>65</v>
      </c>
      <c r="AQ120" s="223"/>
      <c r="AR120" s="236">
        <v>52.1</v>
      </c>
      <c r="AS120" s="222">
        <v>16.6027919433105</v>
      </c>
      <c r="AT120" s="237" t="s">
        <v>55</v>
      </c>
      <c r="AU120" s="238">
        <v>1.0376744964569</v>
      </c>
      <c r="AV120" s="239">
        <v>-2.72759785873063</v>
      </c>
      <c r="AW120" s="224">
        <v>7.0000000000000001E-3</v>
      </c>
      <c r="AX120" s="224">
        <v>2E-3</v>
      </c>
      <c r="AY120" s="232">
        <v>0</v>
      </c>
      <c r="AZ120" s="232">
        <v>9</v>
      </c>
      <c r="BA120" s="223"/>
      <c r="BB120" s="240">
        <v>97.2</v>
      </c>
      <c r="BC120" s="236">
        <v>30.974882473892102</v>
      </c>
      <c r="BD120" s="237" t="s">
        <v>56</v>
      </c>
      <c r="BE120" s="238">
        <v>0.96796507730912695</v>
      </c>
      <c r="BF120" s="239">
        <v>-12.455195717461301</v>
      </c>
      <c r="BG120" s="224">
        <v>6.0000000000000001E-3</v>
      </c>
      <c r="BH120" s="224"/>
      <c r="BI120" s="232">
        <v>4</v>
      </c>
      <c r="BJ120" s="232">
        <v>24</v>
      </c>
      <c r="BK120" s="225"/>
      <c r="BL120" s="241">
        <v>0.8</v>
      </c>
      <c r="BM120" s="238">
        <v>0.86</v>
      </c>
      <c r="BN120" s="242">
        <v>2.2499999999999998E-3</v>
      </c>
      <c r="BO120" s="243">
        <v>0.95</v>
      </c>
      <c r="BP120" s="234">
        <v>1</v>
      </c>
      <c r="BQ120" s="242">
        <v>2.5000000000000001E-3</v>
      </c>
    </row>
    <row r="121" spans="1:69" s="211" customFormat="1" ht="22.35" customHeight="1" x14ac:dyDescent="0.2">
      <c r="A121" s="221" t="s">
        <v>176</v>
      </c>
      <c r="B121" s="221" t="s">
        <v>177</v>
      </c>
      <c r="C121" s="221" t="s">
        <v>182</v>
      </c>
      <c r="D121" s="222">
        <v>2.9645688838888899</v>
      </c>
      <c r="E121" s="223"/>
      <c r="F121" s="224">
        <v>0.08</v>
      </c>
      <c r="G121" s="224">
        <v>7.8E-2</v>
      </c>
      <c r="H121" s="225"/>
      <c r="I121" s="226">
        <v>7</v>
      </c>
      <c r="J121" s="226">
        <v>7</v>
      </c>
      <c r="K121" s="223"/>
      <c r="L121" s="227">
        <v>789.22523000000001</v>
      </c>
      <c r="M121" s="227">
        <v>-28.263269999999999</v>
      </c>
      <c r="N121" s="227">
        <v>760.96195999999998</v>
      </c>
      <c r="O121" s="222">
        <v>256.68553837135897</v>
      </c>
      <c r="P121" s="228">
        <v>221.85</v>
      </c>
      <c r="Q121" s="234">
        <v>1.15702293608907</v>
      </c>
      <c r="R121" s="235">
        <v>42.764909275300703</v>
      </c>
      <c r="S121" s="224">
        <v>0.01</v>
      </c>
      <c r="T121" s="224">
        <v>8.0000000000000002E-3</v>
      </c>
      <c r="U121" s="231">
        <v>0</v>
      </c>
      <c r="V121" s="232">
        <v>29</v>
      </c>
      <c r="W121" s="223"/>
      <c r="X121" s="231">
        <v>2262.20127</v>
      </c>
      <c r="Y121" s="222">
        <v>763.07934090992296</v>
      </c>
      <c r="Z121" s="233">
        <v>573</v>
      </c>
      <c r="AA121" s="234">
        <v>1.33172659844664</v>
      </c>
      <c r="AB121" s="235">
        <v>407.22308624857902</v>
      </c>
      <c r="AC121" s="224">
        <v>0.02</v>
      </c>
      <c r="AD121" s="224">
        <v>0.02</v>
      </c>
      <c r="AE121" s="232">
        <v>0</v>
      </c>
      <c r="AF121" s="232">
        <v>0</v>
      </c>
      <c r="AG121" s="223"/>
      <c r="AH121" s="236">
        <v>260.39999999999998</v>
      </c>
      <c r="AI121" s="222">
        <v>87.837392281608999</v>
      </c>
      <c r="AJ121" s="237" t="s">
        <v>54</v>
      </c>
      <c r="AK121" s="234">
        <v>1.3942443219303</v>
      </c>
      <c r="AL121" s="235">
        <v>56.449519063979899</v>
      </c>
      <c r="AM121" s="224">
        <v>0.02</v>
      </c>
      <c r="AN121" s="224">
        <v>0.02</v>
      </c>
      <c r="AO121" s="232">
        <v>0</v>
      </c>
      <c r="AP121" s="232">
        <v>0</v>
      </c>
      <c r="AQ121" s="223"/>
      <c r="AR121" s="236">
        <v>67.5</v>
      </c>
      <c r="AS121" s="222">
        <v>22.768909289587601</v>
      </c>
      <c r="AT121" s="237" t="s">
        <v>55</v>
      </c>
      <c r="AU121" s="234">
        <v>1.4230568305992199</v>
      </c>
      <c r="AV121" s="235">
        <v>15.7030524606933</v>
      </c>
      <c r="AW121" s="224">
        <v>0.01</v>
      </c>
      <c r="AX121" s="224">
        <v>0.01</v>
      </c>
      <c r="AY121" s="232">
        <v>0</v>
      </c>
      <c r="AZ121" s="232">
        <v>0</v>
      </c>
      <c r="BA121" s="223"/>
      <c r="BB121" s="240">
        <v>188</v>
      </c>
      <c r="BC121" s="236">
        <v>63.415628836184702</v>
      </c>
      <c r="BD121" s="237" t="s">
        <v>56</v>
      </c>
      <c r="BE121" s="234">
        <v>1.9817384011307699</v>
      </c>
      <c r="BF121" s="235">
        <v>84.4061049213866</v>
      </c>
      <c r="BG121" s="224">
        <v>0.02</v>
      </c>
      <c r="BH121" s="224">
        <v>0.02</v>
      </c>
      <c r="BI121" s="232">
        <v>0</v>
      </c>
      <c r="BJ121" s="232">
        <v>0</v>
      </c>
      <c r="BK121" s="225"/>
      <c r="BL121" s="241">
        <v>0.8</v>
      </c>
      <c r="BM121" s="238">
        <v>0.86</v>
      </c>
      <c r="BN121" s="242">
        <v>2.2499999999999998E-3</v>
      </c>
      <c r="BO121" s="243">
        <v>0.95</v>
      </c>
      <c r="BP121" s="234">
        <v>1</v>
      </c>
      <c r="BQ121" s="242">
        <v>2.5000000000000001E-3</v>
      </c>
    </row>
    <row r="122" spans="1:69" s="211" customFormat="1" ht="22.35" customHeight="1" x14ac:dyDescent="0.2">
      <c r="A122" s="221" t="s">
        <v>176</v>
      </c>
      <c r="B122" s="221" t="s">
        <v>177</v>
      </c>
      <c r="C122" s="221" t="s">
        <v>183</v>
      </c>
      <c r="D122" s="222">
        <v>3.25939735288889</v>
      </c>
      <c r="E122" s="223"/>
      <c r="F122" s="224">
        <v>0.03</v>
      </c>
      <c r="G122" s="224">
        <v>2.8000000000000001E-2</v>
      </c>
      <c r="H122" s="225"/>
      <c r="I122" s="226">
        <v>3</v>
      </c>
      <c r="J122" s="226">
        <v>3</v>
      </c>
      <c r="K122" s="223"/>
      <c r="L122" s="227">
        <v>790.63486999999998</v>
      </c>
      <c r="M122" s="227">
        <v>486.94038999999998</v>
      </c>
      <c r="N122" s="227">
        <v>1277.5752600000001</v>
      </c>
      <c r="O122" s="222">
        <v>391.96671092208197</v>
      </c>
      <c r="P122" s="228">
        <v>225.95400000000001</v>
      </c>
      <c r="Q122" s="234">
        <v>1.73471906194218</v>
      </c>
      <c r="R122" s="235">
        <v>473.34579453367502</v>
      </c>
      <c r="S122" s="224">
        <v>0.01</v>
      </c>
      <c r="T122" s="224">
        <v>0.01</v>
      </c>
      <c r="U122" s="231">
        <v>0</v>
      </c>
      <c r="V122" s="232">
        <v>0</v>
      </c>
      <c r="W122" s="223"/>
      <c r="X122" s="231">
        <v>1683.9279300000001</v>
      </c>
      <c r="Y122" s="222">
        <v>516.63781603905704</v>
      </c>
      <c r="Z122" s="233">
        <v>573</v>
      </c>
      <c r="AA122" s="244">
        <v>0.90163667720603302</v>
      </c>
      <c r="AB122" s="227">
        <v>-355.52914406022501</v>
      </c>
      <c r="AC122" s="224"/>
      <c r="AD122" s="224"/>
      <c r="AE122" s="232">
        <v>184</v>
      </c>
      <c r="AF122" s="232">
        <v>558</v>
      </c>
      <c r="AG122" s="223"/>
      <c r="AH122" s="236">
        <v>174.05</v>
      </c>
      <c r="AI122" s="222">
        <v>53.399442030513697</v>
      </c>
      <c r="AJ122" s="237" t="s">
        <v>54</v>
      </c>
      <c r="AK122" s="244">
        <v>0.84761019096053503</v>
      </c>
      <c r="AL122" s="227">
        <v>-50.183500289344103</v>
      </c>
      <c r="AM122" s="224"/>
      <c r="AN122" s="224"/>
      <c r="AO122" s="232">
        <v>32</v>
      </c>
      <c r="AP122" s="232">
        <v>73</v>
      </c>
      <c r="AQ122" s="223"/>
      <c r="AR122" s="236">
        <v>28.1</v>
      </c>
      <c r="AS122" s="222">
        <v>8.6212256308959194</v>
      </c>
      <c r="AT122" s="237" t="s">
        <v>55</v>
      </c>
      <c r="AU122" s="229">
        <v>0.53882660193099496</v>
      </c>
      <c r="AV122" s="230">
        <v>-28.848190549674701</v>
      </c>
      <c r="AW122" s="224"/>
      <c r="AX122" s="224"/>
      <c r="AY122" s="232">
        <v>25</v>
      </c>
      <c r="AZ122" s="232">
        <v>35</v>
      </c>
      <c r="BA122" s="223"/>
      <c r="BB122" s="240">
        <v>123</v>
      </c>
      <c r="BC122" s="236">
        <v>37.737037459081797</v>
      </c>
      <c r="BD122" s="237" t="s">
        <v>56</v>
      </c>
      <c r="BE122" s="234">
        <v>1.1792824205963099</v>
      </c>
      <c r="BF122" s="235">
        <v>9.1036189006506198</v>
      </c>
      <c r="BG122" s="224">
        <v>0.02</v>
      </c>
      <c r="BH122" s="224">
        <v>1.7999999999999999E-2</v>
      </c>
      <c r="BI122" s="232">
        <v>0</v>
      </c>
      <c r="BJ122" s="232">
        <v>3</v>
      </c>
      <c r="BK122" s="225"/>
      <c r="BL122" s="241">
        <v>0.8</v>
      </c>
      <c r="BM122" s="244">
        <v>0.78</v>
      </c>
      <c r="BN122" s="242"/>
      <c r="BO122" s="243">
        <v>0.95</v>
      </c>
      <c r="BP122" s="234">
        <v>1</v>
      </c>
      <c r="BQ122" s="242">
        <v>2.5000000000000001E-3</v>
      </c>
    </row>
    <row r="123" spans="1:69" s="211" customFormat="1" ht="22.35" customHeight="1" x14ac:dyDescent="0.2">
      <c r="A123" s="221" t="s">
        <v>176</v>
      </c>
      <c r="B123" s="221" t="s">
        <v>177</v>
      </c>
      <c r="C123" s="221" t="s">
        <v>184</v>
      </c>
      <c r="D123" s="222">
        <v>2.4762819977777801</v>
      </c>
      <c r="E123" s="223"/>
      <c r="F123" s="224">
        <v>0.02</v>
      </c>
      <c r="G123" s="224">
        <v>0.01</v>
      </c>
      <c r="H123" s="225"/>
      <c r="I123" s="226">
        <v>5</v>
      </c>
      <c r="J123" s="226">
        <v>3</v>
      </c>
      <c r="K123" s="223"/>
      <c r="L123" s="227">
        <v>208.34438</v>
      </c>
      <c r="M123" s="227">
        <v>1584.40517</v>
      </c>
      <c r="N123" s="227">
        <v>1792.74955</v>
      </c>
      <c r="O123" s="222">
        <v>723.96825224623797</v>
      </c>
      <c r="P123" s="228">
        <v>224.404</v>
      </c>
      <c r="Q123" s="234">
        <v>3.22618247556299</v>
      </c>
      <c r="R123" s="235">
        <v>1185.93870671118</v>
      </c>
      <c r="S123" s="224">
        <v>0.01</v>
      </c>
      <c r="T123" s="224">
        <v>0.01</v>
      </c>
      <c r="U123" s="231">
        <v>0</v>
      </c>
      <c r="V123" s="232">
        <v>0</v>
      </c>
      <c r="W123" s="223"/>
      <c r="X123" s="231">
        <v>1020.59763</v>
      </c>
      <c r="Y123" s="222">
        <v>412.14919420158401</v>
      </c>
      <c r="Z123" s="233">
        <v>573</v>
      </c>
      <c r="AA123" s="229">
        <v>0.71928306143382903</v>
      </c>
      <c r="AB123" s="230">
        <v>-528.85163652152096</v>
      </c>
      <c r="AC123" s="224"/>
      <c r="AD123" s="224"/>
      <c r="AE123" s="232">
        <v>399</v>
      </c>
      <c r="AF123" s="232">
        <v>683</v>
      </c>
      <c r="AG123" s="223"/>
      <c r="AH123" s="236">
        <v>144.25</v>
      </c>
      <c r="AI123" s="222">
        <v>58.252654636850899</v>
      </c>
      <c r="AJ123" s="237" t="s">
        <v>54</v>
      </c>
      <c r="AK123" s="238">
        <v>0.92464531169604502</v>
      </c>
      <c r="AL123" s="239">
        <v>-26.1082963191202</v>
      </c>
      <c r="AM123" s="224">
        <v>2E-3</v>
      </c>
      <c r="AN123" s="224"/>
      <c r="AO123" s="232">
        <v>12</v>
      </c>
      <c r="AP123" s="232">
        <v>43</v>
      </c>
      <c r="AQ123" s="223"/>
      <c r="AR123" s="236">
        <v>26.9</v>
      </c>
      <c r="AS123" s="222">
        <v>10.863060032799201</v>
      </c>
      <c r="AT123" s="237" t="s">
        <v>55</v>
      </c>
      <c r="AU123" s="229">
        <v>0.67894125204995104</v>
      </c>
      <c r="AV123" s="230">
        <v>-16.365599065173399</v>
      </c>
      <c r="AW123" s="224"/>
      <c r="AX123" s="224"/>
      <c r="AY123" s="232">
        <v>13</v>
      </c>
      <c r="AZ123" s="232">
        <v>21</v>
      </c>
      <c r="BA123" s="223"/>
      <c r="BB123" s="240">
        <v>78.2</v>
      </c>
      <c r="BC123" s="236">
        <v>31.579602028434898</v>
      </c>
      <c r="BD123" s="237" t="s">
        <v>56</v>
      </c>
      <c r="BE123" s="238">
        <v>0.98686256338859102</v>
      </c>
      <c r="BF123" s="239">
        <v>-8.3311981303467508</v>
      </c>
      <c r="BG123" s="224">
        <v>8.0000000000000002E-3</v>
      </c>
      <c r="BH123" s="224"/>
      <c r="BI123" s="232">
        <v>2</v>
      </c>
      <c r="BJ123" s="232">
        <v>17</v>
      </c>
      <c r="BK123" s="225"/>
      <c r="BL123" s="241">
        <v>0.8</v>
      </c>
      <c r="BM123" s="238">
        <v>0.84</v>
      </c>
      <c r="BN123" s="242">
        <v>1.5E-3</v>
      </c>
      <c r="BO123" s="243">
        <v>0.95</v>
      </c>
      <c r="BP123" s="234">
        <v>1</v>
      </c>
      <c r="BQ123" s="242">
        <v>2.5000000000000001E-3</v>
      </c>
    </row>
    <row r="124" spans="1:69" s="211" customFormat="1" ht="22.35" customHeight="1" x14ac:dyDescent="0.2">
      <c r="A124" s="221" t="s">
        <v>176</v>
      </c>
      <c r="B124" s="221" t="s">
        <v>177</v>
      </c>
      <c r="C124" s="221" t="s">
        <v>185</v>
      </c>
      <c r="D124" s="222">
        <v>6.49187964211111</v>
      </c>
      <c r="E124" s="223"/>
      <c r="F124" s="224">
        <v>1.2999999999999999E-2</v>
      </c>
      <c r="G124" s="224"/>
      <c r="H124" s="225"/>
      <c r="I124" s="226">
        <v>3</v>
      </c>
      <c r="J124" s="226">
        <v>1</v>
      </c>
      <c r="K124" s="223"/>
      <c r="L124" s="227">
        <v>1658.9607800000001</v>
      </c>
      <c r="M124" s="227">
        <v>-1602.0561600000001</v>
      </c>
      <c r="N124" s="227">
        <v>56.904620000000001</v>
      </c>
      <c r="O124" s="222">
        <v>8.7655075474404605</v>
      </c>
      <c r="P124" s="228">
        <v>272.23099999999999</v>
      </c>
      <c r="Q124" s="229">
        <v>3.2198785397109297E-2</v>
      </c>
      <c r="R124" s="230">
        <v>-1872.9770284418901</v>
      </c>
      <c r="S124" s="224"/>
      <c r="T124" s="224"/>
      <c r="U124" s="231">
        <v>1711</v>
      </c>
      <c r="V124" s="232">
        <v>2064</v>
      </c>
      <c r="W124" s="223"/>
      <c r="X124" s="231">
        <v>3602.3435650000001</v>
      </c>
      <c r="Y124" s="222">
        <v>554.89993092794703</v>
      </c>
      <c r="Z124" s="233">
        <v>573</v>
      </c>
      <c r="AA124" s="238">
        <v>0.96841174682015096</v>
      </c>
      <c r="AB124" s="239">
        <v>-459.729397143195</v>
      </c>
      <c r="AC124" s="224">
        <v>6.0000000000000001E-3</v>
      </c>
      <c r="AD124" s="224"/>
      <c r="AE124" s="232">
        <v>118</v>
      </c>
      <c r="AF124" s="232">
        <v>862</v>
      </c>
      <c r="AG124" s="223"/>
      <c r="AH124" s="236">
        <v>223.4</v>
      </c>
      <c r="AI124" s="222">
        <v>34.412221469859503</v>
      </c>
      <c r="AJ124" s="237" t="s">
        <v>54</v>
      </c>
      <c r="AK124" s="229">
        <v>0.54622573761681803</v>
      </c>
      <c r="AL124" s="230">
        <v>-223.215351858676</v>
      </c>
      <c r="AM124" s="224"/>
      <c r="AN124" s="224"/>
      <c r="AO124" s="232">
        <v>186</v>
      </c>
      <c r="AP124" s="232">
        <v>268</v>
      </c>
      <c r="AQ124" s="223"/>
      <c r="AR124" s="236">
        <v>47.8</v>
      </c>
      <c r="AS124" s="222">
        <v>7.3630447012501596</v>
      </c>
      <c r="AT124" s="237" t="s">
        <v>55</v>
      </c>
      <c r="AU124" s="229">
        <v>0.46019029382813498</v>
      </c>
      <c r="AV124" s="230">
        <v>-65.6261211069653</v>
      </c>
      <c r="AW124" s="224"/>
      <c r="AX124" s="224"/>
      <c r="AY124" s="232">
        <v>57</v>
      </c>
      <c r="AZ124" s="232">
        <v>77</v>
      </c>
      <c r="BA124" s="223"/>
      <c r="BB124" s="240">
        <v>202.6</v>
      </c>
      <c r="BC124" s="236">
        <v>31.208218754671201</v>
      </c>
      <c r="BD124" s="237" t="s">
        <v>56</v>
      </c>
      <c r="BE124" s="238">
        <v>0.97525683608347402</v>
      </c>
      <c r="BF124" s="239">
        <v>-24.2522422139307</v>
      </c>
      <c r="BG124" s="224">
        <v>7.0000000000000001E-3</v>
      </c>
      <c r="BH124" s="224"/>
      <c r="BI124" s="232">
        <v>6</v>
      </c>
      <c r="BJ124" s="232">
        <v>47</v>
      </c>
      <c r="BK124" s="225"/>
      <c r="BL124" s="241">
        <v>0.8</v>
      </c>
      <c r="BM124" s="244">
        <v>0.79</v>
      </c>
      <c r="BN124" s="242"/>
      <c r="BO124" s="243">
        <v>0.95</v>
      </c>
      <c r="BP124" s="234">
        <v>1</v>
      </c>
      <c r="BQ124" s="242">
        <v>2.5000000000000001E-3</v>
      </c>
    </row>
    <row r="125" spans="1:69" s="211" customFormat="1" ht="22.35" customHeight="1" x14ac:dyDescent="0.2">
      <c r="A125" s="221" t="s">
        <v>176</v>
      </c>
      <c r="B125" s="221" t="s">
        <v>177</v>
      </c>
      <c r="C125" s="221" t="s">
        <v>186</v>
      </c>
      <c r="D125" s="222">
        <v>2.7823128829999999</v>
      </c>
      <c r="E125" s="223"/>
      <c r="F125" s="224">
        <v>0.03</v>
      </c>
      <c r="G125" s="224">
        <v>2.1999999999999999E-2</v>
      </c>
      <c r="H125" s="225"/>
      <c r="I125" s="226">
        <v>4</v>
      </c>
      <c r="J125" s="226">
        <v>4</v>
      </c>
      <c r="K125" s="223"/>
      <c r="L125" s="227">
        <v>1048.1140499999999</v>
      </c>
      <c r="M125" s="227">
        <v>899.41371000000004</v>
      </c>
      <c r="N125" s="227">
        <v>1947.5277599999999</v>
      </c>
      <c r="O125" s="222">
        <v>699.96720063348801</v>
      </c>
      <c r="P125" s="228">
        <v>278.23599999999999</v>
      </c>
      <c r="Q125" s="234">
        <v>2.51573197082149</v>
      </c>
      <c r="R125" s="235">
        <v>1102.16730881269</v>
      </c>
      <c r="S125" s="224">
        <v>0.01</v>
      </c>
      <c r="T125" s="224">
        <v>0.01</v>
      </c>
      <c r="U125" s="231">
        <v>0</v>
      </c>
      <c r="V125" s="232">
        <v>0</v>
      </c>
      <c r="W125" s="223"/>
      <c r="X125" s="231">
        <v>1247.7566549999999</v>
      </c>
      <c r="Y125" s="222">
        <v>448.46022265282397</v>
      </c>
      <c r="Z125" s="233">
        <v>573</v>
      </c>
      <c r="AA125" s="244">
        <v>0.78265309363494495</v>
      </c>
      <c r="AB125" s="227">
        <v>-493.181032899228</v>
      </c>
      <c r="AC125" s="224"/>
      <c r="AD125" s="224"/>
      <c r="AE125" s="232">
        <v>347</v>
      </c>
      <c r="AF125" s="232">
        <v>666</v>
      </c>
      <c r="AG125" s="223"/>
      <c r="AH125" s="236">
        <v>132.85</v>
      </c>
      <c r="AI125" s="222">
        <v>47.748044733472199</v>
      </c>
      <c r="AJ125" s="237" t="s">
        <v>54</v>
      </c>
      <c r="AK125" s="244">
        <v>0.75790547195987601</v>
      </c>
      <c r="AL125" s="227">
        <v>-58.561997098867998</v>
      </c>
      <c r="AM125" s="224"/>
      <c r="AN125" s="224"/>
      <c r="AO125" s="232">
        <v>43</v>
      </c>
      <c r="AP125" s="232">
        <v>78</v>
      </c>
      <c r="AQ125" s="223"/>
      <c r="AR125" s="236">
        <v>19.100000000000001</v>
      </c>
      <c r="AS125" s="222">
        <v>6.8647922800851999</v>
      </c>
      <c r="AT125" s="237" t="s">
        <v>55</v>
      </c>
      <c r="AU125" s="229">
        <v>0.429049517505325</v>
      </c>
      <c r="AV125" s="230">
        <v>-29.512570691775998</v>
      </c>
      <c r="AW125" s="224"/>
      <c r="AX125" s="224"/>
      <c r="AY125" s="232">
        <v>26</v>
      </c>
      <c r="AZ125" s="232">
        <v>35</v>
      </c>
      <c r="BA125" s="223"/>
      <c r="BB125" s="240">
        <v>100</v>
      </c>
      <c r="BC125" s="236">
        <v>35.941320838142403</v>
      </c>
      <c r="BD125" s="237" t="s">
        <v>56</v>
      </c>
      <c r="BE125" s="234">
        <v>1.1231662761919501</v>
      </c>
      <c r="BF125" s="235">
        <v>2.77485861644799</v>
      </c>
      <c r="BG125" s="224">
        <v>0.02</v>
      </c>
      <c r="BH125" s="224">
        <v>1.2E-2</v>
      </c>
      <c r="BI125" s="232">
        <v>0</v>
      </c>
      <c r="BJ125" s="232">
        <v>7</v>
      </c>
      <c r="BK125" s="225"/>
      <c r="BL125" s="241">
        <v>0.8</v>
      </c>
      <c r="BM125" s="238">
        <v>0.84</v>
      </c>
      <c r="BN125" s="242">
        <v>1.5E-3</v>
      </c>
      <c r="BO125" s="243">
        <v>0.95</v>
      </c>
      <c r="BP125" s="234">
        <v>1</v>
      </c>
      <c r="BQ125" s="242">
        <v>2.5000000000000001E-3</v>
      </c>
    </row>
    <row r="126" spans="1:69" s="211" customFormat="1" ht="22.35" customHeight="1" x14ac:dyDescent="0.2">
      <c r="A126" s="221" t="s">
        <v>176</v>
      </c>
      <c r="B126" s="221" t="s">
        <v>177</v>
      </c>
      <c r="C126" s="221" t="s">
        <v>187</v>
      </c>
      <c r="D126" s="222">
        <v>6.3293904736666704</v>
      </c>
      <c r="E126" s="223"/>
      <c r="F126" s="224">
        <v>2.5000000000000001E-2</v>
      </c>
      <c r="G126" s="224">
        <v>1.4E-2</v>
      </c>
      <c r="H126" s="225"/>
      <c r="I126" s="226">
        <v>3</v>
      </c>
      <c r="J126" s="226">
        <v>3</v>
      </c>
      <c r="K126" s="223"/>
      <c r="L126" s="227">
        <v>2477.6832899999999</v>
      </c>
      <c r="M126" s="227">
        <v>1525.7341899999999</v>
      </c>
      <c r="N126" s="227">
        <v>4003.4174800000001</v>
      </c>
      <c r="O126" s="222">
        <v>632.512324315613</v>
      </c>
      <c r="P126" s="228">
        <v>213.245</v>
      </c>
      <c r="Q126" s="234">
        <v>2.9661296833014301</v>
      </c>
      <c r="R126" s="235">
        <v>2529.5332082597001</v>
      </c>
      <c r="S126" s="224">
        <v>0.01</v>
      </c>
      <c r="T126" s="224">
        <v>0.01</v>
      </c>
      <c r="U126" s="231">
        <v>0</v>
      </c>
      <c r="V126" s="232">
        <v>0</v>
      </c>
      <c r="W126" s="223"/>
      <c r="X126" s="231">
        <v>2976.8964649999998</v>
      </c>
      <c r="Y126" s="222">
        <v>470.32909051595601</v>
      </c>
      <c r="Z126" s="233">
        <v>573</v>
      </c>
      <c r="AA126" s="244">
        <v>0.82081865709590895</v>
      </c>
      <c r="AB126" s="227">
        <v>-983.50442462081401</v>
      </c>
      <c r="AC126" s="224"/>
      <c r="AD126" s="224"/>
      <c r="AE126" s="232">
        <v>650</v>
      </c>
      <c r="AF126" s="232">
        <v>1376</v>
      </c>
      <c r="AG126" s="223"/>
      <c r="AH126" s="236">
        <v>251</v>
      </c>
      <c r="AI126" s="222">
        <v>39.656267225774997</v>
      </c>
      <c r="AJ126" s="237" t="s">
        <v>54</v>
      </c>
      <c r="AK126" s="229">
        <v>0.62946455913928601</v>
      </c>
      <c r="AL126" s="230">
        <v>-184.43674702637199</v>
      </c>
      <c r="AM126" s="224"/>
      <c r="AN126" s="224"/>
      <c r="AO126" s="232">
        <v>148</v>
      </c>
      <c r="AP126" s="232">
        <v>228</v>
      </c>
      <c r="AQ126" s="223"/>
      <c r="AR126" s="236">
        <v>79.900000000000006</v>
      </c>
      <c r="AS126" s="222">
        <v>12.6236484117108</v>
      </c>
      <c r="AT126" s="237" t="s">
        <v>55</v>
      </c>
      <c r="AU126" s="244">
        <v>0.78897802573192699</v>
      </c>
      <c r="AV126" s="227">
        <v>-30.6871103559041</v>
      </c>
      <c r="AW126" s="224"/>
      <c r="AX126" s="224"/>
      <c r="AY126" s="232">
        <v>22</v>
      </c>
      <c r="AZ126" s="232">
        <v>42</v>
      </c>
      <c r="BA126" s="223"/>
      <c r="BB126" s="240">
        <v>211.6</v>
      </c>
      <c r="BC126" s="236">
        <v>33.431339223004002</v>
      </c>
      <c r="BD126" s="237" t="s">
        <v>56</v>
      </c>
      <c r="BE126" s="238">
        <v>1.04472935071887</v>
      </c>
      <c r="BF126" s="239">
        <v>-9.5742207118081204</v>
      </c>
      <c r="BG126" s="224">
        <v>1.4999999999999999E-2</v>
      </c>
      <c r="BH126" s="224">
        <v>4.0000000000000001E-3</v>
      </c>
      <c r="BI126" s="232">
        <v>0</v>
      </c>
      <c r="BJ126" s="232">
        <v>32</v>
      </c>
      <c r="BK126" s="225"/>
      <c r="BL126" s="241">
        <v>0.8</v>
      </c>
      <c r="BM126" s="244">
        <v>0.74</v>
      </c>
      <c r="BN126" s="242"/>
      <c r="BO126" s="243">
        <v>0.95</v>
      </c>
      <c r="BP126" s="234">
        <v>1</v>
      </c>
      <c r="BQ126" s="242">
        <v>2.5000000000000001E-3</v>
      </c>
    </row>
    <row r="127" spans="1:69" s="211" customFormat="1" ht="22.35" customHeight="1" x14ac:dyDescent="0.2">
      <c r="A127" s="221" t="s">
        <v>176</v>
      </c>
      <c r="B127" s="221" t="s">
        <v>188</v>
      </c>
      <c r="C127" s="221" t="s">
        <v>189</v>
      </c>
      <c r="D127" s="222">
        <v>2.9213564213333298</v>
      </c>
      <c r="E127" s="223"/>
      <c r="F127" s="224">
        <v>5.7000000000000002E-2</v>
      </c>
      <c r="G127" s="224">
        <v>4.4999999999999998E-2</v>
      </c>
      <c r="H127" s="225"/>
      <c r="I127" s="226">
        <v>6</v>
      </c>
      <c r="J127" s="226">
        <v>5</v>
      </c>
      <c r="K127" s="223"/>
      <c r="L127" s="227">
        <v>1205.29936</v>
      </c>
      <c r="M127" s="227">
        <v>1263.7996499999999</v>
      </c>
      <c r="N127" s="227">
        <v>2469.0990099999999</v>
      </c>
      <c r="O127" s="222">
        <v>845.18923879650401</v>
      </c>
      <c r="P127" s="228">
        <v>212.5</v>
      </c>
      <c r="Q127" s="234">
        <v>3.9773611237482598</v>
      </c>
      <c r="R127" s="235">
        <v>1791.1982524296</v>
      </c>
      <c r="S127" s="224">
        <v>0.01</v>
      </c>
      <c r="T127" s="224">
        <v>0.01</v>
      </c>
      <c r="U127" s="231">
        <v>0</v>
      </c>
      <c r="V127" s="232">
        <v>0</v>
      </c>
      <c r="W127" s="223"/>
      <c r="X127" s="231">
        <v>1920.73073</v>
      </c>
      <c r="Y127" s="222">
        <v>657.47907922969603</v>
      </c>
      <c r="Z127" s="233">
        <v>573</v>
      </c>
      <c r="AA127" s="234">
        <v>1.14743294804484</v>
      </c>
      <c r="AB127" s="235">
        <v>92.791275468994201</v>
      </c>
      <c r="AC127" s="224">
        <v>0.02</v>
      </c>
      <c r="AD127" s="224">
        <v>1.4999999999999999E-2</v>
      </c>
      <c r="AE127" s="232">
        <v>0</v>
      </c>
      <c r="AF127" s="232">
        <v>88</v>
      </c>
      <c r="AG127" s="223"/>
      <c r="AH127" s="236">
        <v>179.5</v>
      </c>
      <c r="AI127" s="222">
        <v>61.444060262278597</v>
      </c>
      <c r="AJ127" s="237" t="s">
        <v>54</v>
      </c>
      <c r="AK127" s="238">
        <v>0.97530254384569304</v>
      </c>
      <c r="AL127" s="239">
        <v>-21.4776363620478</v>
      </c>
      <c r="AM127" s="224">
        <v>7.0000000000000001E-3</v>
      </c>
      <c r="AN127" s="224"/>
      <c r="AO127" s="232">
        <v>5</v>
      </c>
      <c r="AP127" s="232">
        <v>42</v>
      </c>
      <c r="AQ127" s="223"/>
      <c r="AR127" s="236">
        <v>16.399999999999999</v>
      </c>
      <c r="AS127" s="222">
        <v>5.6138305754950997</v>
      </c>
      <c r="AT127" s="237" t="s">
        <v>55</v>
      </c>
      <c r="AU127" s="229">
        <v>0.35086441096844401</v>
      </c>
      <c r="AV127" s="230">
        <v>-34.6419393935359</v>
      </c>
      <c r="AW127" s="224"/>
      <c r="AX127" s="224"/>
      <c r="AY127" s="232">
        <v>31</v>
      </c>
      <c r="AZ127" s="232">
        <v>40</v>
      </c>
      <c r="BA127" s="223"/>
      <c r="BB127" s="240">
        <v>122.4</v>
      </c>
      <c r="BC127" s="236">
        <v>41.898345270768303</v>
      </c>
      <c r="BD127" s="237" t="s">
        <v>56</v>
      </c>
      <c r="BE127" s="234">
        <v>1.3093232897115099</v>
      </c>
      <c r="BF127" s="235">
        <v>20.316121212928099</v>
      </c>
      <c r="BG127" s="224">
        <v>0.02</v>
      </c>
      <c r="BH127" s="224">
        <v>0.02</v>
      </c>
      <c r="BI127" s="232">
        <v>0</v>
      </c>
      <c r="BJ127" s="232">
        <v>0</v>
      </c>
      <c r="BK127" s="225"/>
      <c r="BL127" s="241">
        <v>0.8</v>
      </c>
      <c r="BM127" s="238">
        <v>0.85</v>
      </c>
      <c r="BN127" s="242">
        <v>1.8749999999999999E-3</v>
      </c>
      <c r="BO127" s="243">
        <v>0.95</v>
      </c>
      <c r="BP127" s="234">
        <v>1</v>
      </c>
      <c r="BQ127" s="242">
        <v>2.5000000000000001E-3</v>
      </c>
    </row>
    <row r="128" spans="1:69" s="211" customFormat="1" ht="22.35" customHeight="1" x14ac:dyDescent="0.2">
      <c r="A128" s="221" t="s">
        <v>176</v>
      </c>
      <c r="B128" s="221" t="s">
        <v>188</v>
      </c>
      <c r="C128" s="221" t="s">
        <v>190</v>
      </c>
      <c r="D128" s="222">
        <v>8.5281722426666704</v>
      </c>
      <c r="E128" s="223"/>
      <c r="F128" s="224">
        <v>0.04</v>
      </c>
      <c r="G128" s="224">
        <v>0.04</v>
      </c>
      <c r="H128" s="225"/>
      <c r="I128" s="226">
        <v>4</v>
      </c>
      <c r="J128" s="226">
        <v>4</v>
      </c>
      <c r="K128" s="223"/>
      <c r="L128" s="227">
        <v>8846.2306599999993</v>
      </c>
      <c r="M128" s="227">
        <v>2478.0272</v>
      </c>
      <c r="N128" s="227">
        <v>11324.25786</v>
      </c>
      <c r="O128" s="222">
        <v>1327.8645808001399</v>
      </c>
      <c r="P128" s="228">
        <v>246.12100000000001</v>
      </c>
      <c r="Q128" s="234">
        <v>5.3951697774677498</v>
      </c>
      <c r="R128" s="235">
        <v>9032.1910496532</v>
      </c>
      <c r="S128" s="224">
        <v>0.01</v>
      </c>
      <c r="T128" s="224">
        <v>0.01</v>
      </c>
      <c r="U128" s="231">
        <v>0</v>
      </c>
      <c r="V128" s="232">
        <v>0</v>
      </c>
      <c r="W128" s="223"/>
      <c r="X128" s="231">
        <v>4120.688185</v>
      </c>
      <c r="Y128" s="222">
        <v>483.18538459906898</v>
      </c>
      <c r="Z128" s="233">
        <v>573</v>
      </c>
      <c r="AA128" s="244">
        <v>0.84325547050448402</v>
      </c>
      <c r="AB128" s="227">
        <v>-1215.5256379924199</v>
      </c>
      <c r="AC128" s="224"/>
      <c r="AD128" s="224"/>
      <c r="AE128" s="232">
        <v>766</v>
      </c>
      <c r="AF128" s="232">
        <v>1744</v>
      </c>
      <c r="AG128" s="223"/>
      <c r="AH128" s="236">
        <v>360.05</v>
      </c>
      <c r="AI128" s="222">
        <v>42.218894008573201</v>
      </c>
      <c r="AJ128" s="237" t="s">
        <v>54</v>
      </c>
      <c r="AK128" s="229">
        <v>0.67014117473925705</v>
      </c>
      <c r="AL128" s="230">
        <v>-226.65413760649599</v>
      </c>
      <c r="AM128" s="224"/>
      <c r="AN128" s="224"/>
      <c r="AO128" s="232">
        <v>178</v>
      </c>
      <c r="AP128" s="232">
        <v>285</v>
      </c>
      <c r="AQ128" s="223"/>
      <c r="AR128" s="236">
        <v>176.6</v>
      </c>
      <c r="AS128" s="222">
        <v>20.707836916856099</v>
      </c>
      <c r="AT128" s="237" t="s">
        <v>55</v>
      </c>
      <c r="AU128" s="234">
        <v>1.2942398073035</v>
      </c>
      <c r="AV128" s="235">
        <v>27.595774576127901</v>
      </c>
      <c r="AW128" s="224">
        <v>0.01</v>
      </c>
      <c r="AX128" s="224">
        <v>0.01</v>
      </c>
      <c r="AY128" s="232">
        <v>0</v>
      </c>
      <c r="AZ128" s="232">
        <v>0</v>
      </c>
      <c r="BA128" s="223"/>
      <c r="BB128" s="240">
        <v>402.2</v>
      </c>
      <c r="BC128" s="236">
        <v>47.161336398411699</v>
      </c>
      <c r="BD128" s="237" t="s">
        <v>56</v>
      </c>
      <c r="BE128" s="234">
        <v>1.47379176245037</v>
      </c>
      <c r="BF128" s="235">
        <v>104.191549152256</v>
      </c>
      <c r="BG128" s="224">
        <v>0.02</v>
      </c>
      <c r="BH128" s="224">
        <v>0.02</v>
      </c>
      <c r="BI128" s="232">
        <v>0</v>
      </c>
      <c r="BJ128" s="232">
        <v>0</v>
      </c>
      <c r="BK128" s="225"/>
      <c r="BL128" s="241">
        <v>0.8</v>
      </c>
      <c r="BM128" s="244">
        <v>0.79</v>
      </c>
      <c r="BN128" s="242"/>
      <c r="BO128" s="243">
        <v>0.95</v>
      </c>
      <c r="BP128" s="234">
        <v>1</v>
      </c>
      <c r="BQ128" s="242">
        <v>2.5000000000000001E-3</v>
      </c>
    </row>
    <row r="129" spans="1:69" s="211" customFormat="1" ht="22.35" customHeight="1" x14ac:dyDescent="0.2">
      <c r="A129" s="221" t="s">
        <v>176</v>
      </c>
      <c r="B129" s="221" t="s">
        <v>188</v>
      </c>
      <c r="C129" s="221" t="s">
        <v>188</v>
      </c>
      <c r="D129" s="222">
        <v>4.1541729739999997</v>
      </c>
      <c r="E129" s="223"/>
      <c r="F129" s="224">
        <v>0.08</v>
      </c>
      <c r="G129" s="224">
        <v>7.0000000000000007E-2</v>
      </c>
      <c r="H129" s="225"/>
      <c r="I129" s="226">
        <v>7</v>
      </c>
      <c r="J129" s="226">
        <v>7</v>
      </c>
      <c r="K129" s="223"/>
      <c r="L129" s="227">
        <v>2018.87652</v>
      </c>
      <c r="M129" s="227">
        <v>2638.0044600000001</v>
      </c>
      <c r="N129" s="227">
        <v>4656.8809799999999</v>
      </c>
      <c r="O129" s="222">
        <v>1121.01277658546</v>
      </c>
      <c r="P129" s="228">
        <v>212.5</v>
      </c>
      <c r="Q129" s="234">
        <v>5.2753542427551103</v>
      </c>
      <c r="R129" s="235">
        <v>3692.9051413832999</v>
      </c>
      <c r="S129" s="224">
        <v>0.01</v>
      </c>
      <c r="T129" s="224">
        <v>0.01</v>
      </c>
      <c r="U129" s="231">
        <v>0</v>
      </c>
      <c r="V129" s="232">
        <v>0</v>
      </c>
      <c r="W129" s="223"/>
      <c r="X129" s="231">
        <v>2765.57357</v>
      </c>
      <c r="Y129" s="222">
        <v>665.73385059049804</v>
      </c>
      <c r="Z129" s="233">
        <v>573</v>
      </c>
      <c r="AA129" s="234">
        <v>1.1618391807862101</v>
      </c>
      <c r="AB129" s="235">
        <v>166.24107340061599</v>
      </c>
      <c r="AC129" s="224">
        <v>0.02</v>
      </c>
      <c r="AD129" s="224">
        <v>1.6E-2</v>
      </c>
      <c r="AE129" s="232">
        <v>0</v>
      </c>
      <c r="AF129" s="232">
        <v>91</v>
      </c>
      <c r="AG129" s="223"/>
      <c r="AH129" s="236">
        <v>298</v>
      </c>
      <c r="AI129" s="222">
        <v>71.735096700381206</v>
      </c>
      <c r="AJ129" s="237" t="s">
        <v>54</v>
      </c>
      <c r="AK129" s="234">
        <v>1.1386523285774801</v>
      </c>
      <c r="AL129" s="235">
        <v>12.2095160806959</v>
      </c>
      <c r="AM129" s="224">
        <v>0.02</v>
      </c>
      <c r="AN129" s="224">
        <v>1.4E-2</v>
      </c>
      <c r="AO129" s="232">
        <v>0</v>
      </c>
      <c r="AP129" s="232">
        <v>17</v>
      </c>
      <c r="AQ129" s="223"/>
      <c r="AR129" s="236">
        <v>98.8</v>
      </c>
      <c r="AS129" s="222">
        <v>23.783313939589501</v>
      </c>
      <c r="AT129" s="237" t="s">
        <v>55</v>
      </c>
      <c r="AU129" s="234">
        <v>1.48645712122434</v>
      </c>
      <c r="AV129" s="235">
        <v>26.218289798272</v>
      </c>
      <c r="AW129" s="224">
        <v>0.01</v>
      </c>
      <c r="AX129" s="224">
        <v>0.01</v>
      </c>
      <c r="AY129" s="232">
        <v>0</v>
      </c>
      <c r="AZ129" s="232">
        <v>0</v>
      </c>
      <c r="BA129" s="223"/>
      <c r="BB129" s="240">
        <v>229.8</v>
      </c>
      <c r="BC129" s="236">
        <v>55.317869871636198</v>
      </c>
      <c r="BD129" s="237" t="s">
        <v>56</v>
      </c>
      <c r="BE129" s="234">
        <v>1.7286834334886301</v>
      </c>
      <c r="BF129" s="235">
        <v>84.636579596543996</v>
      </c>
      <c r="BG129" s="224">
        <v>0.02</v>
      </c>
      <c r="BH129" s="224">
        <v>0.02</v>
      </c>
      <c r="BI129" s="232">
        <v>0</v>
      </c>
      <c r="BJ129" s="232">
        <v>0</v>
      </c>
      <c r="BK129" s="225"/>
      <c r="BL129" s="241">
        <v>0.8</v>
      </c>
      <c r="BM129" s="238">
        <v>0.82</v>
      </c>
      <c r="BN129" s="242">
        <v>7.5000000000000002E-4</v>
      </c>
      <c r="BO129" s="243">
        <v>0.95</v>
      </c>
      <c r="BP129" s="234">
        <v>1</v>
      </c>
      <c r="BQ129" s="242">
        <v>2.5000000000000001E-3</v>
      </c>
    </row>
    <row r="130" spans="1:69" s="211" customFormat="1" ht="22.35" customHeight="1" x14ac:dyDescent="0.2">
      <c r="A130" s="221" t="s">
        <v>176</v>
      </c>
      <c r="B130" s="221" t="s">
        <v>188</v>
      </c>
      <c r="C130" s="221" t="s">
        <v>191</v>
      </c>
      <c r="D130" s="222">
        <v>3.1974210582222198</v>
      </c>
      <c r="E130" s="223"/>
      <c r="F130" s="224">
        <v>0.03</v>
      </c>
      <c r="G130" s="224">
        <v>2.3E-2</v>
      </c>
      <c r="H130" s="225"/>
      <c r="I130" s="226">
        <v>4</v>
      </c>
      <c r="J130" s="226">
        <v>4</v>
      </c>
      <c r="K130" s="223"/>
      <c r="L130" s="227">
        <v>2174.2863600000001</v>
      </c>
      <c r="M130" s="227">
        <v>2769.0284099999999</v>
      </c>
      <c r="N130" s="227">
        <v>4943.31477</v>
      </c>
      <c r="O130" s="222">
        <v>1546.0318425339001</v>
      </c>
      <c r="P130" s="228">
        <v>212.5</v>
      </c>
      <c r="Q130" s="234">
        <v>7.2754439648654099</v>
      </c>
      <c r="R130" s="235">
        <v>4201.35321343953</v>
      </c>
      <c r="S130" s="224">
        <v>0.01</v>
      </c>
      <c r="T130" s="224">
        <v>0.01</v>
      </c>
      <c r="U130" s="231">
        <v>0</v>
      </c>
      <c r="V130" s="232">
        <v>0</v>
      </c>
      <c r="W130" s="223"/>
      <c r="X130" s="231">
        <v>1276.3999349999999</v>
      </c>
      <c r="Y130" s="222">
        <v>399.196700014756</v>
      </c>
      <c r="Z130" s="233">
        <v>573</v>
      </c>
      <c r="AA130" s="229">
        <v>0.696678359537096</v>
      </c>
      <c r="AB130" s="230">
        <v>-724.277579866574</v>
      </c>
      <c r="AC130" s="224"/>
      <c r="AD130" s="224"/>
      <c r="AE130" s="232">
        <v>556</v>
      </c>
      <c r="AF130" s="232">
        <v>923</v>
      </c>
      <c r="AG130" s="223"/>
      <c r="AH130" s="236">
        <v>110.9</v>
      </c>
      <c r="AI130" s="222">
        <v>34.6842026685284</v>
      </c>
      <c r="AJ130" s="237" t="s">
        <v>54</v>
      </c>
      <c r="AK130" s="229">
        <v>0.55054289950044999</v>
      </c>
      <c r="AL130" s="230">
        <v>-109.06977912145599</v>
      </c>
      <c r="AM130" s="224"/>
      <c r="AN130" s="224"/>
      <c r="AO130" s="232">
        <v>91</v>
      </c>
      <c r="AP130" s="232">
        <v>131</v>
      </c>
      <c r="AQ130" s="223"/>
      <c r="AR130" s="236">
        <v>24</v>
      </c>
      <c r="AS130" s="222">
        <v>7.5060492700151604</v>
      </c>
      <c r="AT130" s="237" t="s">
        <v>55</v>
      </c>
      <c r="AU130" s="229">
        <v>0.46912807937594803</v>
      </c>
      <c r="AV130" s="230">
        <v>-31.865340729258602</v>
      </c>
      <c r="AW130" s="224"/>
      <c r="AX130" s="224"/>
      <c r="AY130" s="232">
        <v>28</v>
      </c>
      <c r="AZ130" s="232">
        <v>38</v>
      </c>
      <c r="BA130" s="223"/>
      <c r="BB130" s="240">
        <v>116</v>
      </c>
      <c r="BC130" s="236">
        <v>36.279238138406598</v>
      </c>
      <c r="BD130" s="237" t="s">
        <v>56</v>
      </c>
      <c r="BE130" s="234">
        <v>1.13372619182521</v>
      </c>
      <c r="BF130" s="235">
        <v>4.2693185414827504</v>
      </c>
      <c r="BG130" s="224">
        <v>0.02</v>
      </c>
      <c r="BH130" s="224">
        <v>1.2999999999999999E-2</v>
      </c>
      <c r="BI130" s="232">
        <v>0</v>
      </c>
      <c r="BJ130" s="232">
        <v>7</v>
      </c>
      <c r="BK130" s="225"/>
      <c r="BL130" s="241">
        <v>0.8</v>
      </c>
      <c r="BM130" s="238">
        <v>0.81</v>
      </c>
      <c r="BN130" s="242">
        <v>3.7500000000000001E-4</v>
      </c>
      <c r="BO130" s="243">
        <v>0.95</v>
      </c>
      <c r="BP130" s="234">
        <v>1</v>
      </c>
      <c r="BQ130" s="242">
        <v>2.5000000000000001E-3</v>
      </c>
    </row>
    <row r="131" spans="1:69" s="211" customFormat="1" ht="22.35" customHeight="1" x14ac:dyDescent="0.2">
      <c r="A131" s="221" t="s">
        <v>176</v>
      </c>
      <c r="B131" s="221" t="s">
        <v>188</v>
      </c>
      <c r="C131" s="221" t="s">
        <v>192</v>
      </c>
      <c r="D131" s="222">
        <v>3.6646238142222201</v>
      </c>
      <c r="E131" s="223"/>
      <c r="F131" s="224">
        <v>4.5999999999999999E-2</v>
      </c>
      <c r="G131" s="224">
        <v>2.4E-2</v>
      </c>
      <c r="H131" s="225"/>
      <c r="I131" s="226">
        <v>6</v>
      </c>
      <c r="J131" s="226">
        <v>5</v>
      </c>
      <c r="K131" s="223"/>
      <c r="L131" s="227">
        <v>722.55963999999994</v>
      </c>
      <c r="M131" s="227">
        <v>1290.97102</v>
      </c>
      <c r="N131" s="227">
        <v>2013.5306599999999</v>
      </c>
      <c r="O131" s="222">
        <v>549.450847365448</v>
      </c>
      <c r="P131" s="228">
        <v>212.5</v>
      </c>
      <c r="Q131" s="234">
        <v>2.5856510464256401</v>
      </c>
      <c r="R131" s="235">
        <v>1163.15470390973</v>
      </c>
      <c r="S131" s="224">
        <v>0.01</v>
      </c>
      <c r="T131" s="224">
        <v>0.01</v>
      </c>
      <c r="U131" s="231">
        <v>0</v>
      </c>
      <c r="V131" s="232">
        <v>0</v>
      </c>
      <c r="W131" s="223"/>
      <c r="X131" s="231">
        <v>1935.76926</v>
      </c>
      <c r="Y131" s="222">
        <v>528.23137056725295</v>
      </c>
      <c r="Z131" s="233">
        <v>573</v>
      </c>
      <c r="AA131" s="238">
        <v>0.92186975666187299</v>
      </c>
      <c r="AB131" s="239">
        <v>-357.24449453987</v>
      </c>
      <c r="AC131" s="224">
        <v>1E-3</v>
      </c>
      <c r="AD131" s="224"/>
      <c r="AE131" s="232">
        <v>165</v>
      </c>
      <c r="AF131" s="232">
        <v>585</v>
      </c>
      <c r="AG131" s="223"/>
      <c r="AH131" s="236">
        <v>242.1</v>
      </c>
      <c r="AI131" s="222">
        <v>66.0640797727783</v>
      </c>
      <c r="AJ131" s="237" t="s">
        <v>54</v>
      </c>
      <c r="AK131" s="238">
        <v>1.0486361868695</v>
      </c>
      <c r="AL131" s="239">
        <v>-10.0114599232319</v>
      </c>
      <c r="AM131" s="224">
        <v>1.4999999999999999E-2</v>
      </c>
      <c r="AN131" s="224">
        <v>5.0000000000000001E-3</v>
      </c>
      <c r="AO131" s="232">
        <v>0</v>
      </c>
      <c r="AP131" s="232">
        <v>35</v>
      </c>
      <c r="AQ131" s="223"/>
      <c r="AR131" s="236">
        <v>37.9</v>
      </c>
      <c r="AS131" s="222">
        <v>10.3421256645531</v>
      </c>
      <c r="AT131" s="237" t="s">
        <v>55</v>
      </c>
      <c r="AU131" s="229">
        <v>0.64638285403456597</v>
      </c>
      <c r="AV131" s="230">
        <v>-26.128307282090599</v>
      </c>
      <c r="AW131" s="224"/>
      <c r="AX131" s="224"/>
      <c r="AY131" s="232">
        <v>21</v>
      </c>
      <c r="AZ131" s="232">
        <v>33</v>
      </c>
      <c r="BA131" s="223"/>
      <c r="BB131" s="240">
        <v>127.6</v>
      </c>
      <c r="BC131" s="236">
        <v>34.819399335012399</v>
      </c>
      <c r="BD131" s="237" t="s">
        <v>56</v>
      </c>
      <c r="BE131" s="234">
        <v>1.0881062292191399</v>
      </c>
      <c r="BF131" s="235">
        <v>-0.45661456418123703</v>
      </c>
      <c r="BG131" s="224">
        <v>0.02</v>
      </c>
      <c r="BH131" s="224">
        <v>8.9999999999999993E-3</v>
      </c>
      <c r="BI131" s="232">
        <v>0</v>
      </c>
      <c r="BJ131" s="232">
        <v>14</v>
      </c>
      <c r="BK131" s="225"/>
      <c r="BL131" s="241">
        <v>0.8</v>
      </c>
      <c r="BM131" s="238">
        <v>0.84</v>
      </c>
      <c r="BN131" s="242">
        <v>1.5E-3</v>
      </c>
      <c r="BO131" s="243">
        <v>0.95</v>
      </c>
      <c r="BP131" s="234">
        <v>1</v>
      </c>
      <c r="BQ131" s="242">
        <v>2.5000000000000001E-3</v>
      </c>
    </row>
    <row r="132" spans="1:69" s="211" customFormat="1" ht="22.35" customHeight="1" x14ac:dyDescent="0.2">
      <c r="A132" s="221" t="s">
        <v>176</v>
      </c>
      <c r="B132" s="221" t="s">
        <v>188</v>
      </c>
      <c r="C132" s="221" t="s">
        <v>193</v>
      </c>
      <c r="D132" s="222">
        <v>2.8205915805555599</v>
      </c>
      <c r="E132" s="223"/>
      <c r="F132" s="224">
        <v>4.1500000000000002E-2</v>
      </c>
      <c r="G132" s="224">
        <v>0.04</v>
      </c>
      <c r="H132" s="225"/>
      <c r="I132" s="226">
        <v>4</v>
      </c>
      <c r="J132" s="226">
        <v>3</v>
      </c>
      <c r="K132" s="223"/>
      <c r="L132" s="227">
        <v>-947.50597000000005</v>
      </c>
      <c r="M132" s="227">
        <v>675.74381000000005</v>
      </c>
      <c r="N132" s="227">
        <v>-271.76215999999999</v>
      </c>
      <c r="O132" s="222">
        <v>-96.349348084798805</v>
      </c>
      <c r="P132" s="228">
        <v>212.5</v>
      </c>
      <c r="Q132" s="229">
        <v>-0.45340869686964103</v>
      </c>
      <c r="R132" s="230">
        <v>-926.28043626791805</v>
      </c>
      <c r="S132" s="224"/>
      <c r="T132" s="224"/>
      <c r="U132" s="231">
        <v>872</v>
      </c>
      <c r="V132" s="232">
        <v>992</v>
      </c>
      <c r="W132" s="223"/>
      <c r="X132" s="231">
        <v>1429.8662850000001</v>
      </c>
      <c r="Y132" s="222">
        <v>506.93843619797201</v>
      </c>
      <c r="Z132" s="233">
        <v>573</v>
      </c>
      <c r="AA132" s="244">
        <v>0.88470931273642595</v>
      </c>
      <c r="AB132" s="227">
        <v>-335.02299641890301</v>
      </c>
      <c r="AC132" s="224"/>
      <c r="AD132" s="224"/>
      <c r="AE132" s="232">
        <v>187</v>
      </c>
      <c r="AF132" s="232">
        <v>510</v>
      </c>
      <c r="AG132" s="223"/>
      <c r="AH132" s="236">
        <v>218.65</v>
      </c>
      <c r="AI132" s="222">
        <v>77.5191989890765</v>
      </c>
      <c r="AJ132" s="237" t="s">
        <v>54</v>
      </c>
      <c r="AK132" s="234">
        <v>1.2304634760170901</v>
      </c>
      <c r="AL132" s="235">
        <v>24.604581624099701</v>
      </c>
      <c r="AM132" s="224">
        <v>0.02</v>
      </c>
      <c r="AN132" s="224">
        <v>0.02</v>
      </c>
      <c r="AO132" s="232">
        <v>0</v>
      </c>
      <c r="AP132" s="232">
        <v>0</v>
      </c>
      <c r="AQ132" s="223"/>
      <c r="AR132" s="236">
        <v>42.2</v>
      </c>
      <c r="AS132" s="222">
        <v>14.961400399446701</v>
      </c>
      <c r="AT132" s="237" t="s">
        <v>55</v>
      </c>
      <c r="AU132" s="238">
        <v>0.93508752496542102</v>
      </c>
      <c r="AV132" s="239">
        <v>-7.08137609546674</v>
      </c>
      <c r="AW132" s="224">
        <v>1.5E-3</v>
      </c>
      <c r="AX132" s="224"/>
      <c r="AY132" s="232">
        <v>3</v>
      </c>
      <c r="AZ132" s="232">
        <v>12</v>
      </c>
      <c r="BA132" s="223"/>
      <c r="BB132" s="240">
        <v>130</v>
      </c>
      <c r="BC132" s="236">
        <v>46.0896220836037</v>
      </c>
      <c r="BD132" s="237" t="s">
        <v>56</v>
      </c>
      <c r="BE132" s="234">
        <v>1.4403006901126201</v>
      </c>
      <c r="BF132" s="235">
        <v>31.437247809066498</v>
      </c>
      <c r="BG132" s="224">
        <v>0.02</v>
      </c>
      <c r="BH132" s="224">
        <v>0.02</v>
      </c>
      <c r="BI132" s="232">
        <v>0</v>
      </c>
      <c r="BJ132" s="232">
        <v>0</v>
      </c>
      <c r="BK132" s="225"/>
      <c r="BL132" s="241">
        <v>0.8</v>
      </c>
      <c r="BM132" s="244">
        <v>0.79</v>
      </c>
      <c r="BN132" s="242"/>
      <c r="BO132" s="243">
        <v>0.95</v>
      </c>
      <c r="BP132" s="234">
        <v>1</v>
      </c>
      <c r="BQ132" s="242">
        <v>2.5000000000000001E-3</v>
      </c>
    </row>
    <row r="133" spans="1:69" s="211" customFormat="1" ht="22.35" customHeight="1" x14ac:dyDescent="0.2">
      <c r="A133" s="221" t="s">
        <v>176</v>
      </c>
      <c r="B133" s="221" t="s">
        <v>188</v>
      </c>
      <c r="C133" s="221" t="s">
        <v>194</v>
      </c>
      <c r="D133" s="222">
        <v>1.9545245414444401</v>
      </c>
      <c r="E133" s="223"/>
      <c r="F133" s="224">
        <v>6.9000000000000006E-2</v>
      </c>
      <c r="G133" s="224">
        <v>5.8000000000000003E-2</v>
      </c>
      <c r="H133" s="225"/>
      <c r="I133" s="226">
        <v>6</v>
      </c>
      <c r="J133" s="226">
        <v>6</v>
      </c>
      <c r="K133" s="223"/>
      <c r="L133" s="227">
        <v>688.44727999999998</v>
      </c>
      <c r="M133" s="227">
        <v>603.34360000000004</v>
      </c>
      <c r="N133" s="227">
        <v>1291.79088</v>
      </c>
      <c r="O133" s="222">
        <v>660.92333588471195</v>
      </c>
      <c r="P133" s="228">
        <v>212.5</v>
      </c>
      <c r="Q133" s="234">
        <v>3.11022746298688</v>
      </c>
      <c r="R133" s="235">
        <v>838.24346015781805</v>
      </c>
      <c r="S133" s="224">
        <v>0.01</v>
      </c>
      <c r="T133" s="224">
        <v>0.01</v>
      </c>
      <c r="U133" s="231">
        <v>0</v>
      </c>
      <c r="V133" s="232">
        <v>0</v>
      </c>
      <c r="W133" s="223"/>
      <c r="X133" s="231">
        <v>1786.8228799999999</v>
      </c>
      <c r="Y133" s="222">
        <v>914.19823190323905</v>
      </c>
      <c r="Z133" s="233">
        <v>573</v>
      </c>
      <c r="AA133" s="234">
        <v>1.5954593925012901</v>
      </c>
      <c r="AB133" s="235">
        <v>563.84560202555099</v>
      </c>
      <c r="AC133" s="224">
        <v>0.02</v>
      </c>
      <c r="AD133" s="224">
        <v>0.02</v>
      </c>
      <c r="AE133" s="232">
        <v>0</v>
      </c>
      <c r="AF133" s="232">
        <v>0</v>
      </c>
      <c r="AG133" s="223"/>
      <c r="AH133" s="236">
        <v>133.30000000000001</v>
      </c>
      <c r="AI133" s="222">
        <v>68.200729729127801</v>
      </c>
      <c r="AJ133" s="237" t="s">
        <v>54</v>
      </c>
      <c r="AK133" s="238">
        <v>1.08255126554171</v>
      </c>
      <c r="AL133" s="239">
        <v>-1.1634703532116899</v>
      </c>
      <c r="AM133" s="224">
        <v>1.9E-2</v>
      </c>
      <c r="AN133" s="224">
        <v>8.0000000000000002E-3</v>
      </c>
      <c r="AO133" s="232">
        <v>0</v>
      </c>
      <c r="AP133" s="232">
        <v>15</v>
      </c>
      <c r="AQ133" s="223"/>
      <c r="AR133" s="236">
        <v>20.7</v>
      </c>
      <c r="AS133" s="222">
        <v>10.590810993195401</v>
      </c>
      <c r="AT133" s="237" t="s">
        <v>55</v>
      </c>
      <c r="AU133" s="229">
        <v>0.661925687074711</v>
      </c>
      <c r="AV133" s="230">
        <v>-13.4494527881173</v>
      </c>
      <c r="AW133" s="224"/>
      <c r="AX133" s="224"/>
      <c r="AY133" s="232">
        <v>11</v>
      </c>
      <c r="AZ133" s="232">
        <v>17</v>
      </c>
      <c r="BA133" s="223"/>
      <c r="BB133" s="240">
        <v>94.6</v>
      </c>
      <c r="BC133" s="236">
        <v>48.400517872284198</v>
      </c>
      <c r="BD133" s="237" t="s">
        <v>56</v>
      </c>
      <c r="BE133" s="234">
        <v>1.5125161835088801</v>
      </c>
      <c r="BF133" s="235">
        <v>26.301094423765502</v>
      </c>
      <c r="BG133" s="224">
        <v>0.02</v>
      </c>
      <c r="BH133" s="224">
        <v>0.02</v>
      </c>
      <c r="BI133" s="232">
        <v>0</v>
      </c>
      <c r="BJ133" s="232">
        <v>0</v>
      </c>
      <c r="BK133" s="225"/>
      <c r="BL133" s="241">
        <v>0.8</v>
      </c>
      <c r="BM133" s="238">
        <v>0.89</v>
      </c>
      <c r="BN133" s="242">
        <v>3.375E-3</v>
      </c>
      <c r="BO133" s="243">
        <v>0.95</v>
      </c>
      <c r="BP133" s="234">
        <v>1</v>
      </c>
      <c r="BQ133" s="242">
        <v>2.5000000000000001E-3</v>
      </c>
    </row>
    <row r="134" spans="1:69" s="211" customFormat="1" ht="22.35" customHeight="1" x14ac:dyDescent="0.2">
      <c r="A134" s="221" t="s">
        <v>176</v>
      </c>
      <c r="B134" s="221" t="s">
        <v>188</v>
      </c>
      <c r="C134" s="221" t="s">
        <v>195</v>
      </c>
      <c r="D134" s="222">
        <v>5.99043692788889</v>
      </c>
      <c r="E134" s="223"/>
      <c r="F134" s="224">
        <v>3.6999999999999998E-2</v>
      </c>
      <c r="G134" s="224">
        <v>2.1000000000000001E-2</v>
      </c>
      <c r="H134" s="225"/>
      <c r="I134" s="226">
        <v>5</v>
      </c>
      <c r="J134" s="226">
        <v>4</v>
      </c>
      <c r="K134" s="223"/>
      <c r="L134" s="227">
        <v>3037.2775000000001</v>
      </c>
      <c r="M134" s="227">
        <v>-552.50789999999995</v>
      </c>
      <c r="N134" s="227">
        <v>2484.7696000000001</v>
      </c>
      <c r="O134" s="222">
        <v>414.789376786856</v>
      </c>
      <c r="P134" s="228">
        <v>212.5</v>
      </c>
      <c r="Q134" s="234">
        <v>1.95195000840873</v>
      </c>
      <c r="R134" s="235">
        <v>1094.6887108833801</v>
      </c>
      <c r="S134" s="224">
        <v>0.01</v>
      </c>
      <c r="T134" s="224">
        <v>0.01</v>
      </c>
      <c r="U134" s="231">
        <v>0</v>
      </c>
      <c r="V134" s="232">
        <v>0</v>
      </c>
      <c r="W134" s="223"/>
      <c r="X134" s="231">
        <v>2429.9567200000001</v>
      </c>
      <c r="Y134" s="222">
        <v>405.63931300022</v>
      </c>
      <c r="Z134" s="233">
        <v>573</v>
      </c>
      <c r="AA134" s="229">
        <v>0.70792201221678996</v>
      </c>
      <c r="AB134" s="230">
        <v>-1318.3555127709201</v>
      </c>
      <c r="AC134" s="224"/>
      <c r="AD134" s="224"/>
      <c r="AE134" s="232">
        <v>1003</v>
      </c>
      <c r="AF134" s="232">
        <v>1690</v>
      </c>
      <c r="AG134" s="223"/>
      <c r="AH134" s="236">
        <v>367.4</v>
      </c>
      <c r="AI134" s="222">
        <v>61.331085599039397</v>
      </c>
      <c r="AJ134" s="237" t="s">
        <v>54</v>
      </c>
      <c r="AK134" s="238">
        <v>0.97350929522284702</v>
      </c>
      <c r="AL134" s="239">
        <v>-44.7180988910441</v>
      </c>
      <c r="AM134" s="224">
        <v>7.0000000000000001E-3</v>
      </c>
      <c r="AN134" s="224"/>
      <c r="AO134" s="232">
        <v>10</v>
      </c>
      <c r="AP134" s="232">
        <v>86</v>
      </c>
      <c r="AQ134" s="223"/>
      <c r="AR134" s="236">
        <v>61.9</v>
      </c>
      <c r="AS134" s="222">
        <v>10.333136087589899</v>
      </c>
      <c r="AT134" s="237" t="s">
        <v>55</v>
      </c>
      <c r="AU134" s="229">
        <v>0.64582100547437005</v>
      </c>
      <c r="AV134" s="230">
        <v>-42.764914004074697</v>
      </c>
      <c r="AW134" s="224"/>
      <c r="AX134" s="224"/>
      <c r="AY134" s="232">
        <v>34</v>
      </c>
      <c r="AZ134" s="232">
        <v>54</v>
      </c>
      <c r="BA134" s="223"/>
      <c r="BB134" s="240">
        <v>212.2</v>
      </c>
      <c r="BC134" s="236">
        <v>35.423125650833299</v>
      </c>
      <c r="BD134" s="237" t="s">
        <v>56</v>
      </c>
      <c r="BE134" s="234">
        <v>1.1069726765885399</v>
      </c>
      <c r="BF134" s="235">
        <v>2.8701719918506399</v>
      </c>
      <c r="BG134" s="224">
        <v>0.02</v>
      </c>
      <c r="BH134" s="224">
        <v>1.0999999999999999E-2</v>
      </c>
      <c r="BI134" s="232">
        <v>0</v>
      </c>
      <c r="BJ134" s="232">
        <v>18</v>
      </c>
      <c r="BK134" s="225"/>
      <c r="BL134" s="241">
        <v>0.8</v>
      </c>
      <c r="BM134" s="238">
        <v>0.84</v>
      </c>
      <c r="BN134" s="242">
        <v>1.5E-3</v>
      </c>
      <c r="BO134" s="243">
        <v>0.95</v>
      </c>
      <c r="BP134" s="234">
        <v>1</v>
      </c>
      <c r="BQ134" s="242">
        <v>2.5000000000000001E-3</v>
      </c>
    </row>
    <row r="135" spans="1:69" s="211" customFormat="1" ht="22.35" customHeight="1" x14ac:dyDescent="0.2">
      <c r="A135" s="221" t="s">
        <v>176</v>
      </c>
      <c r="B135" s="221" t="s">
        <v>188</v>
      </c>
      <c r="C135" s="221" t="s">
        <v>196</v>
      </c>
      <c r="D135" s="222">
        <v>3.8731675344444398</v>
      </c>
      <c r="E135" s="223"/>
      <c r="F135" s="224">
        <v>6.9000000000000006E-2</v>
      </c>
      <c r="G135" s="224">
        <v>5.5E-2</v>
      </c>
      <c r="H135" s="225"/>
      <c r="I135" s="226">
        <v>6</v>
      </c>
      <c r="J135" s="226">
        <v>6</v>
      </c>
      <c r="K135" s="223"/>
      <c r="L135" s="227">
        <v>1181.1936700000001</v>
      </c>
      <c r="M135" s="227">
        <v>-158.00721999999999</v>
      </c>
      <c r="N135" s="227">
        <v>1023.18645</v>
      </c>
      <c r="O135" s="222">
        <v>264.17304206459102</v>
      </c>
      <c r="P135" s="228">
        <v>212.5</v>
      </c>
      <c r="Q135" s="234">
        <v>1.24316725677454</v>
      </c>
      <c r="R135" s="235">
        <v>124.417923632168</v>
      </c>
      <c r="S135" s="224">
        <v>0.01</v>
      </c>
      <c r="T135" s="224">
        <v>0.01</v>
      </c>
      <c r="U135" s="231">
        <v>0</v>
      </c>
      <c r="V135" s="232">
        <v>0</v>
      </c>
      <c r="W135" s="223"/>
      <c r="X135" s="231">
        <v>2567.868665</v>
      </c>
      <c r="Y135" s="222">
        <v>662.989308405511</v>
      </c>
      <c r="Z135" s="233">
        <v>573</v>
      </c>
      <c r="AA135" s="234">
        <v>1.15704940384906</v>
      </c>
      <c r="AB135" s="235">
        <v>144.365768017563</v>
      </c>
      <c r="AC135" s="224">
        <v>0.02</v>
      </c>
      <c r="AD135" s="224">
        <v>1.6E-2</v>
      </c>
      <c r="AE135" s="232">
        <v>0</v>
      </c>
      <c r="AF135" s="232">
        <v>96</v>
      </c>
      <c r="AG135" s="223"/>
      <c r="AH135" s="236">
        <v>265.2</v>
      </c>
      <c r="AI135" s="222">
        <v>68.471089267776605</v>
      </c>
      <c r="AJ135" s="237" t="s">
        <v>54</v>
      </c>
      <c r="AK135" s="238">
        <v>1.08684268679011</v>
      </c>
      <c r="AL135" s="239">
        <v>-1.2584336996397401</v>
      </c>
      <c r="AM135" s="224">
        <v>1.9E-2</v>
      </c>
      <c r="AN135" s="224">
        <v>8.9999999999999993E-3</v>
      </c>
      <c r="AO135" s="232">
        <v>0</v>
      </c>
      <c r="AP135" s="232">
        <v>28</v>
      </c>
      <c r="AQ135" s="223"/>
      <c r="AR135" s="236">
        <v>55.8</v>
      </c>
      <c r="AS135" s="222">
        <v>14.406812900233501</v>
      </c>
      <c r="AT135" s="237" t="s">
        <v>55</v>
      </c>
      <c r="AU135" s="244">
        <v>0.90042580626459701</v>
      </c>
      <c r="AV135" s="227">
        <v>-11.871983161813301</v>
      </c>
      <c r="AW135" s="224"/>
      <c r="AX135" s="224"/>
      <c r="AY135" s="232">
        <v>7</v>
      </c>
      <c r="AZ135" s="232">
        <v>19</v>
      </c>
      <c r="BA135" s="223"/>
      <c r="BB135" s="240">
        <v>211.8</v>
      </c>
      <c r="BC135" s="236">
        <v>54.683924234219802</v>
      </c>
      <c r="BD135" s="237" t="s">
        <v>56</v>
      </c>
      <c r="BE135" s="234">
        <v>1.7088726323193699</v>
      </c>
      <c r="BF135" s="235">
        <v>76.456033676373494</v>
      </c>
      <c r="BG135" s="224">
        <v>0.02</v>
      </c>
      <c r="BH135" s="224">
        <v>0.02</v>
      </c>
      <c r="BI135" s="232">
        <v>0</v>
      </c>
      <c r="BJ135" s="232">
        <v>0</v>
      </c>
      <c r="BK135" s="225"/>
      <c r="BL135" s="241">
        <v>0.8</v>
      </c>
      <c r="BM135" s="238">
        <v>0.87</v>
      </c>
      <c r="BN135" s="242">
        <v>2.6250000000000002E-3</v>
      </c>
      <c r="BO135" s="243">
        <v>0.95</v>
      </c>
      <c r="BP135" s="234">
        <v>1</v>
      </c>
      <c r="BQ135" s="242">
        <v>2.5000000000000001E-3</v>
      </c>
    </row>
    <row r="136" spans="1:69" s="211" customFormat="1" ht="22.35" customHeight="1" x14ac:dyDescent="0.2">
      <c r="A136" s="221" t="s">
        <v>176</v>
      </c>
      <c r="B136" s="221" t="s">
        <v>188</v>
      </c>
      <c r="C136" s="221" t="s">
        <v>197</v>
      </c>
      <c r="D136" s="222">
        <v>2.7806430641111102</v>
      </c>
      <c r="E136" s="223"/>
      <c r="F136" s="224">
        <v>4.0500000000000001E-2</v>
      </c>
      <c r="G136" s="224">
        <v>2.35E-2</v>
      </c>
      <c r="H136" s="225"/>
      <c r="I136" s="226">
        <v>5</v>
      </c>
      <c r="J136" s="226">
        <v>5</v>
      </c>
      <c r="K136" s="223"/>
      <c r="L136" s="227">
        <v>1364.9541999999999</v>
      </c>
      <c r="M136" s="227">
        <v>-746.21168</v>
      </c>
      <c r="N136" s="227">
        <v>618.74252000000001</v>
      </c>
      <c r="O136" s="222">
        <v>222.51777942516799</v>
      </c>
      <c r="P136" s="228">
        <v>212.5</v>
      </c>
      <c r="Q136" s="238">
        <v>1.04714249141256</v>
      </c>
      <c r="R136" s="239">
        <v>-26.505703026983198</v>
      </c>
      <c r="S136" s="224">
        <v>7.4999999999999997E-3</v>
      </c>
      <c r="T136" s="224">
        <v>2.5000000000000001E-3</v>
      </c>
      <c r="U136" s="231">
        <v>0</v>
      </c>
      <c r="V136" s="232">
        <v>91</v>
      </c>
      <c r="W136" s="223"/>
      <c r="X136" s="231">
        <v>1631.6878999999999</v>
      </c>
      <c r="Y136" s="222">
        <v>586.80235556288505</v>
      </c>
      <c r="Z136" s="233">
        <v>573</v>
      </c>
      <c r="AA136" s="238">
        <v>1.0240878805635001</v>
      </c>
      <c r="AB136" s="239">
        <v>-108.20495550334699</v>
      </c>
      <c r="AC136" s="224">
        <v>1.2999999999999999E-2</v>
      </c>
      <c r="AD136" s="224">
        <v>2E-3</v>
      </c>
      <c r="AE136" s="232">
        <v>0</v>
      </c>
      <c r="AF136" s="232">
        <v>281</v>
      </c>
      <c r="AG136" s="223"/>
      <c r="AH136" s="236">
        <v>147.85</v>
      </c>
      <c r="AI136" s="222">
        <v>53.171153791097296</v>
      </c>
      <c r="AJ136" s="237" t="s">
        <v>54</v>
      </c>
      <c r="AK136" s="244">
        <v>0.84398656811265604</v>
      </c>
      <c r="AL136" s="227">
        <v>-43.447120238587999</v>
      </c>
      <c r="AM136" s="224"/>
      <c r="AN136" s="224"/>
      <c r="AO136" s="232">
        <v>28</v>
      </c>
      <c r="AP136" s="232">
        <v>63</v>
      </c>
      <c r="AQ136" s="223"/>
      <c r="AR136" s="236">
        <v>11</v>
      </c>
      <c r="AS136" s="222">
        <v>3.9559194568959799</v>
      </c>
      <c r="AT136" s="237" t="s">
        <v>55</v>
      </c>
      <c r="AU136" s="229">
        <v>0.24724496605599899</v>
      </c>
      <c r="AV136" s="230">
        <v>-37.583395616149303</v>
      </c>
      <c r="AW136" s="224"/>
      <c r="AX136" s="224"/>
      <c r="AY136" s="232">
        <v>34</v>
      </c>
      <c r="AZ136" s="232">
        <v>43</v>
      </c>
      <c r="BA136" s="223"/>
      <c r="BB136" s="240">
        <v>105.6</v>
      </c>
      <c r="BC136" s="236">
        <v>37.9768267862014</v>
      </c>
      <c r="BD136" s="237" t="s">
        <v>56</v>
      </c>
      <c r="BE136" s="234">
        <v>1.18677583706879</v>
      </c>
      <c r="BF136" s="235">
        <v>8.4332087677013696</v>
      </c>
      <c r="BG136" s="224">
        <v>0.02</v>
      </c>
      <c r="BH136" s="224">
        <v>1.9E-2</v>
      </c>
      <c r="BI136" s="232">
        <v>0</v>
      </c>
      <c r="BJ136" s="232">
        <v>2</v>
      </c>
      <c r="BK136" s="225"/>
      <c r="BL136" s="241">
        <v>0.8</v>
      </c>
      <c r="BM136" s="238">
        <v>0.81</v>
      </c>
      <c r="BN136" s="242">
        <v>3.7500000000000001E-4</v>
      </c>
      <c r="BO136" s="243">
        <v>0.95</v>
      </c>
      <c r="BP136" s="234">
        <v>1</v>
      </c>
      <c r="BQ136" s="242">
        <v>2.5000000000000001E-3</v>
      </c>
    </row>
    <row r="137" spans="1:69" s="211" customFormat="1" ht="22.35" customHeight="1" x14ac:dyDescent="0.2">
      <c r="A137" s="221" t="s">
        <v>176</v>
      </c>
      <c r="B137" s="221" t="s">
        <v>188</v>
      </c>
      <c r="C137" s="221" t="s">
        <v>198</v>
      </c>
      <c r="D137" s="222">
        <v>8.6991771745555599</v>
      </c>
      <c r="E137" s="223"/>
      <c r="F137" s="224">
        <v>2.5000000000000001E-2</v>
      </c>
      <c r="G137" s="224">
        <v>1.4999999999999999E-2</v>
      </c>
      <c r="H137" s="225"/>
      <c r="I137" s="226">
        <v>4</v>
      </c>
      <c r="J137" s="226">
        <v>4</v>
      </c>
      <c r="K137" s="223"/>
      <c r="L137" s="227">
        <v>6075.4373299999997</v>
      </c>
      <c r="M137" s="227">
        <v>3236.0939600000002</v>
      </c>
      <c r="N137" s="227">
        <v>9311.5312900000008</v>
      </c>
      <c r="O137" s="222">
        <v>1070.3921880376799</v>
      </c>
      <c r="P137" s="228">
        <v>226.98400000000001</v>
      </c>
      <c r="Q137" s="234">
        <v>4.7157164735738197</v>
      </c>
      <c r="R137" s="235">
        <v>7155.2964472860604</v>
      </c>
      <c r="S137" s="224">
        <v>0.01</v>
      </c>
      <c r="T137" s="224">
        <v>0.01</v>
      </c>
      <c r="U137" s="231">
        <v>0</v>
      </c>
      <c r="V137" s="232">
        <v>0</v>
      </c>
      <c r="W137" s="223"/>
      <c r="X137" s="231">
        <v>4333.662515</v>
      </c>
      <c r="Y137" s="222">
        <v>498.16924383097302</v>
      </c>
      <c r="Z137" s="233">
        <v>573</v>
      </c>
      <c r="AA137" s="244">
        <v>0.86940531209593896</v>
      </c>
      <c r="AB137" s="227">
        <v>-1109.55182995421</v>
      </c>
      <c r="AC137" s="224"/>
      <c r="AD137" s="224"/>
      <c r="AE137" s="232">
        <v>651</v>
      </c>
      <c r="AF137" s="232">
        <v>1648</v>
      </c>
      <c r="AG137" s="223"/>
      <c r="AH137" s="236">
        <v>389.5</v>
      </c>
      <c r="AI137" s="222">
        <v>44.774349594724697</v>
      </c>
      <c r="AJ137" s="237" t="s">
        <v>54</v>
      </c>
      <c r="AK137" s="229">
        <v>0.71070396182102702</v>
      </c>
      <c r="AL137" s="230">
        <v>-208.96859290072399</v>
      </c>
      <c r="AM137" s="224"/>
      <c r="AN137" s="224"/>
      <c r="AO137" s="232">
        <v>159</v>
      </c>
      <c r="AP137" s="232">
        <v>269</v>
      </c>
      <c r="AQ137" s="223"/>
      <c r="AR137" s="236">
        <v>73.400000000000006</v>
      </c>
      <c r="AS137" s="222">
        <v>8.4375796155399101</v>
      </c>
      <c r="AT137" s="237" t="s">
        <v>55</v>
      </c>
      <c r="AU137" s="229">
        <v>0.52734872597124405</v>
      </c>
      <c r="AV137" s="230">
        <v>-78.592023593834696</v>
      </c>
      <c r="AW137" s="224"/>
      <c r="AX137" s="224"/>
      <c r="AY137" s="232">
        <v>66</v>
      </c>
      <c r="AZ137" s="232">
        <v>94</v>
      </c>
      <c r="BA137" s="223"/>
      <c r="BB137" s="240">
        <v>291.8</v>
      </c>
      <c r="BC137" s="236">
        <v>33.543402340797599</v>
      </c>
      <c r="BD137" s="237" t="s">
        <v>56</v>
      </c>
      <c r="BE137" s="238">
        <v>1.0482313231499301</v>
      </c>
      <c r="BF137" s="239">
        <v>-12.184047187669499</v>
      </c>
      <c r="BG137" s="224">
        <v>1.4999999999999999E-2</v>
      </c>
      <c r="BH137" s="224">
        <v>5.0000000000000001E-3</v>
      </c>
      <c r="BI137" s="232">
        <v>0</v>
      </c>
      <c r="BJ137" s="232">
        <v>43</v>
      </c>
      <c r="BK137" s="225"/>
      <c r="BL137" s="241">
        <v>0.8</v>
      </c>
      <c r="BM137" s="238">
        <v>0.84</v>
      </c>
      <c r="BN137" s="242">
        <v>1.5E-3</v>
      </c>
      <c r="BO137" s="243">
        <v>0.95</v>
      </c>
      <c r="BP137" s="234">
        <v>1</v>
      </c>
      <c r="BQ137" s="242">
        <v>2.5000000000000001E-3</v>
      </c>
    </row>
    <row r="138" spans="1:69" s="211" customFormat="1" ht="22.35" customHeight="1" x14ac:dyDescent="0.2">
      <c r="A138" s="221" t="s">
        <v>176</v>
      </c>
      <c r="B138" s="221" t="s">
        <v>188</v>
      </c>
      <c r="C138" s="221" t="s">
        <v>199</v>
      </c>
      <c r="D138" s="222">
        <v>2.92608844211111</v>
      </c>
      <c r="E138" s="223"/>
      <c r="F138" s="224">
        <v>0.08</v>
      </c>
      <c r="G138" s="224">
        <v>7.3499999999999996E-2</v>
      </c>
      <c r="H138" s="225"/>
      <c r="I138" s="226">
        <v>6</v>
      </c>
      <c r="J138" s="226">
        <v>6</v>
      </c>
      <c r="K138" s="223"/>
      <c r="L138" s="227">
        <v>4911.6354600000004</v>
      </c>
      <c r="M138" s="227">
        <v>450.36396000000002</v>
      </c>
      <c r="N138" s="227">
        <v>5361.9994200000001</v>
      </c>
      <c r="O138" s="222">
        <v>1832.48029787214</v>
      </c>
      <c r="P138" s="228">
        <v>212.5</v>
      </c>
      <c r="Q138" s="234">
        <v>8.6234366958688895</v>
      </c>
      <c r="R138" s="235">
        <v>4683.0005970081202</v>
      </c>
      <c r="S138" s="224">
        <v>0.01</v>
      </c>
      <c r="T138" s="224">
        <v>0.01</v>
      </c>
      <c r="U138" s="231">
        <v>0</v>
      </c>
      <c r="V138" s="232">
        <v>0</v>
      </c>
      <c r="W138" s="223"/>
      <c r="X138" s="231">
        <v>1942.7697499999999</v>
      </c>
      <c r="Y138" s="222">
        <v>663.94772011687098</v>
      </c>
      <c r="Z138" s="233">
        <v>573</v>
      </c>
      <c r="AA138" s="234">
        <v>1.15872202463677</v>
      </c>
      <c r="AB138" s="235">
        <v>111.869394356005</v>
      </c>
      <c r="AC138" s="224">
        <v>0.02</v>
      </c>
      <c r="AD138" s="224">
        <v>1.6E-2</v>
      </c>
      <c r="AE138" s="232">
        <v>0</v>
      </c>
      <c r="AF138" s="232">
        <v>70</v>
      </c>
      <c r="AG138" s="223"/>
      <c r="AH138" s="236">
        <v>254.8</v>
      </c>
      <c r="AI138" s="222">
        <v>87.078707647048105</v>
      </c>
      <c r="AJ138" s="237" t="s">
        <v>54</v>
      </c>
      <c r="AK138" s="234">
        <v>1.3822017086833001</v>
      </c>
      <c r="AL138" s="235">
        <v>53.4968195365241</v>
      </c>
      <c r="AM138" s="224">
        <v>0.02</v>
      </c>
      <c r="AN138" s="224">
        <v>0.02</v>
      </c>
      <c r="AO138" s="232">
        <v>0</v>
      </c>
      <c r="AP138" s="232">
        <v>0</v>
      </c>
      <c r="AQ138" s="223"/>
      <c r="AR138" s="236">
        <v>53.9</v>
      </c>
      <c r="AS138" s="222">
        <v>18.420495848413999</v>
      </c>
      <c r="AT138" s="237" t="s">
        <v>55</v>
      </c>
      <c r="AU138" s="234">
        <v>1.1512809905258801</v>
      </c>
      <c r="AV138" s="235">
        <v>2.7753827394346802</v>
      </c>
      <c r="AW138" s="224">
        <v>0.01</v>
      </c>
      <c r="AX138" s="224">
        <v>7.4999999999999997E-3</v>
      </c>
      <c r="AY138" s="232">
        <v>0</v>
      </c>
      <c r="AZ138" s="232">
        <v>3</v>
      </c>
      <c r="BA138" s="223"/>
      <c r="BB138" s="240">
        <v>147.80000000000001</v>
      </c>
      <c r="BC138" s="236">
        <v>50.511118486003603</v>
      </c>
      <c r="BD138" s="237" t="s">
        <v>56</v>
      </c>
      <c r="BE138" s="234">
        <v>1.5784724526876099</v>
      </c>
      <c r="BF138" s="235">
        <v>45.550765478869401</v>
      </c>
      <c r="BG138" s="224">
        <v>0.02</v>
      </c>
      <c r="BH138" s="224">
        <v>0.02</v>
      </c>
      <c r="BI138" s="232">
        <v>0</v>
      </c>
      <c r="BJ138" s="232">
        <v>0</v>
      </c>
      <c r="BK138" s="225"/>
      <c r="BL138" s="241">
        <v>0.8</v>
      </c>
      <c r="BM138" s="244">
        <v>0.79</v>
      </c>
      <c r="BN138" s="242"/>
      <c r="BO138" s="243">
        <v>0.95</v>
      </c>
      <c r="BP138" s="234">
        <v>1</v>
      </c>
      <c r="BQ138" s="242">
        <v>2.5000000000000001E-3</v>
      </c>
    </row>
    <row r="139" spans="1:69" s="211" customFormat="1" ht="22.35" customHeight="1" x14ac:dyDescent="0.2">
      <c r="A139" s="221" t="s">
        <v>176</v>
      </c>
      <c r="B139" s="221" t="s">
        <v>188</v>
      </c>
      <c r="C139" s="221" t="s">
        <v>200</v>
      </c>
      <c r="D139" s="222">
        <v>2.8460876042222201</v>
      </c>
      <c r="E139" s="223"/>
      <c r="F139" s="224">
        <v>7.1499999999999994E-2</v>
      </c>
      <c r="G139" s="224">
        <v>7.0000000000000007E-2</v>
      </c>
      <c r="H139" s="225"/>
      <c r="I139" s="226">
        <v>6</v>
      </c>
      <c r="J139" s="226">
        <v>5</v>
      </c>
      <c r="K139" s="223"/>
      <c r="L139" s="227">
        <v>1525.6712399999999</v>
      </c>
      <c r="M139" s="227">
        <v>71.622029999999995</v>
      </c>
      <c r="N139" s="227">
        <v>1597.2932699999999</v>
      </c>
      <c r="O139" s="222">
        <v>561.22421095906805</v>
      </c>
      <c r="P139" s="228">
        <v>212.5</v>
      </c>
      <c r="Q139" s="234">
        <v>2.6410551103956101</v>
      </c>
      <c r="R139" s="235">
        <v>936.85864144023401</v>
      </c>
      <c r="S139" s="224">
        <v>0.01</v>
      </c>
      <c r="T139" s="224">
        <v>0.01</v>
      </c>
      <c r="U139" s="231">
        <v>0</v>
      </c>
      <c r="V139" s="232">
        <v>0</v>
      </c>
      <c r="W139" s="223"/>
      <c r="X139" s="231">
        <v>2466.3632699999998</v>
      </c>
      <c r="Y139" s="222">
        <v>866.58023679281905</v>
      </c>
      <c r="Z139" s="233">
        <v>573</v>
      </c>
      <c r="AA139" s="234">
        <v>1.5123564341933999</v>
      </c>
      <c r="AB139" s="235">
        <v>685.52071863648905</v>
      </c>
      <c r="AC139" s="224">
        <v>0.02</v>
      </c>
      <c r="AD139" s="224">
        <v>0.02</v>
      </c>
      <c r="AE139" s="232">
        <v>0</v>
      </c>
      <c r="AF139" s="232">
        <v>0</v>
      </c>
      <c r="AG139" s="223"/>
      <c r="AH139" s="236">
        <v>279.2</v>
      </c>
      <c r="AI139" s="222">
        <v>98.099580485787499</v>
      </c>
      <c r="AJ139" s="237" t="s">
        <v>54</v>
      </c>
      <c r="AK139" s="234">
        <v>1.5571361981870999</v>
      </c>
      <c r="AL139" s="235">
        <v>83.4005571799281</v>
      </c>
      <c r="AM139" s="224">
        <v>0.02</v>
      </c>
      <c r="AN139" s="224">
        <v>0.02</v>
      </c>
      <c r="AO139" s="232">
        <v>0</v>
      </c>
      <c r="AP139" s="232">
        <v>0</v>
      </c>
      <c r="AQ139" s="223"/>
      <c r="AR139" s="236">
        <v>42.6</v>
      </c>
      <c r="AS139" s="222">
        <v>14.9679159337197</v>
      </c>
      <c r="AT139" s="237" t="s">
        <v>55</v>
      </c>
      <c r="AU139" s="238">
        <v>0.93549474585748205</v>
      </c>
      <c r="AV139" s="239">
        <v>-7.1268426209706197</v>
      </c>
      <c r="AW139" s="224">
        <v>1.5E-3</v>
      </c>
      <c r="AX139" s="224"/>
      <c r="AY139" s="232">
        <v>3</v>
      </c>
      <c r="AZ139" s="232">
        <v>13</v>
      </c>
      <c r="BA139" s="223"/>
      <c r="BB139" s="240">
        <v>160.4</v>
      </c>
      <c r="BC139" s="236">
        <v>56.358068445273297</v>
      </c>
      <c r="BD139" s="237" t="s">
        <v>56</v>
      </c>
      <c r="BE139" s="234">
        <v>1.7611896389147901</v>
      </c>
      <c r="BF139" s="235">
        <v>60.946314758058797</v>
      </c>
      <c r="BG139" s="224">
        <v>0.02</v>
      </c>
      <c r="BH139" s="224">
        <v>0.02</v>
      </c>
      <c r="BI139" s="232">
        <v>0</v>
      </c>
      <c r="BJ139" s="232">
        <v>0</v>
      </c>
      <c r="BK139" s="225"/>
      <c r="BL139" s="241">
        <v>0.8</v>
      </c>
      <c r="BM139" s="244">
        <v>0.76</v>
      </c>
      <c r="BN139" s="242"/>
      <c r="BO139" s="243">
        <v>0.95</v>
      </c>
      <c r="BP139" s="234">
        <v>1</v>
      </c>
      <c r="BQ139" s="242">
        <v>2.5000000000000001E-3</v>
      </c>
    </row>
    <row r="140" spans="1:69" s="211" customFormat="1" ht="22.35" customHeight="1" x14ac:dyDescent="0.2">
      <c r="A140" s="221" t="s">
        <v>176</v>
      </c>
      <c r="B140" s="221" t="s">
        <v>188</v>
      </c>
      <c r="C140" s="221" t="s">
        <v>201</v>
      </c>
      <c r="D140" s="222">
        <v>0.62457229755555599</v>
      </c>
      <c r="E140" s="223"/>
      <c r="F140" s="224">
        <v>7.0000000000000007E-2</v>
      </c>
      <c r="G140" s="224">
        <v>5.8999999999999997E-2</v>
      </c>
      <c r="H140" s="225"/>
      <c r="I140" s="226">
        <v>5</v>
      </c>
      <c r="J140" s="226">
        <v>5</v>
      </c>
      <c r="K140" s="223"/>
      <c r="L140" s="227"/>
      <c r="M140" s="227">
        <v>368.28228000000001</v>
      </c>
      <c r="N140" s="227">
        <v>368.28228000000001</v>
      </c>
      <c r="O140" s="222">
        <v>589.65516312743796</v>
      </c>
      <c r="P140" s="228">
        <v>226.98400000000001</v>
      </c>
      <c r="Q140" s="234">
        <v>2.5977829412092399</v>
      </c>
      <c r="R140" s="235">
        <v>213.47171311992199</v>
      </c>
      <c r="S140" s="224">
        <v>0.01</v>
      </c>
      <c r="T140" s="224">
        <v>0.01</v>
      </c>
      <c r="U140" s="231">
        <v>0</v>
      </c>
      <c r="V140" s="232">
        <v>0</v>
      </c>
      <c r="W140" s="223"/>
      <c r="X140" s="231">
        <v>389.79370999999998</v>
      </c>
      <c r="Y140" s="222">
        <v>624.09702051399097</v>
      </c>
      <c r="Z140" s="233">
        <v>573</v>
      </c>
      <c r="AA140" s="234">
        <v>1.0891745558708401</v>
      </c>
      <c r="AB140" s="235">
        <v>-1.0111697372719799</v>
      </c>
      <c r="AC140" s="224">
        <v>0.02</v>
      </c>
      <c r="AD140" s="224">
        <v>8.9999999999999993E-3</v>
      </c>
      <c r="AE140" s="232">
        <v>0</v>
      </c>
      <c r="AF140" s="232">
        <v>40</v>
      </c>
      <c r="AG140" s="223"/>
      <c r="AH140" s="236">
        <v>51.6</v>
      </c>
      <c r="AI140" s="222">
        <v>82.616536471360504</v>
      </c>
      <c r="AJ140" s="237" t="s">
        <v>54</v>
      </c>
      <c r="AK140" s="234">
        <v>1.3113735947834999</v>
      </c>
      <c r="AL140" s="235">
        <v>8.6319242173680006</v>
      </c>
      <c r="AM140" s="224">
        <v>0.02</v>
      </c>
      <c r="AN140" s="224">
        <v>0.02</v>
      </c>
      <c r="AO140" s="232">
        <v>0</v>
      </c>
      <c r="AP140" s="232">
        <v>0</v>
      </c>
      <c r="AQ140" s="223"/>
      <c r="AR140" s="236">
        <v>1</v>
      </c>
      <c r="AS140" s="222">
        <v>1.60109566804962</v>
      </c>
      <c r="AT140" s="237" t="s">
        <v>55</v>
      </c>
      <c r="AU140" s="229">
        <v>0.100068479253101</v>
      </c>
      <c r="AV140" s="230">
        <v>-9.9125271828906705</v>
      </c>
      <c r="AW140" s="224"/>
      <c r="AX140" s="224"/>
      <c r="AY140" s="232">
        <v>9</v>
      </c>
      <c r="AZ140" s="232">
        <v>11</v>
      </c>
      <c r="BA140" s="223"/>
      <c r="BB140" s="240">
        <v>26.2</v>
      </c>
      <c r="BC140" s="236">
        <v>41.948706502900102</v>
      </c>
      <c r="BD140" s="237" t="s">
        <v>56</v>
      </c>
      <c r="BE140" s="234">
        <v>1.31089707821563</v>
      </c>
      <c r="BF140" s="235">
        <v>4.3749456342186699</v>
      </c>
      <c r="BG140" s="224">
        <v>0.02</v>
      </c>
      <c r="BH140" s="224">
        <v>0.02</v>
      </c>
      <c r="BI140" s="232">
        <v>0</v>
      </c>
      <c r="BJ140" s="232">
        <v>0</v>
      </c>
      <c r="BK140" s="225"/>
      <c r="BL140" s="241">
        <v>0.8</v>
      </c>
      <c r="BM140" s="229"/>
      <c r="BN140" s="242"/>
      <c r="BO140" s="243">
        <v>0.95</v>
      </c>
      <c r="BP140" s="234">
        <v>1</v>
      </c>
      <c r="BQ140" s="242">
        <v>2.5000000000000001E-3</v>
      </c>
    </row>
    <row r="141" spans="1:69" s="211" customFormat="1" ht="22.35" customHeight="1" x14ac:dyDescent="0.2">
      <c r="A141" s="221" t="s">
        <v>176</v>
      </c>
      <c r="B141" s="221" t="s">
        <v>202</v>
      </c>
      <c r="C141" s="221" t="s">
        <v>203</v>
      </c>
      <c r="D141" s="222">
        <v>2.7066750453333301</v>
      </c>
      <c r="E141" s="223"/>
      <c r="F141" s="224">
        <v>6.9000000000000006E-2</v>
      </c>
      <c r="G141" s="224">
        <v>5.8000000000000003E-2</v>
      </c>
      <c r="H141" s="225"/>
      <c r="I141" s="226">
        <v>7</v>
      </c>
      <c r="J141" s="226">
        <v>6</v>
      </c>
      <c r="K141" s="223"/>
      <c r="L141" s="227">
        <v>1211.06882</v>
      </c>
      <c r="M141" s="227">
        <v>518.48659999999995</v>
      </c>
      <c r="N141" s="227">
        <v>1729.5554199999999</v>
      </c>
      <c r="O141" s="222">
        <v>638.99632982614003</v>
      </c>
      <c r="P141" s="228">
        <v>287.5</v>
      </c>
      <c r="Q141" s="234">
        <v>2.2225959298300499</v>
      </c>
      <c r="R141" s="235">
        <v>879.79478951760098</v>
      </c>
      <c r="S141" s="224">
        <v>0.01</v>
      </c>
      <c r="T141" s="224">
        <v>0.01</v>
      </c>
      <c r="U141" s="231">
        <v>0</v>
      </c>
      <c r="V141" s="232">
        <v>0</v>
      </c>
      <c r="W141" s="223"/>
      <c r="X141" s="231">
        <v>1829.1500699999999</v>
      </c>
      <c r="Y141" s="222">
        <v>675.79226887752804</v>
      </c>
      <c r="Z141" s="233">
        <v>573</v>
      </c>
      <c r="AA141" s="234">
        <v>1.17939313940232</v>
      </c>
      <c r="AB141" s="235">
        <v>135.54018733421</v>
      </c>
      <c r="AC141" s="224">
        <v>0.02</v>
      </c>
      <c r="AD141" s="224">
        <v>1.7999999999999999E-2</v>
      </c>
      <c r="AE141" s="232">
        <v>0</v>
      </c>
      <c r="AF141" s="232">
        <v>32</v>
      </c>
      <c r="AG141" s="223"/>
      <c r="AH141" s="236">
        <v>168.95</v>
      </c>
      <c r="AI141" s="222">
        <v>62.419757514405802</v>
      </c>
      <c r="AJ141" s="237" t="s">
        <v>54</v>
      </c>
      <c r="AK141" s="238">
        <v>0.99078980181596499</v>
      </c>
      <c r="AL141" s="239">
        <v>-17.2584164187518</v>
      </c>
      <c r="AM141" s="224">
        <v>8.9999999999999993E-3</v>
      </c>
      <c r="AN141" s="224"/>
      <c r="AO141" s="232">
        <v>2</v>
      </c>
      <c r="AP141" s="232">
        <v>36</v>
      </c>
      <c r="AQ141" s="223"/>
      <c r="AR141" s="236">
        <v>57.1</v>
      </c>
      <c r="AS141" s="222">
        <v>21.0959938092487</v>
      </c>
      <c r="AT141" s="237" t="s">
        <v>55</v>
      </c>
      <c r="AU141" s="234">
        <v>1.31849961307805</v>
      </c>
      <c r="AV141" s="235">
        <v>9.8089736079360605</v>
      </c>
      <c r="AW141" s="224">
        <v>0.01</v>
      </c>
      <c r="AX141" s="224">
        <v>0.01</v>
      </c>
      <c r="AY141" s="232">
        <v>0</v>
      </c>
      <c r="AZ141" s="232">
        <v>0</v>
      </c>
      <c r="BA141" s="223"/>
      <c r="BB141" s="240">
        <v>135.4</v>
      </c>
      <c r="BC141" s="236">
        <v>50.024475687780701</v>
      </c>
      <c r="BD141" s="237" t="s">
        <v>56</v>
      </c>
      <c r="BE141" s="234">
        <v>1.56326486524315</v>
      </c>
      <c r="BF141" s="235">
        <v>40.817947215872103</v>
      </c>
      <c r="BG141" s="224">
        <v>0.02</v>
      </c>
      <c r="BH141" s="224">
        <v>0.02</v>
      </c>
      <c r="BI141" s="232">
        <v>0</v>
      </c>
      <c r="BJ141" s="232">
        <v>0</v>
      </c>
      <c r="BK141" s="225"/>
      <c r="BL141" s="241">
        <v>0.8</v>
      </c>
      <c r="BM141" s="238">
        <v>0.88</v>
      </c>
      <c r="BN141" s="242">
        <v>3.0000000000000001E-3</v>
      </c>
      <c r="BO141" s="243">
        <v>0.95</v>
      </c>
      <c r="BP141" s="234">
        <v>1</v>
      </c>
      <c r="BQ141" s="242">
        <v>2.5000000000000001E-3</v>
      </c>
    </row>
    <row r="142" spans="1:69" s="211" customFormat="1" ht="22.35" customHeight="1" x14ac:dyDescent="0.2">
      <c r="A142" s="221" t="s">
        <v>176</v>
      </c>
      <c r="B142" s="221" t="s">
        <v>202</v>
      </c>
      <c r="C142" s="221" t="s">
        <v>204</v>
      </c>
      <c r="D142" s="222">
        <v>2.9894179894444401</v>
      </c>
      <c r="E142" s="223"/>
      <c r="F142" s="224">
        <v>0.08</v>
      </c>
      <c r="G142" s="224">
        <v>6.9000000000000006E-2</v>
      </c>
      <c r="H142" s="225"/>
      <c r="I142" s="226">
        <v>7</v>
      </c>
      <c r="J142" s="226">
        <v>7</v>
      </c>
      <c r="K142" s="223"/>
      <c r="L142" s="227">
        <v>1678.32428</v>
      </c>
      <c r="M142" s="227">
        <v>2936.7939500000002</v>
      </c>
      <c r="N142" s="227">
        <v>4615.11823</v>
      </c>
      <c r="O142" s="222">
        <v>1543.81831055271</v>
      </c>
      <c r="P142" s="228">
        <v>273.93400000000003</v>
      </c>
      <c r="Q142" s="234">
        <v>5.6357309080023299</v>
      </c>
      <c r="R142" s="235">
        <v>3720.8759055476398</v>
      </c>
      <c r="S142" s="224">
        <v>0.01</v>
      </c>
      <c r="T142" s="224">
        <v>0.01</v>
      </c>
      <c r="U142" s="231">
        <v>0</v>
      </c>
      <c r="V142" s="232">
        <v>0</v>
      </c>
      <c r="W142" s="223"/>
      <c r="X142" s="231">
        <v>1986.54628</v>
      </c>
      <c r="Y142" s="222">
        <v>664.52610073748201</v>
      </c>
      <c r="Z142" s="233">
        <v>573</v>
      </c>
      <c r="AA142" s="234">
        <v>1.1597314148996201</v>
      </c>
      <c r="AB142" s="235">
        <v>116.01961331678299</v>
      </c>
      <c r="AC142" s="224">
        <v>0.02</v>
      </c>
      <c r="AD142" s="224">
        <v>1.6E-2</v>
      </c>
      <c r="AE142" s="232">
        <v>0</v>
      </c>
      <c r="AF142" s="232">
        <v>69</v>
      </c>
      <c r="AG142" s="223"/>
      <c r="AH142" s="236">
        <v>213.7</v>
      </c>
      <c r="AI142" s="222">
        <v>71.485486725031095</v>
      </c>
      <c r="AJ142" s="237" t="s">
        <v>54</v>
      </c>
      <c r="AK142" s="234">
        <v>1.1346902654766799</v>
      </c>
      <c r="AL142" s="235">
        <v>8.0399999981802903</v>
      </c>
      <c r="AM142" s="224">
        <v>0.02</v>
      </c>
      <c r="AN142" s="224">
        <v>1.2999999999999999E-2</v>
      </c>
      <c r="AO142" s="232">
        <v>0</v>
      </c>
      <c r="AP142" s="232">
        <v>13</v>
      </c>
      <c r="AQ142" s="223"/>
      <c r="AR142" s="236">
        <v>68.400000000000006</v>
      </c>
      <c r="AS142" s="222">
        <v>22.880707964399299</v>
      </c>
      <c r="AT142" s="237" t="s">
        <v>55</v>
      </c>
      <c r="AU142" s="234">
        <v>1.43004424777495</v>
      </c>
      <c r="AV142" s="235">
        <v>16.1688888884267</v>
      </c>
      <c r="AW142" s="224">
        <v>0.01</v>
      </c>
      <c r="AX142" s="224">
        <v>0.01</v>
      </c>
      <c r="AY142" s="232">
        <v>0</v>
      </c>
      <c r="AZ142" s="232">
        <v>0</v>
      </c>
      <c r="BA142" s="223"/>
      <c r="BB142" s="240">
        <v>129.80000000000001</v>
      </c>
      <c r="BC142" s="236">
        <v>43.419823008465301</v>
      </c>
      <c r="BD142" s="237" t="s">
        <v>56</v>
      </c>
      <c r="BE142" s="234">
        <v>1.35686946901454</v>
      </c>
      <c r="BF142" s="235">
        <v>25.3377777768535</v>
      </c>
      <c r="BG142" s="224">
        <v>0.02</v>
      </c>
      <c r="BH142" s="224">
        <v>0.02</v>
      </c>
      <c r="BI142" s="232">
        <v>0</v>
      </c>
      <c r="BJ142" s="232">
        <v>0</v>
      </c>
      <c r="BK142" s="225"/>
      <c r="BL142" s="241">
        <v>0.8</v>
      </c>
      <c r="BM142" s="238">
        <v>0.83</v>
      </c>
      <c r="BN142" s="242">
        <v>1.1249999999999999E-3</v>
      </c>
      <c r="BO142" s="243">
        <v>0.95</v>
      </c>
      <c r="BP142" s="234">
        <v>1</v>
      </c>
      <c r="BQ142" s="242">
        <v>2.5000000000000001E-3</v>
      </c>
    </row>
    <row r="143" spans="1:69" s="211" customFormat="1" ht="22.35" customHeight="1" x14ac:dyDescent="0.2">
      <c r="A143" s="221" t="s">
        <v>176</v>
      </c>
      <c r="B143" s="221" t="s">
        <v>202</v>
      </c>
      <c r="C143" s="221" t="s">
        <v>205</v>
      </c>
      <c r="D143" s="222">
        <v>2.92477570733333</v>
      </c>
      <c r="E143" s="223"/>
      <c r="F143" s="224">
        <v>0.06</v>
      </c>
      <c r="G143" s="224">
        <v>0.06</v>
      </c>
      <c r="H143" s="225"/>
      <c r="I143" s="226">
        <v>6</v>
      </c>
      <c r="J143" s="226">
        <v>6</v>
      </c>
      <c r="K143" s="223"/>
      <c r="L143" s="227">
        <v>2282.62815</v>
      </c>
      <c r="M143" s="227">
        <v>-65.936790000000002</v>
      </c>
      <c r="N143" s="227">
        <v>2216.6913599999998</v>
      </c>
      <c r="O143" s="222">
        <v>757.90131682305002</v>
      </c>
      <c r="P143" s="228">
        <v>287.5</v>
      </c>
      <c r="Q143" s="234">
        <v>2.6361784932975598</v>
      </c>
      <c r="R143" s="235">
        <v>1298.4580266826999</v>
      </c>
      <c r="S143" s="224">
        <v>0.01</v>
      </c>
      <c r="T143" s="224">
        <v>0.01</v>
      </c>
      <c r="U143" s="231">
        <v>0</v>
      </c>
      <c r="V143" s="232">
        <v>0</v>
      </c>
      <c r="W143" s="223"/>
      <c r="X143" s="231">
        <v>2203.3306499999999</v>
      </c>
      <c r="Y143" s="222">
        <v>753.33320243174796</v>
      </c>
      <c r="Z143" s="233">
        <v>573</v>
      </c>
      <c r="AA143" s="234">
        <v>1.3147176307709401</v>
      </c>
      <c r="AB143" s="235">
        <v>373.25169351021799</v>
      </c>
      <c r="AC143" s="224">
        <v>0.02</v>
      </c>
      <c r="AD143" s="224">
        <v>0.02</v>
      </c>
      <c r="AE143" s="232">
        <v>0</v>
      </c>
      <c r="AF143" s="232">
        <v>0</v>
      </c>
      <c r="AG143" s="223"/>
      <c r="AH143" s="236">
        <v>154.5</v>
      </c>
      <c r="AI143" s="222">
        <v>52.824563474258802</v>
      </c>
      <c r="AJ143" s="237" t="s">
        <v>54</v>
      </c>
      <c r="AK143" s="244">
        <v>0.83848513451204498</v>
      </c>
      <c r="AL143" s="227">
        <v>-46.712869561703798</v>
      </c>
      <c r="AM143" s="224"/>
      <c r="AN143" s="224"/>
      <c r="AO143" s="232">
        <v>30</v>
      </c>
      <c r="AP143" s="232">
        <v>67</v>
      </c>
      <c r="AQ143" s="223"/>
      <c r="AR143" s="236">
        <v>59.7</v>
      </c>
      <c r="AS143" s="222">
        <v>20.411821614325302</v>
      </c>
      <c r="AT143" s="237" t="s">
        <v>55</v>
      </c>
      <c r="AU143" s="234">
        <v>1.27573885089533</v>
      </c>
      <c r="AV143" s="235">
        <v>8.5983188414720608</v>
      </c>
      <c r="AW143" s="224">
        <v>0.01</v>
      </c>
      <c r="AX143" s="224">
        <v>0.01</v>
      </c>
      <c r="AY143" s="232">
        <v>0</v>
      </c>
      <c r="AZ143" s="232">
        <v>0</v>
      </c>
      <c r="BA143" s="223"/>
      <c r="BB143" s="240">
        <v>152</v>
      </c>
      <c r="BC143" s="236">
        <v>51.969797074999001</v>
      </c>
      <c r="BD143" s="237" t="s">
        <v>56</v>
      </c>
      <c r="BE143" s="234">
        <v>1.6240561585937201</v>
      </c>
      <c r="BF143" s="235">
        <v>49.796637682944102</v>
      </c>
      <c r="BG143" s="224">
        <v>0.02</v>
      </c>
      <c r="BH143" s="224">
        <v>0.02</v>
      </c>
      <c r="BI143" s="232">
        <v>0</v>
      </c>
      <c r="BJ143" s="232">
        <v>0</v>
      </c>
      <c r="BK143" s="225"/>
      <c r="BL143" s="241">
        <v>0.8</v>
      </c>
      <c r="BM143" s="238">
        <v>0.83</v>
      </c>
      <c r="BN143" s="242">
        <v>1.1249999999999999E-3</v>
      </c>
      <c r="BO143" s="243">
        <v>0.95</v>
      </c>
      <c r="BP143" s="234">
        <v>1</v>
      </c>
      <c r="BQ143" s="242">
        <v>2.5000000000000001E-3</v>
      </c>
    </row>
    <row r="144" spans="1:69" s="211" customFormat="1" ht="22.35" customHeight="1" x14ac:dyDescent="0.2">
      <c r="A144" s="221" t="s">
        <v>176</v>
      </c>
      <c r="B144" s="221" t="s">
        <v>202</v>
      </c>
      <c r="C144" s="221" t="s">
        <v>206</v>
      </c>
      <c r="D144" s="222">
        <v>2.6681531807777801</v>
      </c>
      <c r="E144" s="223"/>
      <c r="F144" s="224">
        <v>0.04</v>
      </c>
      <c r="G144" s="224">
        <v>0.04</v>
      </c>
      <c r="H144" s="225"/>
      <c r="I144" s="226">
        <v>4</v>
      </c>
      <c r="J144" s="226">
        <v>4</v>
      </c>
      <c r="K144" s="223"/>
      <c r="L144" s="227">
        <v>849.60068999999999</v>
      </c>
      <c r="M144" s="227">
        <v>506.45076999999998</v>
      </c>
      <c r="N144" s="227">
        <v>1356.0514599999999</v>
      </c>
      <c r="O144" s="222">
        <v>508.235985013689</v>
      </c>
      <c r="P144" s="228">
        <v>265.91699999999997</v>
      </c>
      <c r="Q144" s="234">
        <v>1.91125796776321</v>
      </c>
      <c r="R144" s="235">
        <v>581.26950000480997</v>
      </c>
      <c r="S144" s="224">
        <v>0.01</v>
      </c>
      <c r="T144" s="224">
        <v>0.01</v>
      </c>
      <c r="U144" s="231">
        <v>0</v>
      </c>
      <c r="V144" s="232">
        <v>0</v>
      </c>
      <c r="W144" s="223"/>
      <c r="X144" s="231">
        <v>1077.0676450000001</v>
      </c>
      <c r="Y144" s="222">
        <v>403.67534096600502</v>
      </c>
      <c r="Z144" s="233">
        <v>573</v>
      </c>
      <c r="AA144" s="229">
        <v>0.70449448685166705</v>
      </c>
      <c r="AB144" s="230">
        <v>-592.43849066354903</v>
      </c>
      <c r="AC144" s="224"/>
      <c r="AD144" s="224"/>
      <c r="AE144" s="232">
        <v>452</v>
      </c>
      <c r="AF144" s="232">
        <v>758</v>
      </c>
      <c r="AG144" s="223"/>
      <c r="AH144" s="236">
        <v>109.1</v>
      </c>
      <c r="AI144" s="222">
        <v>40.889706327954102</v>
      </c>
      <c r="AJ144" s="237" t="s">
        <v>54</v>
      </c>
      <c r="AK144" s="229">
        <v>0.64904295758657304</v>
      </c>
      <c r="AL144" s="230">
        <v>-74.458266224788204</v>
      </c>
      <c r="AM144" s="224"/>
      <c r="AN144" s="224"/>
      <c r="AO144" s="232">
        <v>59</v>
      </c>
      <c r="AP144" s="232">
        <v>93</v>
      </c>
      <c r="AQ144" s="223"/>
      <c r="AR144" s="236">
        <v>52</v>
      </c>
      <c r="AS144" s="222">
        <v>19.489135921664602</v>
      </c>
      <c r="AT144" s="237" t="s">
        <v>55</v>
      </c>
      <c r="AU144" s="234">
        <v>1.21807099510404</v>
      </c>
      <c r="AV144" s="235">
        <v>5.3820276254506298</v>
      </c>
      <c r="AW144" s="224">
        <v>0.01</v>
      </c>
      <c r="AX144" s="224">
        <v>0.01</v>
      </c>
      <c r="AY144" s="232">
        <v>0</v>
      </c>
      <c r="AZ144" s="232">
        <v>0</v>
      </c>
      <c r="BA144" s="223"/>
      <c r="BB144" s="240">
        <v>102.8</v>
      </c>
      <c r="BC144" s="236">
        <v>38.528522552829301</v>
      </c>
      <c r="BD144" s="237" t="s">
        <v>56</v>
      </c>
      <c r="BE144" s="234">
        <v>1.2040163297759201</v>
      </c>
      <c r="BF144" s="235">
        <v>9.5640552509012497</v>
      </c>
      <c r="BG144" s="224">
        <v>0.02</v>
      </c>
      <c r="BH144" s="224">
        <v>0.02</v>
      </c>
      <c r="BI144" s="232">
        <v>0</v>
      </c>
      <c r="BJ144" s="232">
        <v>0</v>
      </c>
      <c r="BK144" s="225"/>
      <c r="BL144" s="241">
        <v>0.8</v>
      </c>
      <c r="BM144" s="244">
        <v>0.78</v>
      </c>
      <c r="BN144" s="242"/>
      <c r="BO144" s="243">
        <v>0.95</v>
      </c>
      <c r="BP144" s="234">
        <v>1</v>
      </c>
      <c r="BQ144" s="242">
        <v>2.5000000000000001E-3</v>
      </c>
    </row>
    <row r="145" spans="1:69" s="211" customFormat="1" ht="22.35" customHeight="1" x14ac:dyDescent="0.2">
      <c r="A145" s="221" t="s">
        <v>176</v>
      </c>
      <c r="B145" s="221" t="s">
        <v>202</v>
      </c>
      <c r="C145" s="221" t="s">
        <v>207</v>
      </c>
      <c r="D145" s="222">
        <v>10.628939992444399</v>
      </c>
      <c r="E145" s="223"/>
      <c r="F145" s="224">
        <v>6.0499999999999998E-2</v>
      </c>
      <c r="G145" s="224">
        <v>3.5000000000000003E-2</v>
      </c>
      <c r="H145" s="225"/>
      <c r="I145" s="226">
        <v>6</v>
      </c>
      <c r="J145" s="226">
        <v>5</v>
      </c>
      <c r="K145" s="223"/>
      <c r="L145" s="227">
        <v>10037.73885</v>
      </c>
      <c r="M145" s="227">
        <v>3460.8567899999998</v>
      </c>
      <c r="N145" s="227">
        <v>13498.59564</v>
      </c>
      <c r="O145" s="222">
        <v>1269.9851207736101</v>
      </c>
      <c r="P145" s="228">
        <v>287.5</v>
      </c>
      <c r="Q145" s="234">
        <v>4.4173395505168997</v>
      </c>
      <c r="R145" s="235">
        <v>10161.639929372101</v>
      </c>
      <c r="S145" s="224">
        <v>0.01</v>
      </c>
      <c r="T145" s="224">
        <v>0.01</v>
      </c>
      <c r="U145" s="231">
        <v>0</v>
      </c>
      <c r="V145" s="232">
        <v>0</v>
      </c>
      <c r="W145" s="223"/>
      <c r="X145" s="231">
        <v>6238.4005999999999</v>
      </c>
      <c r="Y145" s="222">
        <v>586.92594035101797</v>
      </c>
      <c r="Z145" s="233">
        <v>573</v>
      </c>
      <c r="AA145" s="238">
        <v>1.0243035608220199</v>
      </c>
      <c r="AB145" s="239">
        <v>-412.29721631236401</v>
      </c>
      <c r="AC145" s="224">
        <v>1.2999999999999999E-2</v>
      </c>
      <c r="AD145" s="224">
        <v>2E-3</v>
      </c>
      <c r="AE145" s="232">
        <v>0</v>
      </c>
      <c r="AF145" s="232">
        <v>1071</v>
      </c>
      <c r="AG145" s="223"/>
      <c r="AH145" s="236">
        <v>693.85</v>
      </c>
      <c r="AI145" s="222">
        <v>65.279322349474299</v>
      </c>
      <c r="AJ145" s="237" t="s">
        <v>54</v>
      </c>
      <c r="AK145" s="238">
        <v>1.0361797198329299</v>
      </c>
      <c r="AL145" s="239">
        <v>-37.378555720207601</v>
      </c>
      <c r="AM145" s="224">
        <v>1.4E-2</v>
      </c>
      <c r="AN145" s="224">
        <v>4.0000000000000001E-3</v>
      </c>
      <c r="AO145" s="232">
        <v>0</v>
      </c>
      <c r="AP145" s="232">
        <v>110</v>
      </c>
      <c r="AQ145" s="223"/>
      <c r="AR145" s="236">
        <v>165.1</v>
      </c>
      <c r="AS145" s="222">
        <v>15.533063515022301</v>
      </c>
      <c r="AT145" s="237" t="s">
        <v>55</v>
      </c>
      <c r="AU145" s="238">
        <v>0.97081646968889201</v>
      </c>
      <c r="AV145" s="239">
        <v>-20.608839547989199</v>
      </c>
      <c r="AW145" s="224">
        <v>3.5000000000000001E-3</v>
      </c>
      <c r="AX145" s="224"/>
      <c r="AY145" s="232">
        <v>5</v>
      </c>
      <c r="AZ145" s="232">
        <v>39</v>
      </c>
      <c r="BA145" s="223"/>
      <c r="BB145" s="240">
        <v>405.8</v>
      </c>
      <c r="BC145" s="236">
        <v>38.178783612332197</v>
      </c>
      <c r="BD145" s="237" t="s">
        <v>56</v>
      </c>
      <c r="BE145" s="234">
        <v>1.19308698788538</v>
      </c>
      <c r="BF145" s="235">
        <v>34.382320904021498</v>
      </c>
      <c r="BG145" s="224">
        <v>0.02</v>
      </c>
      <c r="BH145" s="224">
        <v>1.9E-2</v>
      </c>
      <c r="BI145" s="232">
        <v>0</v>
      </c>
      <c r="BJ145" s="232">
        <v>3</v>
      </c>
      <c r="BK145" s="225"/>
      <c r="BL145" s="241">
        <v>0.8</v>
      </c>
      <c r="BM145" s="244">
        <v>0.79</v>
      </c>
      <c r="BN145" s="242"/>
      <c r="BO145" s="243">
        <v>0.95</v>
      </c>
      <c r="BP145" s="234">
        <v>1</v>
      </c>
      <c r="BQ145" s="242">
        <v>2.5000000000000001E-3</v>
      </c>
    </row>
    <row r="146" spans="1:69" s="211" customFormat="1" ht="22.35" customHeight="1" x14ac:dyDescent="0.2">
      <c r="A146" s="221" t="s">
        <v>176</v>
      </c>
      <c r="B146" s="221" t="s">
        <v>202</v>
      </c>
      <c r="C146" s="221" t="s">
        <v>208</v>
      </c>
      <c r="D146" s="222">
        <v>2.3655582742222201</v>
      </c>
      <c r="E146" s="223"/>
      <c r="F146" s="224">
        <v>6.3E-2</v>
      </c>
      <c r="G146" s="224">
        <v>0.05</v>
      </c>
      <c r="H146" s="225"/>
      <c r="I146" s="226">
        <v>6</v>
      </c>
      <c r="J146" s="226">
        <v>5</v>
      </c>
      <c r="K146" s="223"/>
      <c r="L146" s="227">
        <v>1798.9796699999999</v>
      </c>
      <c r="M146" s="227">
        <v>-207.66566</v>
      </c>
      <c r="N146" s="227">
        <v>1591.3140100000001</v>
      </c>
      <c r="O146" s="222">
        <v>672.70125083822404</v>
      </c>
      <c r="P146" s="228">
        <v>212.5</v>
      </c>
      <c r="Q146" s="234">
        <v>3.16565294512105</v>
      </c>
      <c r="R146" s="235">
        <v>1042.3862124667301</v>
      </c>
      <c r="S146" s="224">
        <v>0.01</v>
      </c>
      <c r="T146" s="224">
        <v>0.01</v>
      </c>
      <c r="U146" s="231">
        <v>0</v>
      </c>
      <c r="V146" s="232">
        <v>0</v>
      </c>
      <c r="W146" s="223"/>
      <c r="X146" s="231">
        <v>1489.7648300000001</v>
      </c>
      <c r="Y146" s="222">
        <v>629.77304183716399</v>
      </c>
      <c r="Z146" s="233">
        <v>573</v>
      </c>
      <c r="AA146" s="234">
        <v>1.0990803522463599</v>
      </c>
      <c r="AB146" s="235">
        <v>9.5971688867693992</v>
      </c>
      <c r="AC146" s="224">
        <v>0.02</v>
      </c>
      <c r="AD146" s="224">
        <v>0.01</v>
      </c>
      <c r="AE146" s="232">
        <v>0</v>
      </c>
      <c r="AF146" s="232">
        <v>137</v>
      </c>
      <c r="AG146" s="223"/>
      <c r="AH146" s="236">
        <v>139.6</v>
      </c>
      <c r="AI146" s="222">
        <v>59.013553595883998</v>
      </c>
      <c r="AJ146" s="237" t="s">
        <v>54</v>
      </c>
      <c r="AK146" s="238">
        <v>0.93672307295054003</v>
      </c>
      <c r="AL146" s="239">
        <v>-23.1409470333919</v>
      </c>
      <c r="AM146" s="224">
        <v>3.0000000000000001E-3</v>
      </c>
      <c r="AN146" s="224"/>
      <c r="AO146" s="232">
        <v>10</v>
      </c>
      <c r="AP146" s="232">
        <v>40</v>
      </c>
      <c r="AQ146" s="223"/>
      <c r="AR146" s="236">
        <v>82.1</v>
      </c>
      <c r="AS146" s="222">
        <v>34.7063950588974</v>
      </c>
      <c r="AT146" s="237" t="s">
        <v>55</v>
      </c>
      <c r="AU146" s="234">
        <v>2.1691496911810901</v>
      </c>
      <c r="AV146" s="235">
        <v>40.768965832789398</v>
      </c>
      <c r="AW146" s="224">
        <v>0.01</v>
      </c>
      <c r="AX146" s="224">
        <v>0.01</v>
      </c>
      <c r="AY146" s="232">
        <v>0</v>
      </c>
      <c r="AZ146" s="232">
        <v>0</v>
      </c>
      <c r="BA146" s="223"/>
      <c r="BB146" s="240">
        <v>152</v>
      </c>
      <c r="BC146" s="236">
        <v>64.2554451760342</v>
      </c>
      <c r="BD146" s="237" t="s">
        <v>56</v>
      </c>
      <c r="BE146" s="234">
        <v>2.0079826617510701</v>
      </c>
      <c r="BF146" s="235">
        <v>69.337931665578694</v>
      </c>
      <c r="BG146" s="224">
        <v>0.02</v>
      </c>
      <c r="BH146" s="224">
        <v>0.02</v>
      </c>
      <c r="BI146" s="232">
        <v>0</v>
      </c>
      <c r="BJ146" s="232">
        <v>0</v>
      </c>
      <c r="BK146" s="225"/>
      <c r="BL146" s="241">
        <v>0.8</v>
      </c>
      <c r="BM146" s="244">
        <v>0.78</v>
      </c>
      <c r="BN146" s="242"/>
      <c r="BO146" s="243">
        <v>0.95</v>
      </c>
      <c r="BP146" s="234">
        <v>1</v>
      </c>
      <c r="BQ146" s="242">
        <v>2.5000000000000001E-3</v>
      </c>
    </row>
    <row r="147" spans="1:69" s="211" customFormat="1" ht="22.35" customHeight="1" x14ac:dyDescent="0.2">
      <c r="A147" s="221" t="s">
        <v>176</v>
      </c>
      <c r="B147" s="221" t="s">
        <v>202</v>
      </c>
      <c r="C147" s="221" t="s">
        <v>209</v>
      </c>
      <c r="D147" s="222">
        <v>1.8899021605555599</v>
      </c>
      <c r="E147" s="223"/>
      <c r="F147" s="224">
        <v>6.8000000000000005E-2</v>
      </c>
      <c r="G147" s="224">
        <v>4.8000000000000001E-2</v>
      </c>
      <c r="H147" s="225"/>
      <c r="I147" s="226">
        <v>7</v>
      </c>
      <c r="J147" s="226">
        <v>6</v>
      </c>
      <c r="K147" s="223"/>
      <c r="L147" s="227">
        <v>424.00729000000001</v>
      </c>
      <c r="M147" s="227">
        <v>1220.80368</v>
      </c>
      <c r="N147" s="227">
        <v>1644.81097</v>
      </c>
      <c r="O147" s="222">
        <v>870.31540802963696</v>
      </c>
      <c r="P147" s="228">
        <v>273.64299999999997</v>
      </c>
      <c r="Q147" s="234">
        <v>3.1804775127799201</v>
      </c>
      <c r="R147" s="235">
        <v>1080.07389136237</v>
      </c>
      <c r="S147" s="224">
        <v>0.01</v>
      </c>
      <c r="T147" s="224">
        <v>0.01</v>
      </c>
      <c r="U147" s="231">
        <v>0</v>
      </c>
      <c r="V147" s="232">
        <v>0</v>
      </c>
      <c r="W147" s="223"/>
      <c r="X147" s="231">
        <v>1170.9112</v>
      </c>
      <c r="Y147" s="222">
        <v>619.56180824503599</v>
      </c>
      <c r="Z147" s="233">
        <v>573</v>
      </c>
      <c r="AA147" s="238">
        <v>1.0812597002531199</v>
      </c>
      <c r="AB147" s="239">
        <v>-11.630820294182699</v>
      </c>
      <c r="AC147" s="224">
        <v>1.9E-2</v>
      </c>
      <c r="AD147" s="224">
        <v>8.0000000000000002E-3</v>
      </c>
      <c r="AE147" s="232">
        <v>0</v>
      </c>
      <c r="AF147" s="232">
        <v>129</v>
      </c>
      <c r="AG147" s="223"/>
      <c r="AH147" s="236">
        <v>118</v>
      </c>
      <c r="AI147" s="222">
        <v>62.437094608809097</v>
      </c>
      <c r="AJ147" s="237" t="s">
        <v>54</v>
      </c>
      <c r="AK147" s="238">
        <v>0.99106499379062096</v>
      </c>
      <c r="AL147" s="239">
        <v>-12.0177090375803</v>
      </c>
      <c r="AM147" s="224">
        <v>8.9999999999999993E-3</v>
      </c>
      <c r="AN147" s="224"/>
      <c r="AO147" s="232">
        <v>2</v>
      </c>
      <c r="AP147" s="232">
        <v>25</v>
      </c>
      <c r="AQ147" s="223"/>
      <c r="AR147" s="236">
        <v>59.5</v>
      </c>
      <c r="AS147" s="222">
        <v>31.483111264611399</v>
      </c>
      <c r="AT147" s="237" t="s">
        <v>55</v>
      </c>
      <c r="AU147" s="234">
        <v>1.96769445403821</v>
      </c>
      <c r="AV147" s="235">
        <v>26.479629450773299</v>
      </c>
      <c r="AW147" s="224">
        <v>0.01</v>
      </c>
      <c r="AX147" s="224">
        <v>0.01</v>
      </c>
      <c r="AY147" s="232">
        <v>0</v>
      </c>
      <c r="AZ147" s="232">
        <v>0</v>
      </c>
      <c r="BA147" s="223"/>
      <c r="BB147" s="240">
        <v>82.6</v>
      </c>
      <c r="BC147" s="236">
        <v>43.705966226166403</v>
      </c>
      <c r="BD147" s="237" t="s">
        <v>56</v>
      </c>
      <c r="BE147" s="234">
        <v>1.3658114445677001</v>
      </c>
      <c r="BF147" s="235">
        <v>16.559258901546499</v>
      </c>
      <c r="BG147" s="224">
        <v>0.02</v>
      </c>
      <c r="BH147" s="224">
        <v>0.02</v>
      </c>
      <c r="BI147" s="232">
        <v>0</v>
      </c>
      <c r="BJ147" s="232">
        <v>0</v>
      </c>
      <c r="BK147" s="225"/>
      <c r="BL147" s="241">
        <v>0.8</v>
      </c>
      <c r="BM147" s="238">
        <v>0.87</v>
      </c>
      <c r="BN147" s="242">
        <v>2.6250000000000002E-3</v>
      </c>
      <c r="BO147" s="243">
        <v>0.95</v>
      </c>
      <c r="BP147" s="234">
        <v>1</v>
      </c>
      <c r="BQ147" s="242">
        <v>2.5000000000000001E-3</v>
      </c>
    </row>
    <row r="148" spans="1:69" s="211" customFormat="1" ht="22.35" customHeight="1" x14ac:dyDescent="0.2">
      <c r="A148" s="221" t="s">
        <v>176</v>
      </c>
      <c r="B148" s="221" t="s">
        <v>202</v>
      </c>
      <c r="C148" s="221" t="s">
        <v>210</v>
      </c>
      <c r="D148" s="222">
        <v>8.0221390946666702</v>
      </c>
      <c r="E148" s="223"/>
      <c r="F148" s="224">
        <v>3.85E-2</v>
      </c>
      <c r="G148" s="224">
        <v>3.15E-2</v>
      </c>
      <c r="H148" s="225"/>
      <c r="I148" s="226">
        <v>5</v>
      </c>
      <c r="J148" s="226">
        <v>4</v>
      </c>
      <c r="K148" s="223"/>
      <c r="L148" s="227">
        <v>5525.2289600000004</v>
      </c>
      <c r="M148" s="227">
        <v>-935.14302999999995</v>
      </c>
      <c r="N148" s="227">
        <v>4590.0859300000002</v>
      </c>
      <c r="O148" s="222">
        <v>572.17730530895597</v>
      </c>
      <c r="P148" s="228">
        <v>287.5</v>
      </c>
      <c r="Q148" s="234">
        <v>1.99018193150941</v>
      </c>
      <c r="R148" s="235">
        <v>2071.5353612294002</v>
      </c>
      <c r="S148" s="224">
        <v>0.01</v>
      </c>
      <c r="T148" s="224">
        <v>0.01</v>
      </c>
      <c r="U148" s="231">
        <v>0</v>
      </c>
      <c r="V148" s="232">
        <v>0</v>
      </c>
      <c r="W148" s="223"/>
      <c r="X148" s="231">
        <v>4255.6180649999997</v>
      </c>
      <c r="Y148" s="222">
        <v>530.48420312597796</v>
      </c>
      <c r="Z148" s="233">
        <v>573</v>
      </c>
      <c r="AA148" s="238">
        <v>0.92580140161601698</v>
      </c>
      <c r="AB148" s="239">
        <v>-763.96272075845002</v>
      </c>
      <c r="AC148" s="224">
        <v>2E-3</v>
      </c>
      <c r="AD148" s="224"/>
      <c r="AE148" s="232">
        <v>342</v>
      </c>
      <c r="AF148" s="232">
        <v>1261</v>
      </c>
      <c r="AG148" s="223"/>
      <c r="AH148" s="236">
        <v>455.95</v>
      </c>
      <c r="AI148" s="222">
        <v>56.836461524723198</v>
      </c>
      <c r="AJ148" s="237" t="s">
        <v>54</v>
      </c>
      <c r="AK148" s="244">
        <v>0.90216605594798804</v>
      </c>
      <c r="AL148" s="227">
        <v>-95.941081156688298</v>
      </c>
      <c r="AM148" s="224"/>
      <c r="AN148" s="224"/>
      <c r="AO148" s="232">
        <v>50</v>
      </c>
      <c r="AP148" s="232">
        <v>151</v>
      </c>
      <c r="AQ148" s="223"/>
      <c r="AR148" s="236">
        <v>131.69999999999999</v>
      </c>
      <c r="AS148" s="222">
        <v>16.417067623217601</v>
      </c>
      <c r="AT148" s="237" t="s">
        <v>55</v>
      </c>
      <c r="AU148" s="238">
        <v>1.0260667264511001</v>
      </c>
      <c r="AV148" s="239">
        <v>-8.4628142620160798</v>
      </c>
      <c r="AW148" s="224">
        <v>6.4999999999999997E-3</v>
      </c>
      <c r="AX148" s="224">
        <v>1.5E-3</v>
      </c>
      <c r="AY148" s="232">
        <v>0</v>
      </c>
      <c r="AZ148" s="232">
        <v>23</v>
      </c>
      <c r="BA148" s="223"/>
      <c r="BB148" s="240">
        <v>341.6</v>
      </c>
      <c r="BC148" s="236">
        <v>42.582158694693398</v>
      </c>
      <c r="BD148" s="237" t="s">
        <v>56</v>
      </c>
      <c r="BE148" s="234">
        <v>1.33069245920917</v>
      </c>
      <c r="BF148" s="235">
        <v>61.274371475967897</v>
      </c>
      <c r="BG148" s="224">
        <v>0.02</v>
      </c>
      <c r="BH148" s="224">
        <v>0.02</v>
      </c>
      <c r="BI148" s="232">
        <v>0</v>
      </c>
      <c r="BJ148" s="232">
        <v>0</v>
      </c>
      <c r="BK148" s="225"/>
      <c r="BL148" s="241">
        <v>0.8</v>
      </c>
      <c r="BM148" s="244">
        <v>0.76</v>
      </c>
      <c r="BN148" s="242"/>
      <c r="BO148" s="243">
        <v>0.95</v>
      </c>
      <c r="BP148" s="234">
        <v>1</v>
      </c>
      <c r="BQ148" s="242">
        <v>2.5000000000000001E-3</v>
      </c>
    </row>
    <row r="149" spans="1:69" s="211" customFormat="1" ht="22.35" customHeight="1" x14ac:dyDescent="0.2">
      <c r="A149" s="221" t="s">
        <v>176</v>
      </c>
      <c r="B149" s="221" t="s">
        <v>202</v>
      </c>
      <c r="C149" s="221" t="s">
        <v>211</v>
      </c>
      <c r="D149" s="222">
        <v>3.69585255633333</v>
      </c>
      <c r="E149" s="223"/>
      <c r="F149" s="224">
        <v>7.2999999999999995E-2</v>
      </c>
      <c r="G149" s="224">
        <v>5.7000000000000002E-2</v>
      </c>
      <c r="H149" s="225"/>
      <c r="I149" s="226">
        <v>6</v>
      </c>
      <c r="J149" s="226">
        <v>6</v>
      </c>
      <c r="K149" s="223"/>
      <c r="L149" s="227">
        <v>2189.3921500000001</v>
      </c>
      <c r="M149" s="227">
        <v>265.75225999999998</v>
      </c>
      <c r="N149" s="227">
        <v>2455.1444099999999</v>
      </c>
      <c r="O149" s="222">
        <v>664.29717435366399</v>
      </c>
      <c r="P149" s="228">
        <v>239.22399999999999</v>
      </c>
      <c r="Q149" s="234">
        <v>2.7768834830688598</v>
      </c>
      <c r="R149" s="235">
        <v>1489.66720792558</v>
      </c>
      <c r="S149" s="224">
        <v>0.01</v>
      </c>
      <c r="T149" s="224">
        <v>0.01</v>
      </c>
      <c r="U149" s="231">
        <v>0</v>
      </c>
      <c r="V149" s="232">
        <v>0</v>
      </c>
      <c r="W149" s="223"/>
      <c r="X149" s="231">
        <v>2421.9140349999998</v>
      </c>
      <c r="Y149" s="222">
        <v>655.30591334054395</v>
      </c>
      <c r="Z149" s="233">
        <v>573</v>
      </c>
      <c r="AA149" s="234">
        <v>1.1436403374180499</v>
      </c>
      <c r="AB149" s="235">
        <v>109.359956861334</v>
      </c>
      <c r="AC149" s="224">
        <v>0.02</v>
      </c>
      <c r="AD149" s="224">
        <v>1.4E-2</v>
      </c>
      <c r="AE149" s="232">
        <v>0</v>
      </c>
      <c r="AF149" s="232">
        <v>120</v>
      </c>
      <c r="AG149" s="223"/>
      <c r="AH149" s="236">
        <v>240.4</v>
      </c>
      <c r="AI149" s="222">
        <v>65.045884903617903</v>
      </c>
      <c r="AJ149" s="237" t="s">
        <v>54</v>
      </c>
      <c r="AK149" s="238">
        <v>1.03247436354949</v>
      </c>
      <c r="AL149" s="239">
        <v>-13.8598724655078</v>
      </c>
      <c r="AM149" s="224">
        <v>1.2999999999999999E-2</v>
      </c>
      <c r="AN149" s="224">
        <v>3.0000000000000001E-3</v>
      </c>
      <c r="AO149" s="232">
        <v>0</v>
      </c>
      <c r="AP149" s="232">
        <v>40</v>
      </c>
      <c r="AQ149" s="223"/>
      <c r="AR149" s="236">
        <v>93.7</v>
      </c>
      <c r="AS149" s="222">
        <v>25.352742992799499</v>
      </c>
      <c r="AT149" s="237" t="s">
        <v>55</v>
      </c>
      <c r="AU149" s="234">
        <v>1.58454643704997</v>
      </c>
      <c r="AV149" s="235">
        <v>29.126064135744102</v>
      </c>
      <c r="AW149" s="224">
        <v>0.01</v>
      </c>
      <c r="AX149" s="224">
        <v>0.01</v>
      </c>
      <c r="AY149" s="232">
        <v>0</v>
      </c>
      <c r="AZ149" s="232">
        <v>0</v>
      </c>
      <c r="BA149" s="223"/>
      <c r="BB149" s="240">
        <v>202</v>
      </c>
      <c r="BC149" s="236">
        <v>54.655860027166398</v>
      </c>
      <c r="BD149" s="237" t="s">
        <v>56</v>
      </c>
      <c r="BE149" s="234">
        <v>1.7079956258489499</v>
      </c>
      <c r="BF149" s="235">
        <v>72.852128271488098</v>
      </c>
      <c r="BG149" s="224">
        <v>0.02</v>
      </c>
      <c r="BH149" s="224">
        <v>0.02</v>
      </c>
      <c r="BI149" s="232">
        <v>0</v>
      </c>
      <c r="BJ149" s="232">
        <v>0</v>
      </c>
      <c r="BK149" s="225"/>
      <c r="BL149" s="241">
        <v>0.8</v>
      </c>
      <c r="BM149" s="244">
        <v>0.76</v>
      </c>
      <c r="BN149" s="242"/>
      <c r="BO149" s="243">
        <v>0.95</v>
      </c>
      <c r="BP149" s="234">
        <v>1</v>
      </c>
      <c r="BQ149" s="242">
        <v>2.5000000000000001E-3</v>
      </c>
    </row>
    <row r="150" spans="1:69" s="211" customFormat="1" ht="22.35" customHeight="1" x14ac:dyDescent="0.2">
      <c r="A150" s="221" t="s">
        <v>176</v>
      </c>
      <c r="B150" s="221" t="s">
        <v>202</v>
      </c>
      <c r="C150" s="221" t="s">
        <v>212</v>
      </c>
      <c r="D150" s="222">
        <v>2.8061909415555601</v>
      </c>
      <c r="E150" s="223"/>
      <c r="F150" s="224">
        <v>6.4000000000000001E-2</v>
      </c>
      <c r="G150" s="224">
        <v>4.5999999999999999E-2</v>
      </c>
      <c r="H150" s="225"/>
      <c r="I150" s="226">
        <v>7</v>
      </c>
      <c r="J150" s="226">
        <v>6</v>
      </c>
      <c r="K150" s="223"/>
      <c r="L150" s="227">
        <v>2125.1541200000001</v>
      </c>
      <c r="M150" s="227">
        <v>1709.5621799999999</v>
      </c>
      <c r="N150" s="227">
        <v>3834.7163</v>
      </c>
      <c r="O150" s="222">
        <v>1366.52009070855</v>
      </c>
      <c r="P150" s="228">
        <v>229.53</v>
      </c>
      <c r="Q150" s="234">
        <v>5.9535576643948502</v>
      </c>
      <c r="R150" s="235">
        <v>3131.3536325577502</v>
      </c>
      <c r="S150" s="224">
        <v>0.01</v>
      </c>
      <c r="T150" s="224">
        <v>0.01</v>
      </c>
      <c r="U150" s="231">
        <v>0</v>
      </c>
      <c r="V150" s="232">
        <v>0</v>
      </c>
      <c r="W150" s="223"/>
      <c r="X150" s="231">
        <v>1702.6897799999999</v>
      </c>
      <c r="Y150" s="222">
        <v>606.76191159541997</v>
      </c>
      <c r="Z150" s="233">
        <v>573</v>
      </c>
      <c r="AA150" s="238">
        <v>1.0589213116848499</v>
      </c>
      <c r="AB150" s="239">
        <v>-53.1887911863789</v>
      </c>
      <c r="AC150" s="224">
        <v>1.6E-2</v>
      </c>
      <c r="AD150" s="224">
        <v>6.0000000000000001E-3</v>
      </c>
      <c r="AE150" s="232">
        <v>0</v>
      </c>
      <c r="AF150" s="232">
        <v>227</v>
      </c>
      <c r="AG150" s="223"/>
      <c r="AH150" s="236">
        <v>173.55</v>
      </c>
      <c r="AI150" s="222">
        <v>61.845399552104602</v>
      </c>
      <c r="AJ150" s="237" t="s">
        <v>54</v>
      </c>
      <c r="AK150" s="238">
        <v>0.981673008763565</v>
      </c>
      <c r="AL150" s="239">
        <v>-19.504712015256299</v>
      </c>
      <c r="AM150" s="224">
        <v>8.0000000000000002E-3</v>
      </c>
      <c r="AN150" s="224"/>
      <c r="AO150" s="232">
        <v>4</v>
      </c>
      <c r="AP150" s="232">
        <v>39</v>
      </c>
      <c r="AQ150" s="223"/>
      <c r="AR150" s="236">
        <v>60.4</v>
      </c>
      <c r="AS150" s="222">
        <v>21.523838276848799</v>
      </c>
      <c r="AT150" s="237" t="s">
        <v>55</v>
      </c>
      <c r="AU150" s="234">
        <v>1.34523989230305</v>
      </c>
      <c r="AV150" s="235">
        <v>11.3702318691413</v>
      </c>
      <c r="AW150" s="224">
        <v>0.01</v>
      </c>
      <c r="AX150" s="224">
        <v>0.01</v>
      </c>
      <c r="AY150" s="232">
        <v>0</v>
      </c>
      <c r="AZ150" s="232">
        <v>0</v>
      </c>
      <c r="BA150" s="223"/>
      <c r="BB150" s="240">
        <v>158.4</v>
      </c>
      <c r="BC150" s="236">
        <v>56.446622235974502</v>
      </c>
      <c r="BD150" s="237" t="s">
        <v>56</v>
      </c>
      <c r="BE150" s="234">
        <v>1.7639569448742001</v>
      </c>
      <c r="BF150" s="235">
        <v>60.340463738282502</v>
      </c>
      <c r="BG150" s="224">
        <v>0.02</v>
      </c>
      <c r="BH150" s="224">
        <v>0.02</v>
      </c>
      <c r="BI150" s="232">
        <v>0</v>
      </c>
      <c r="BJ150" s="232">
        <v>0</v>
      </c>
      <c r="BK150" s="225"/>
      <c r="BL150" s="241">
        <v>0.8</v>
      </c>
      <c r="BM150" s="238">
        <v>0.83</v>
      </c>
      <c r="BN150" s="242">
        <v>1.1249999999999999E-3</v>
      </c>
      <c r="BO150" s="243">
        <v>0.95</v>
      </c>
      <c r="BP150" s="234">
        <v>1</v>
      </c>
      <c r="BQ150" s="242">
        <v>2.5000000000000001E-3</v>
      </c>
    </row>
    <row r="151" spans="1:69" s="211" customFormat="1" ht="22.35" customHeight="1" x14ac:dyDescent="0.2">
      <c r="A151" s="221" t="s">
        <v>176</v>
      </c>
      <c r="B151" s="221" t="s">
        <v>202</v>
      </c>
      <c r="C151" s="221" t="s">
        <v>213</v>
      </c>
      <c r="D151" s="222">
        <v>3.7250110427777798</v>
      </c>
      <c r="E151" s="223"/>
      <c r="F151" s="224">
        <v>4.1000000000000002E-2</v>
      </c>
      <c r="G151" s="224">
        <v>0.04</v>
      </c>
      <c r="H151" s="225"/>
      <c r="I151" s="226">
        <v>5</v>
      </c>
      <c r="J151" s="226">
        <v>4</v>
      </c>
      <c r="K151" s="223"/>
      <c r="L151" s="227">
        <v>2883.15508</v>
      </c>
      <c r="M151" s="227">
        <v>2657.2826599999999</v>
      </c>
      <c r="N151" s="227">
        <v>5540.4377400000003</v>
      </c>
      <c r="O151" s="222">
        <v>1487.3614269525599</v>
      </c>
      <c r="P151" s="228">
        <v>247.43600000000001</v>
      </c>
      <c r="Q151" s="234">
        <v>6.0110955032920002</v>
      </c>
      <c r="R151" s="235">
        <v>4533.9393390402101</v>
      </c>
      <c r="S151" s="224">
        <v>0.01</v>
      </c>
      <c r="T151" s="224">
        <v>0.01</v>
      </c>
      <c r="U151" s="231">
        <v>0</v>
      </c>
      <c r="V151" s="232">
        <v>0</v>
      </c>
      <c r="W151" s="223"/>
      <c r="X151" s="231">
        <v>1665.3319449999999</v>
      </c>
      <c r="Y151" s="222">
        <v>447.06765318959799</v>
      </c>
      <c r="Z151" s="233">
        <v>573</v>
      </c>
      <c r="AA151" s="244">
        <v>0.78022278043559901</v>
      </c>
      <c r="AB151" s="227">
        <v>-665.46706464274098</v>
      </c>
      <c r="AC151" s="224"/>
      <c r="AD151" s="224"/>
      <c r="AE151" s="232">
        <v>470</v>
      </c>
      <c r="AF151" s="232">
        <v>896</v>
      </c>
      <c r="AG151" s="223"/>
      <c r="AH151" s="236">
        <v>216.45</v>
      </c>
      <c r="AI151" s="222">
        <v>58.107210291272303</v>
      </c>
      <c r="AJ151" s="237" t="s">
        <v>54</v>
      </c>
      <c r="AK151" s="238">
        <v>0.92233667129003705</v>
      </c>
      <c r="AL151" s="239">
        <v>-39.815859698940201</v>
      </c>
      <c r="AM151" s="224">
        <v>1E-3</v>
      </c>
      <c r="AN151" s="224"/>
      <c r="AO151" s="232">
        <v>19</v>
      </c>
      <c r="AP151" s="232">
        <v>66</v>
      </c>
      <c r="AQ151" s="223"/>
      <c r="AR151" s="236">
        <v>96.6</v>
      </c>
      <c r="AS151" s="222">
        <v>25.9328090281215</v>
      </c>
      <c r="AT151" s="237" t="s">
        <v>55</v>
      </c>
      <c r="AU151" s="234">
        <v>1.6208005642576</v>
      </c>
      <c r="AV151" s="235">
        <v>31.516607060586601</v>
      </c>
      <c r="AW151" s="224">
        <v>0.01</v>
      </c>
      <c r="AX151" s="224">
        <v>0.01</v>
      </c>
      <c r="AY151" s="232">
        <v>0</v>
      </c>
      <c r="AZ151" s="232">
        <v>0</v>
      </c>
      <c r="BA151" s="223"/>
      <c r="BB151" s="240">
        <v>188.2</v>
      </c>
      <c r="BC151" s="236">
        <v>50.523340156236799</v>
      </c>
      <c r="BD151" s="237" t="s">
        <v>56</v>
      </c>
      <c r="BE151" s="234">
        <v>1.5788543798824</v>
      </c>
      <c r="BF151" s="235">
        <v>58.033214121173202</v>
      </c>
      <c r="BG151" s="224">
        <v>0.02</v>
      </c>
      <c r="BH151" s="224">
        <v>0.02</v>
      </c>
      <c r="BI151" s="232">
        <v>0</v>
      </c>
      <c r="BJ151" s="232">
        <v>0</v>
      </c>
      <c r="BK151" s="225"/>
      <c r="BL151" s="241">
        <v>0.8</v>
      </c>
      <c r="BM151" s="244">
        <v>0.79</v>
      </c>
      <c r="BN151" s="242"/>
      <c r="BO151" s="243">
        <v>0.95</v>
      </c>
      <c r="BP151" s="234">
        <v>1</v>
      </c>
      <c r="BQ151" s="242">
        <v>2.5000000000000001E-3</v>
      </c>
    </row>
    <row r="152" spans="1:69" s="211" customFormat="1" ht="22.35" customHeight="1" x14ac:dyDescent="0.2">
      <c r="A152" s="221" t="s">
        <v>176</v>
      </c>
      <c r="B152" s="221" t="s">
        <v>202</v>
      </c>
      <c r="C152" s="221" t="s">
        <v>214</v>
      </c>
      <c r="D152" s="222">
        <v>7.9314378249999997</v>
      </c>
      <c r="E152" s="223"/>
      <c r="F152" s="224">
        <v>1.4999999999999999E-2</v>
      </c>
      <c r="G152" s="224">
        <v>0.01</v>
      </c>
      <c r="H152" s="225"/>
      <c r="I152" s="226">
        <v>3</v>
      </c>
      <c r="J152" s="226">
        <v>2</v>
      </c>
      <c r="K152" s="223"/>
      <c r="L152" s="227">
        <v>4726.3046100000001</v>
      </c>
      <c r="M152" s="227">
        <v>1757.3989099999999</v>
      </c>
      <c r="N152" s="227">
        <v>6483.70352</v>
      </c>
      <c r="O152" s="222">
        <v>817.468870469271</v>
      </c>
      <c r="P152" s="228">
        <v>287.5</v>
      </c>
      <c r="Q152" s="234">
        <v>2.8433699842409399</v>
      </c>
      <c r="R152" s="235">
        <v>3993.6286148412501</v>
      </c>
      <c r="S152" s="224">
        <v>0.01</v>
      </c>
      <c r="T152" s="224">
        <v>0.01</v>
      </c>
      <c r="U152" s="231">
        <v>0</v>
      </c>
      <c r="V152" s="232">
        <v>0</v>
      </c>
      <c r="W152" s="223"/>
      <c r="X152" s="231">
        <v>2921.1957649999999</v>
      </c>
      <c r="Y152" s="222">
        <v>368.30595277344901</v>
      </c>
      <c r="Z152" s="233">
        <v>573</v>
      </c>
      <c r="AA152" s="229">
        <v>0.64276780588734606</v>
      </c>
      <c r="AB152" s="230">
        <v>-2041.6317851076999</v>
      </c>
      <c r="AC152" s="224"/>
      <c r="AD152" s="224"/>
      <c r="AE152" s="232">
        <v>1624</v>
      </c>
      <c r="AF152" s="232">
        <v>2533</v>
      </c>
      <c r="AG152" s="223"/>
      <c r="AH152" s="236">
        <v>282.8</v>
      </c>
      <c r="AI152" s="222">
        <v>35.655577997297101</v>
      </c>
      <c r="AJ152" s="237" t="s">
        <v>54</v>
      </c>
      <c r="AK152" s="229">
        <v>0.56596155551265204</v>
      </c>
      <c r="AL152" s="230">
        <v>-262.85119660869998</v>
      </c>
      <c r="AM152" s="224"/>
      <c r="AN152" s="224"/>
      <c r="AO152" s="232">
        <v>217</v>
      </c>
      <c r="AP152" s="232">
        <v>317</v>
      </c>
      <c r="AQ152" s="223"/>
      <c r="AR152" s="236">
        <v>65.400000000000006</v>
      </c>
      <c r="AS152" s="222">
        <v>8.2456676132363196</v>
      </c>
      <c r="AT152" s="237" t="s">
        <v>55</v>
      </c>
      <c r="AU152" s="229">
        <v>0.51535422582726997</v>
      </c>
      <c r="AV152" s="230">
        <v>-73.178081678400005</v>
      </c>
      <c r="AW152" s="224"/>
      <c r="AX152" s="224"/>
      <c r="AY152" s="232">
        <v>62</v>
      </c>
      <c r="AZ152" s="232">
        <v>87</v>
      </c>
      <c r="BA152" s="223"/>
      <c r="BB152" s="240">
        <v>242.4</v>
      </c>
      <c r="BC152" s="236">
        <v>30.561923997683198</v>
      </c>
      <c r="BD152" s="237" t="s">
        <v>56</v>
      </c>
      <c r="BE152" s="238">
        <v>0.95506012492760095</v>
      </c>
      <c r="BF152" s="239">
        <v>-34.756163356800002</v>
      </c>
      <c r="BG152" s="224">
        <v>5.0000000000000001E-3</v>
      </c>
      <c r="BH152" s="224"/>
      <c r="BI152" s="232">
        <v>12</v>
      </c>
      <c r="BJ152" s="232">
        <v>63</v>
      </c>
      <c r="BK152" s="225"/>
      <c r="BL152" s="241">
        <v>0.8</v>
      </c>
      <c r="BM152" s="244">
        <v>0.76</v>
      </c>
      <c r="BN152" s="242"/>
      <c r="BO152" s="243">
        <v>0.95</v>
      </c>
      <c r="BP152" s="234">
        <v>1</v>
      </c>
      <c r="BQ152" s="242">
        <v>2.5000000000000001E-3</v>
      </c>
    </row>
    <row r="153" spans="1:69" s="211" customFormat="1" ht="22.35" customHeight="1" x14ac:dyDescent="0.2">
      <c r="A153" s="221" t="s">
        <v>176</v>
      </c>
      <c r="B153" s="221" t="s">
        <v>202</v>
      </c>
      <c r="C153" s="221" t="s">
        <v>215</v>
      </c>
      <c r="D153" s="222">
        <v>4.0442520443333301</v>
      </c>
      <c r="E153" s="223"/>
      <c r="F153" s="224">
        <v>5.8000000000000003E-2</v>
      </c>
      <c r="G153" s="224">
        <v>4.2000000000000003E-2</v>
      </c>
      <c r="H153" s="225"/>
      <c r="I153" s="226">
        <v>7</v>
      </c>
      <c r="J153" s="226">
        <v>6</v>
      </c>
      <c r="K153" s="223"/>
      <c r="L153" s="227">
        <v>-353.21111999999999</v>
      </c>
      <c r="M153" s="227">
        <v>1751.17464</v>
      </c>
      <c r="N153" s="227">
        <v>1397.96352</v>
      </c>
      <c r="O153" s="222">
        <v>345.66676475042601</v>
      </c>
      <c r="P153" s="228">
        <v>232.012</v>
      </c>
      <c r="Q153" s="234">
        <v>1.4898658894816901</v>
      </c>
      <c r="R153" s="235">
        <v>373.32353420162798</v>
      </c>
      <c r="S153" s="224">
        <v>0.01</v>
      </c>
      <c r="T153" s="224">
        <v>0.01</v>
      </c>
      <c r="U153" s="231">
        <v>0</v>
      </c>
      <c r="V153" s="232">
        <v>0</v>
      </c>
      <c r="W153" s="223"/>
      <c r="X153" s="231">
        <v>2370.955555</v>
      </c>
      <c r="Y153" s="222">
        <v>586.25316350450998</v>
      </c>
      <c r="Z153" s="233">
        <v>573</v>
      </c>
      <c r="AA153" s="238">
        <v>1.0231294301998399</v>
      </c>
      <c r="AB153" s="239">
        <v>-159.59765717207401</v>
      </c>
      <c r="AC153" s="224">
        <v>1.2E-2</v>
      </c>
      <c r="AD153" s="224">
        <v>2E-3</v>
      </c>
      <c r="AE153" s="232">
        <v>0</v>
      </c>
      <c r="AF153" s="232">
        <v>410</v>
      </c>
      <c r="AG153" s="223"/>
      <c r="AH153" s="236">
        <v>246.7</v>
      </c>
      <c r="AI153" s="222">
        <v>61.000154613426602</v>
      </c>
      <c r="AJ153" s="237" t="s">
        <v>54</v>
      </c>
      <c r="AK153" s="238">
        <v>0.96825642243534304</v>
      </c>
      <c r="AL153" s="239">
        <v>-31.528363641955799</v>
      </c>
      <c r="AM153" s="224">
        <v>6.0000000000000001E-3</v>
      </c>
      <c r="AN153" s="224"/>
      <c r="AO153" s="232">
        <v>9</v>
      </c>
      <c r="AP153" s="232">
        <v>60</v>
      </c>
      <c r="AQ153" s="223"/>
      <c r="AR153" s="236">
        <v>81.099999999999994</v>
      </c>
      <c r="AS153" s="222">
        <v>20.053151759825301</v>
      </c>
      <c r="AT153" s="237" t="s">
        <v>55</v>
      </c>
      <c r="AU153" s="234">
        <v>1.25332198498908</v>
      </c>
      <c r="AV153" s="235">
        <v>10.438828281408099</v>
      </c>
      <c r="AW153" s="224">
        <v>0.01</v>
      </c>
      <c r="AX153" s="224">
        <v>0.01</v>
      </c>
      <c r="AY153" s="232">
        <v>0</v>
      </c>
      <c r="AZ153" s="232">
        <v>0</v>
      </c>
      <c r="BA153" s="223"/>
      <c r="BB153" s="240">
        <v>191.4</v>
      </c>
      <c r="BC153" s="236">
        <v>47.326427211227603</v>
      </c>
      <c r="BD153" s="237" t="s">
        <v>56</v>
      </c>
      <c r="BE153" s="234">
        <v>1.4789508503508599</v>
      </c>
      <c r="BF153" s="235">
        <v>50.077656562816102</v>
      </c>
      <c r="BG153" s="224">
        <v>0.02</v>
      </c>
      <c r="BH153" s="224">
        <v>0.02</v>
      </c>
      <c r="BI153" s="232">
        <v>0</v>
      </c>
      <c r="BJ153" s="232">
        <v>0</v>
      </c>
      <c r="BK153" s="225"/>
      <c r="BL153" s="241">
        <v>0.8</v>
      </c>
      <c r="BM153" s="238">
        <v>0.82</v>
      </c>
      <c r="BN153" s="242">
        <v>7.5000000000000002E-4</v>
      </c>
      <c r="BO153" s="243">
        <v>0.95</v>
      </c>
      <c r="BP153" s="234">
        <v>1</v>
      </c>
      <c r="BQ153" s="242">
        <v>2.5000000000000001E-3</v>
      </c>
    </row>
    <row r="154" spans="1:69" s="211" customFormat="1" ht="22.35" customHeight="1" x14ac:dyDescent="0.2">
      <c r="A154" s="221" t="s">
        <v>176</v>
      </c>
      <c r="B154" s="221" t="s">
        <v>202</v>
      </c>
      <c r="C154" s="221" t="s">
        <v>216</v>
      </c>
      <c r="D154" s="222">
        <v>2.8994516252222202</v>
      </c>
      <c r="E154" s="223"/>
      <c r="F154" s="224">
        <v>7.2999999999999995E-2</v>
      </c>
      <c r="G154" s="224">
        <v>5.0999999999999997E-2</v>
      </c>
      <c r="H154" s="225"/>
      <c r="I154" s="226">
        <v>6</v>
      </c>
      <c r="J154" s="226">
        <v>6</v>
      </c>
      <c r="K154" s="223"/>
      <c r="L154" s="227">
        <v>1534.7593199999999</v>
      </c>
      <c r="M154" s="227">
        <v>-869.61278000000004</v>
      </c>
      <c r="N154" s="227">
        <v>665.14653999999996</v>
      </c>
      <c r="O154" s="222">
        <v>229.40425500253701</v>
      </c>
      <c r="P154" s="228">
        <v>221.65100000000001</v>
      </c>
      <c r="Q154" s="238">
        <v>1.0349795624767599</v>
      </c>
      <c r="R154" s="239">
        <v>-36.645116582886303</v>
      </c>
      <c r="S154" s="224">
        <v>7.0000000000000001E-3</v>
      </c>
      <c r="T154" s="224">
        <v>1.5E-3</v>
      </c>
      <c r="U154" s="231">
        <v>0</v>
      </c>
      <c r="V154" s="232">
        <v>107</v>
      </c>
      <c r="W154" s="223"/>
      <c r="X154" s="231">
        <v>1799.2612999999999</v>
      </c>
      <c r="Y154" s="222">
        <v>620.55227421223105</v>
      </c>
      <c r="Z154" s="233">
        <v>573</v>
      </c>
      <c r="AA154" s="238">
        <v>1.08298826215049</v>
      </c>
      <c r="AB154" s="239">
        <v>-14.971973127546599</v>
      </c>
      <c r="AC154" s="224">
        <v>1.9E-2</v>
      </c>
      <c r="AD154" s="224">
        <v>8.0000000000000002E-3</v>
      </c>
      <c r="AE154" s="232">
        <v>0</v>
      </c>
      <c r="AF154" s="232">
        <v>195</v>
      </c>
      <c r="AG154" s="223"/>
      <c r="AH154" s="236">
        <v>227.95</v>
      </c>
      <c r="AI154" s="222">
        <v>78.618314586479499</v>
      </c>
      <c r="AJ154" s="237" t="s">
        <v>54</v>
      </c>
      <c r="AK154" s="234">
        <v>1.24790975534094</v>
      </c>
      <c r="AL154" s="235">
        <v>28.4793259912121</v>
      </c>
      <c r="AM154" s="224">
        <v>0.02</v>
      </c>
      <c r="AN154" s="224">
        <v>0.02</v>
      </c>
      <c r="AO154" s="232">
        <v>0</v>
      </c>
      <c r="AP154" s="232">
        <v>0</v>
      </c>
      <c r="AQ154" s="223"/>
      <c r="AR154" s="236">
        <v>48</v>
      </c>
      <c r="AS154" s="222">
        <v>16.5548545740339</v>
      </c>
      <c r="AT154" s="237" t="s">
        <v>55</v>
      </c>
      <c r="AU154" s="238">
        <v>1.0346784108771201</v>
      </c>
      <c r="AV154" s="239">
        <v>-2.6592187958826399</v>
      </c>
      <c r="AW154" s="224">
        <v>7.0000000000000001E-3</v>
      </c>
      <c r="AX154" s="224">
        <v>1.5E-3</v>
      </c>
      <c r="AY154" s="232">
        <v>0</v>
      </c>
      <c r="AZ154" s="232">
        <v>8</v>
      </c>
      <c r="BA154" s="223"/>
      <c r="BB154" s="240">
        <v>138.4</v>
      </c>
      <c r="BC154" s="236">
        <v>47.733164021797599</v>
      </c>
      <c r="BD154" s="237" t="s">
        <v>56</v>
      </c>
      <c r="BE154" s="234">
        <v>1.4916613756811801</v>
      </c>
      <c r="BF154" s="235">
        <v>37.081562408234703</v>
      </c>
      <c r="BG154" s="224">
        <v>0.02</v>
      </c>
      <c r="BH154" s="224">
        <v>0.02</v>
      </c>
      <c r="BI154" s="232">
        <v>0</v>
      </c>
      <c r="BJ154" s="232">
        <v>0</v>
      </c>
      <c r="BK154" s="225"/>
      <c r="BL154" s="241">
        <v>0.8</v>
      </c>
      <c r="BM154" s="244">
        <v>0.72</v>
      </c>
      <c r="BN154" s="242"/>
      <c r="BO154" s="243">
        <v>0.95</v>
      </c>
      <c r="BP154" s="234">
        <v>1</v>
      </c>
      <c r="BQ154" s="242">
        <v>2.5000000000000001E-3</v>
      </c>
    </row>
    <row r="155" spans="1:69" s="211" customFormat="1" ht="22.35" customHeight="1" x14ac:dyDescent="0.2">
      <c r="A155" s="221" t="s">
        <v>176</v>
      </c>
      <c r="B155" s="221" t="s">
        <v>202</v>
      </c>
      <c r="C155" s="221" t="s">
        <v>217</v>
      </c>
      <c r="D155" s="222">
        <v>4.91139505655556</v>
      </c>
      <c r="E155" s="223"/>
      <c r="F155" s="224">
        <v>4.3999999999999997E-2</v>
      </c>
      <c r="G155" s="224">
        <v>2.4E-2</v>
      </c>
      <c r="H155" s="225"/>
      <c r="I155" s="226">
        <v>6</v>
      </c>
      <c r="J155" s="226">
        <v>5</v>
      </c>
      <c r="K155" s="223"/>
      <c r="L155" s="227">
        <v>3166.7828</v>
      </c>
      <c r="M155" s="227">
        <v>2305.2747199999999</v>
      </c>
      <c r="N155" s="227">
        <v>5472.0575200000003</v>
      </c>
      <c r="O155" s="222">
        <v>1114.1554399490001</v>
      </c>
      <c r="P155" s="228">
        <v>287.5</v>
      </c>
      <c r="Q155" s="234">
        <v>3.8753232693878301</v>
      </c>
      <c r="R155" s="235">
        <v>3930.1250419943799</v>
      </c>
      <c r="S155" s="224">
        <v>0.01</v>
      </c>
      <c r="T155" s="224">
        <v>0.01</v>
      </c>
      <c r="U155" s="231">
        <v>0</v>
      </c>
      <c r="V155" s="232">
        <v>0</v>
      </c>
      <c r="W155" s="223"/>
      <c r="X155" s="231">
        <v>2704.2968249999999</v>
      </c>
      <c r="Y155" s="222">
        <v>550.61683978982705</v>
      </c>
      <c r="Z155" s="233">
        <v>573</v>
      </c>
      <c r="AA155" s="238">
        <v>0.96093689317596398</v>
      </c>
      <c r="AB155" s="239">
        <v>-368.84164420771799</v>
      </c>
      <c r="AC155" s="224">
        <v>6.0000000000000001E-3</v>
      </c>
      <c r="AD155" s="224"/>
      <c r="AE155" s="232">
        <v>110</v>
      </c>
      <c r="AF155" s="232">
        <v>673</v>
      </c>
      <c r="AG155" s="223"/>
      <c r="AH155" s="236">
        <v>227.1</v>
      </c>
      <c r="AI155" s="222">
        <v>46.239408026620701</v>
      </c>
      <c r="AJ155" s="237" t="s">
        <v>54</v>
      </c>
      <c r="AK155" s="244">
        <v>0.73395885756540702</v>
      </c>
      <c r="AL155" s="227">
        <v>-110.784334310796</v>
      </c>
      <c r="AM155" s="224"/>
      <c r="AN155" s="224"/>
      <c r="AO155" s="232">
        <v>83</v>
      </c>
      <c r="AP155" s="232">
        <v>145</v>
      </c>
      <c r="AQ155" s="223"/>
      <c r="AR155" s="236">
        <v>89.2</v>
      </c>
      <c r="AS155" s="222">
        <v>18.161845865145601</v>
      </c>
      <c r="AT155" s="237" t="s">
        <v>55</v>
      </c>
      <c r="AU155" s="234">
        <v>1.1351153665716001</v>
      </c>
      <c r="AV155" s="235">
        <v>3.3881055718612698</v>
      </c>
      <c r="AW155" s="224">
        <v>0.01</v>
      </c>
      <c r="AX155" s="224">
        <v>7.0000000000000001E-3</v>
      </c>
      <c r="AY155" s="232">
        <v>0</v>
      </c>
      <c r="AZ155" s="232">
        <v>6</v>
      </c>
      <c r="BA155" s="223"/>
      <c r="BB155" s="240">
        <v>168.4</v>
      </c>
      <c r="BC155" s="236">
        <v>34.2876103552749</v>
      </c>
      <c r="BD155" s="237" t="s">
        <v>56</v>
      </c>
      <c r="BE155" s="238">
        <v>1.07148782360234</v>
      </c>
      <c r="BF155" s="239">
        <v>-3.2237888562774502</v>
      </c>
      <c r="BG155" s="224">
        <v>1.7999999999999999E-2</v>
      </c>
      <c r="BH155" s="224">
        <v>7.0000000000000001E-3</v>
      </c>
      <c r="BI155" s="232">
        <v>0</v>
      </c>
      <c r="BJ155" s="232">
        <v>21</v>
      </c>
      <c r="BK155" s="225"/>
      <c r="BL155" s="241">
        <v>0.8</v>
      </c>
      <c r="BM155" s="238">
        <v>0.81</v>
      </c>
      <c r="BN155" s="242">
        <v>3.7500000000000001E-4</v>
      </c>
      <c r="BO155" s="243">
        <v>0.95</v>
      </c>
      <c r="BP155" s="234">
        <v>1</v>
      </c>
      <c r="BQ155" s="242">
        <v>2.5000000000000001E-3</v>
      </c>
    </row>
    <row r="156" spans="1:69" s="211" customFormat="1" ht="22.35" customHeight="1" x14ac:dyDescent="0.2">
      <c r="A156" s="221" t="s">
        <v>176</v>
      </c>
      <c r="B156" s="221" t="s">
        <v>202</v>
      </c>
      <c r="C156" s="221" t="s">
        <v>218</v>
      </c>
      <c r="D156" s="222">
        <v>2.8078154285555601</v>
      </c>
      <c r="E156" s="223"/>
      <c r="F156" s="224">
        <v>5.5E-2</v>
      </c>
      <c r="G156" s="224">
        <v>4.3999999999999997E-2</v>
      </c>
      <c r="H156" s="225"/>
      <c r="I156" s="226">
        <v>6</v>
      </c>
      <c r="J156" s="226">
        <v>6</v>
      </c>
      <c r="K156" s="223"/>
      <c r="L156" s="227">
        <v>2283.7221199999999</v>
      </c>
      <c r="M156" s="227">
        <v>1737.94661</v>
      </c>
      <c r="N156" s="227">
        <v>4021.6687299999999</v>
      </c>
      <c r="O156" s="222">
        <v>1432.3123553989799</v>
      </c>
      <c r="P156" s="228">
        <v>264.61399999999998</v>
      </c>
      <c r="Q156" s="234">
        <v>5.4128366428041597</v>
      </c>
      <c r="R156" s="235">
        <v>3210.3266291815098</v>
      </c>
      <c r="S156" s="224">
        <v>0.01</v>
      </c>
      <c r="T156" s="224">
        <v>0.01</v>
      </c>
      <c r="U156" s="231">
        <v>0</v>
      </c>
      <c r="V156" s="232">
        <v>0</v>
      </c>
      <c r="W156" s="223"/>
      <c r="X156" s="231">
        <v>1678.0413550000001</v>
      </c>
      <c r="Y156" s="222">
        <v>597.63235785880897</v>
      </c>
      <c r="Z156" s="233">
        <v>573</v>
      </c>
      <c r="AA156" s="238">
        <v>1.04298840813056</v>
      </c>
      <c r="AB156" s="239">
        <v>-78.853683694070696</v>
      </c>
      <c r="AC156" s="224">
        <v>1.4999999999999999E-2</v>
      </c>
      <c r="AD156" s="224">
        <v>4.0000000000000001E-3</v>
      </c>
      <c r="AE156" s="232">
        <v>0</v>
      </c>
      <c r="AF156" s="232">
        <v>253</v>
      </c>
      <c r="AG156" s="223"/>
      <c r="AH156" s="236">
        <v>159.30000000000001</v>
      </c>
      <c r="AI156" s="222">
        <v>56.734498421767597</v>
      </c>
      <c r="AJ156" s="237" t="s">
        <v>54</v>
      </c>
      <c r="AK156" s="244">
        <v>0.90054759399631201</v>
      </c>
      <c r="AL156" s="227">
        <v>-33.866470222908298</v>
      </c>
      <c r="AM156" s="224"/>
      <c r="AN156" s="224"/>
      <c r="AO156" s="232">
        <v>18</v>
      </c>
      <c r="AP156" s="232">
        <v>53</v>
      </c>
      <c r="AQ156" s="223"/>
      <c r="AR156" s="236">
        <v>73.400000000000006</v>
      </c>
      <c r="AS156" s="222">
        <v>26.1413194234635</v>
      </c>
      <c r="AT156" s="237" t="s">
        <v>55</v>
      </c>
      <c r="AU156" s="234">
        <v>1.6338324639664701</v>
      </c>
      <c r="AV156" s="235">
        <v>24.3418488322773</v>
      </c>
      <c r="AW156" s="224">
        <v>0.01</v>
      </c>
      <c r="AX156" s="224">
        <v>0.01</v>
      </c>
      <c r="AY156" s="232">
        <v>0</v>
      </c>
      <c r="AZ156" s="232">
        <v>0</v>
      </c>
      <c r="BA156" s="223"/>
      <c r="BB156" s="240">
        <v>174.2</v>
      </c>
      <c r="BC156" s="236">
        <v>62.041115034977501</v>
      </c>
      <c r="BD156" s="237" t="s">
        <v>56</v>
      </c>
      <c r="BE156" s="234">
        <v>1.93878484484305</v>
      </c>
      <c r="BF156" s="235">
        <v>76.083697664554506</v>
      </c>
      <c r="BG156" s="224">
        <v>0.02</v>
      </c>
      <c r="BH156" s="224">
        <v>0.02</v>
      </c>
      <c r="BI156" s="232">
        <v>0</v>
      </c>
      <c r="BJ156" s="232">
        <v>0</v>
      </c>
      <c r="BK156" s="225"/>
      <c r="BL156" s="241">
        <v>0.8</v>
      </c>
      <c r="BM156" s="238">
        <v>0.82</v>
      </c>
      <c r="BN156" s="242">
        <v>7.5000000000000002E-4</v>
      </c>
      <c r="BO156" s="243">
        <v>0.95</v>
      </c>
      <c r="BP156" s="234">
        <v>1</v>
      </c>
      <c r="BQ156" s="242">
        <v>2.5000000000000001E-3</v>
      </c>
    </row>
    <row r="157" spans="1:69" s="211" customFormat="1" ht="22.35" customHeight="1" x14ac:dyDescent="0.2">
      <c r="A157" s="221" t="s">
        <v>176</v>
      </c>
      <c r="B157" s="221" t="s">
        <v>202</v>
      </c>
      <c r="C157" s="221" t="s">
        <v>219</v>
      </c>
      <c r="D157" s="222">
        <v>8.1451756455555593</v>
      </c>
      <c r="E157" s="223"/>
      <c r="F157" s="224">
        <v>0.04</v>
      </c>
      <c r="G157" s="224">
        <v>2.9000000000000001E-2</v>
      </c>
      <c r="H157" s="225"/>
      <c r="I157" s="226">
        <v>6</v>
      </c>
      <c r="J157" s="226">
        <v>4</v>
      </c>
      <c r="K157" s="223"/>
      <c r="L157" s="227">
        <v>5178.5259699999997</v>
      </c>
      <c r="M157" s="227">
        <v>4609.9940399999996</v>
      </c>
      <c r="N157" s="227">
        <v>9788.5200100000002</v>
      </c>
      <c r="O157" s="222">
        <v>1201.7567743110801</v>
      </c>
      <c r="P157" s="228">
        <v>241.934</v>
      </c>
      <c r="Q157" s="234">
        <v>4.9672917998755004</v>
      </c>
      <c r="R157" s="235">
        <v>7636.6303523020297</v>
      </c>
      <c r="S157" s="224">
        <v>0.01</v>
      </c>
      <c r="T157" s="224">
        <v>0.01</v>
      </c>
      <c r="U157" s="231">
        <v>0</v>
      </c>
      <c r="V157" s="232">
        <v>0</v>
      </c>
      <c r="W157" s="223"/>
      <c r="X157" s="231">
        <v>4645.95856</v>
      </c>
      <c r="Y157" s="222">
        <v>570.39390704055404</v>
      </c>
      <c r="Z157" s="233">
        <v>573</v>
      </c>
      <c r="AA157" s="238">
        <v>0.99545184474791304</v>
      </c>
      <c r="AB157" s="239">
        <v>-450.608164234443</v>
      </c>
      <c r="AC157" s="224">
        <v>8.9999999999999993E-3</v>
      </c>
      <c r="AD157" s="224">
        <v>0</v>
      </c>
      <c r="AE157" s="232">
        <v>22</v>
      </c>
      <c r="AF157" s="232">
        <v>955</v>
      </c>
      <c r="AG157" s="223"/>
      <c r="AH157" s="236">
        <v>450.8</v>
      </c>
      <c r="AI157" s="222">
        <v>55.3456450317288</v>
      </c>
      <c r="AJ157" s="237" t="s">
        <v>54</v>
      </c>
      <c r="AK157" s="244">
        <v>0.87850230209093305</v>
      </c>
      <c r="AL157" s="227">
        <v>-109.55550371164</v>
      </c>
      <c r="AM157" s="224"/>
      <c r="AN157" s="224"/>
      <c r="AO157" s="232">
        <v>63</v>
      </c>
      <c r="AP157" s="232">
        <v>165</v>
      </c>
      <c r="AQ157" s="223"/>
      <c r="AR157" s="236">
        <v>121.4</v>
      </c>
      <c r="AS157" s="222">
        <v>14.904528187337799</v>
      </c>
      <c r="AT157" s="237" t="s">
        <v>55</v>
      </c>
      <c r="AU157" s="238">
        <v>0.93153301170861103</v>
      </c>
      <c r="AV157" s="239">
        <v>-20.912508879146799</v>
      </c>
      <c r="AW157" s="224">
        <v>1E-3</v>
      </c>
      <c r="AX157" s="224"/>
      <c r="AY157" s="232">
        <v>9</v>
      </c>
      <c r="AZ157" s="232">
        <v>35</v>
      </c>
      <c r="BA157" s="223"/>
      <c r="BB157" s="240">
        <v>310.2</v>
      </c>
      <c r="BC157" s="236">
        <v>38.083893276047597</v>
      </c>
      <c r="BD157" s="237" t="s">
        <v>56</v>
      </c>
      <c r="BE157" s="234">
        <v>1.1901216648764901</v>
      </c>
      <c r="BF157" s="235">
        <v>25.574982241706401</v>
      </c>
      <c r="BG157" s="224">
        <v>0.02</v>
      </c>
      <c r="BH157" s="224">
        <v>1.9E-2</v>
      </c>
      <c r="BI157" s="232">
        <v>0</v>
      </c>
      <c r="BJ157" s="232">
        <v>3</v>
      </c>
      <c r="BK157" s="225"/>
      <c r="BL157" s="241">
        <v>0.8</v>
      </c>
      <c r="BM157" s="238">
        <v>0.81</v>
      </c>
      <c r="BN157" s="242">
        <v>3.7500000000000001E-4</v>
      </c>
      <c r="BO157" s="243">
        <v>0.95</v>
      </c>
      <c r="BP157" s="234">
        <v>1</v>
      </c>
      <c r="BQ157" s="242">
        <v>2.5000000000000001E-3</v>
      </c>
    </row>
    <row r="158" spans="1:69" s="211" customFormat="1" ht="22.35" customHeight="1" x14ac:dyDescent="0.2">
      <c r="A158" s="221" t="s">
        <v>176</v>
      </c>
      <c r="B158" s="221" t="s">
        <v>202</v>
      </c>
      <c r="C158" s="221" t="s">
        <v>220</v>
      </c>
      <c r="D158" s="222">
        <v>4.9912352884444404</v>
      </c>
      <c r="E158" s="223"/>
      <c r="F158" s="224">
        <v>0.05</v>
      </c>
      <c r="G158" s="224">
        <v>4.2999999999999997E-2</v>
      </c>
      <c r="H158" s="225"/>
      <c r="I158" s="226">
        <v>5</v>
      </c>
      <c r="J158" s="226">
        <v>5</v>
      </c>
      <c r="K158" s="223"/>
      <c r="L158" s="227">
        <v>6993.5192699999998</v>
      </c>
      <c r="M158" s="227">
        <v>7521.1213399999997</v>
      </c>
      <c r="N158" s="227">
        <v>14514.64061</v>
      </c>
      <c r="O158" s="222">
        <v>2908.02572333223</v>
      </c>
      <c r="P158" s="228">
        <v>267.06299999999999</v>
      </c>
      <c r="Q158" s="234">
        <v>10.8889128158233</v>
      </c>
      <c r="R158" s="235">
        <v>13059.032707337101</v>
      </c>
      <c r="S158" s="224">
        <v>0.01</v>
      </c>
      <c r="T158" s="224">
        <v>0.01</v>
      </c>
      <c r="U158" s="231">
        <v>0</v>
      </c>
      <c r="V158" s="232">
        <v>0</v>
      </c>
      <c r="W158" s="223"/>
      <c r="X158" s="231">
        <v>3229.49251</v>
      </c>
      <c r="Y158" s="222">
        <v>647.03271301932398</v>
      </c>
      <c r="Z158" s="233">
        <v>573</v>
      </c>
      <c r="AA158" s="234">
        <v>1.1292019424421</v>
      </c>
      <c r="AB158" s="235">
        <v>106.396730255698</v>
      </c>
      <c r="AC158" s="224">
        <v>0.02</v>
      </c>
      <c r="AD158" s="224">
        <v>1.2999999999999999E-2</v>
      </c>
      <c r="AE158" s="232">
        <v>0</v>
      </c>
      <c r="AF158" s="232">
        <v>203</v>
      </c>
      <c r="AG158" s="223"/>
      <c r="AH158" s="236">
        <v>265.10000000000002</v>
      </c>
      <c r="AI158" s="222">
        <v>53.113104207639999</v>
      </c>
      <c r="AJ158" s="237" t="s">
        <v>54</v>
      </c>
      <c r="AK158" s="244">
        <v>0.84306514615301598</v>
      </c>
      <c r="AL158" s="227">
        <v>-78.277022903823607</v>
      </c>
      <c r="AM158" s="224"/>
      <c r="AN158" s="224"/>
      <c r="AO158" s="232">
        <v>50</v>
      </c>
      <c r="AP158" s="232">
        <v>113</v>
      </c>
      <c r="AQ158" s="223"/>
      <c r="AR158" s="236">
        <v>54.4</v>
      </c>
      <c r="AS158" s="222">
        <v>10.8991055031898</v>
      </c>
      <c r="AT158" s="237" t="s">
        <v>55</v>
      </c>
      <c r="AU158" s="229">
        <v>0.68119409394936203</v>
      </c>
      <c r="AV158" s="230">
        <v>-32.806862959701299</v>
      </c>
      <c r="AW158" s="224"/>
      <c r="AX158" s="224"/>
      <c r="AY158" s="232">
        <v>26</v>
      </c>
      <c r="AZ158" s="232">
        <v>42</v>
      </c>
      <c r="BA158" s="223"/>
      <c r="BB158" s="240">
        <v>224</v>
      </c>
      <c r="BC158" s="236">
        <v>44.878669719016798</v>
      </c>
      <c r="BD158" s="237" t="s">
        <v>56</v>
      </c>
      <c r="BE158" s="234">
        <v>1.4024584287192801</v>
      </c>
      <c r="BF158" s="235">
        <v>49.586274080597498</v>
      </c>
      <c r="BG158" s="224">
        <v>0.02</v>
      </c>
      <c r="BH158" s="224">
        <v>0.02</v>
      </c>
      <c r="BI158" s="232">
        <v>0</v>
      </c>
      <c r="BJ158" s="232">
        <v>0</v>
      </c>
      <c r="BK158" s="225"/>
      <c r="BL158" s="241">
        <v>0.8</v>
      </c>
      <c r="BM158" s="238">
        <v>0.82</v>
      </c>
      <c r="BN158" s="242">
        <v>7.5000000000000002E-4</v>
      </c>
      <c r="BO158" s="243">
        <v>0.95</v>
      </c>
      <c r="BP158" s="234">
        <v>1</v>
      </c>
      <c r="BQ158" s="242">
        <v>2.5000000000000001E-3</v>
      </c>
    </row>
    <row r="159" spans="1:69" s="211" customFormat="1" ht="22.35" customHeight="1" x14ac:dyDescent="0.2">
      <c r="A159" s="221" t="s">
        <v>221</v>
      </c>
      <c r="B159" s="221" t="s">
        <v>222</v>
      </c>
      <c r="C159" s="221" t="s">
        <v>223</v>
      </c>
      <c r="D159" s="222">
        <v>2.5021163648888902</v>
      </c>
      <c r="E159" s="223"/>
      <c r="F159" s="224">
        <v>1.4999999999999999E-2</v>
      </c>
      <c r="G159" s="224">
        <v>0.01</v>
      </c>
      <c r="H159" s="225"/>
      <c r="I159" s="226">
        <v>3</v>
      </c>
      <c r="J159" s="226">
        <v>2</v>
      </c>
      <c r="K159" s="223"/>
      <c r="L159" s="227">
        <v>927.55918999999994</v>
      </c>
      <c r="M159" s="227">
        <v>936.63094000000001</v>
      </c>
      <c r="N159" s="227">
        <v>1864.19013</v>
      </c>
      <c r="O159" s="222">
        <v>745.04533688335596</v>
      </c>
      <c r="P159" s="228">
        <v>242.67599999999999</v>
      </c>
      <c r="Q159" s="234">
        <v>3.0701236911905401</v>
      </c>
      <c r="R159" s="235">
        <v>1201.12380866537</v>
      </c>
      <c r="S159" s="224">
        <v>0.01</v>
      </c>
      <c r="T159" s="224">
        <v>0.01</v>
      </c>
      <c r="U159" s="231">
        <v>0</v>
      </c>
      <c r="V159" s="232">
        <v>0</v>
      </c>
      <c r="W159" s="223"/>
      <c r="X159" s="231">
        <v>1372.22606</v>
      </c>
      <c r="Y159" s="222">
        <v>548.42615605567005</v>
      </c>
      <c r="Z159" s="233">
        <v>573</v>
      </c>
      <c r="AA159" s="238">
        <v>0.95711371039383997</v>
      </c>
      <c r="AB159" s="239">
        <v>-193.388183372817</v>
      </c>
      <c r="AC159" s="224">
        <v>5.0000000000000001E-3</v>
      </c>
      <c r="AD159" s="224"/>
      <c r="AE159" s="232">
        <v>62</v>
      </c>
      <c r="AF159" s="232">
        <v>349</v>
      </c>
      <c r="AG159" s="223"/>
      <c r="AH159" s="236">
        <v>116.7</v>
      </c>
      <c r="AI159" s="222">
        <v>46.640516659257102</v>
      </c>
      <c r="AJ159" s="237" t="s">
        <v>54</v>
      </c>
      <c r="AK159" s="244">
        <v>0.74032566125804899</v>
      </c>
      <c r="AL159" s="227">
        <v>-55.435597438896103</v>
      </c>
      <c r="AM159" s="224"/>
      <c r="AN159" s="224"/>
      <c r="AO159" s="232">
        <v>41</v>
      </c>
      <c r="AP159" s="232">
        <v>73</v>
      </c>
      <c r="AQ159" s="223"/>
      <c r="AR159" s="236">
        <v>19.399999999999999</v>
      </c>
      <c r="AS159" s="222">
        <v>7.7534363598079503</v>
      </c>
      <c r="AT159" s="237" t="s">
        <v>55</v>
      </c>
      <c r="AU159" s="229">
        <v>0.48458977248799701</v>
      </c>
      <c r="AV159" s="230">
        <v>-24.316977127338699</v>
      </c>
      <c r="AW159" s="224"/>
      <c r="AX159" s="224"/>
      <c r="AY159" s="232">
        <v>21</v>
      </c>
      <c r="AZ159" s="232">
        <v>29</v>
      </c>
      <c r="BA159" s="223"/>
      <c r="BB159" s="240">
        <v>54</v>
      </c>
      <c r="BC159" s="236">
        <v>21.581730073692199</v>
      </c>
      <c r="BD159" s="237" t="s">
        <v>56</v>
      </c>
      <c r="BE159" s="229">
        <v>0.67442906480288201</v>
      </c>
      <c r="BF159" s="230">
        <v>-33.433954254677403</v>
      </c>
      <c r="BG159" s="224"/>
      <c r="BH159" s="224"/>
      <c r="BI159" s="232">
        <v>27</v>
      </c>
      <c r="BJ159" s="232">
        <v>43</v>
      </c>
      <c r="BK159" s="225"/>
      <c r="BL159" s="241">
        <v>0.8</v>
      </c>
      <c r="BM159" s="244">
        <v>0.78</v>
      </c>
      <c r="BN159" s="242"/>
      <c r="BO159" s="243">
        <v>0.95</v>
      </c>
      <c r="BP159" s="234">
        <v>1</v>
      </c>
      <c r="BQ159" s="242">
        <v>2.5000000000000001E-3</v>
      </c>
    </row>
    <row r="160" spans="1:69" s="211" customFormat="1" ht="22.35" customHeight="1" x14ac:dyDescent="0.2">
      <c r="A160" s="221" t="s">
        <v>221</v>
      </c>
      <c r="B160" s="221" t="s">
        <v>222</v>
      </c>
      <c r="C160" s="221" t="s">
        <v>224</v>
      </c>
      <c r="D160" s="222">
        <v>1.37464506811111</v>
      </c>
      <c r="E160" s="223"/>
      <c r="F160" s="224">
        <v>2.4E-2</v>
      </c>
      <c r="G160" s="224">
        <v>1.4E-2</v>
      </c>
      <c r="H160" s="225"/>
      <c r="I160" s="226">
        <v>3</v>
      </c>
      <c r="J160" s="226">
        <v>3</v>
      </c>
      <c r="K160" s="223"/>
      <c r="L160" s="227">
        <v>1058.91444</v>
      </c>
      <c r="M160" s="227">
        <v>-193.24618000000001</v>
      </c>
      <c r="N160" s="227">
        <v>865.66826000000003</v>
      </c>
      <c r="O160" s="222">
        <v>629.73947245124702</v>
      </c>
      <c r="P160" s="228">
        <v>219.79400000000001</v>
      </c>
      <c r="Q160" s="234">
        <v>2.8651349556914498</v>
      </c>
      <c r="R160" s="235">
        <v>535.73275799434896</v>
      </c>
      <c r="S160" s="224">
        <v>0.01</v>
      </c>
      <c r="T160" s="224">
        <v>0.01</v>
      </c>
      <c r="U160" s="231">
        <v>0</v>
      </c>
      <c r="V160" s="232">
        <v>0</v>
      </c>
      <c r="W160" s="223"/>
      <c r="X160" s="231">
        <v>818.984105</v>
      </c>
      <c r="Y160" s="222">
        <v>595.77859332471905</v>
      </c>
      <c r="Z160" s="233">
        <v>573</v>
      </c>
      <c r="AA160" s="238">
        <v>1.03975321697159</v>
      </c>
      <c r="AB160" s="239">
        <v>-41.153308438211297</v>
      </c>
      <c r="AC160" s="224">
        <v>1.4E-2</v>
      </c>
      <c r="AD160" s="224">
        <v>4.0000000000000001E-3</v>
      </c>
      <c r="AE160" s="232">
        <v>0</v>
      </c>
      <c r="AF160" s="232">
        <v>127</v>
      </c>
      <c r="AG160" s="223"/>
      <c r="AH160" s="236">
        <v>71.7</v>
      </c>
      <c r="AI160" s="222">
        <v>52.158918446142899</v>
      </c>
      <c r="AJ160" s="237" t="s">
        <v>54</v>
      </c>
      <c r="AK160" s="244">
        <v>0.82791934041496695</v>
      </c>
      <c r="AL160" s="227">
        <v>-22.8700821057719</v>
      </c>
      <c r="AM160" s="224"/>
      <c r="AN160" s="224"/>
      <c r="AO160" s="232">
        <v>15</v>
      </c>
      <c r="AP160" s="232">
        <v>33</v>
      </c>
      <c r="AQ160" s="223"/>
      <c r="AR160" s="236">
        <v>10.6</v>
      </c>
      <c r="AS160" s="222">
        <v>7.7110813881327003</v>
      </c>
      <c r="AT160" s="237" t="s">
        <v>55</v>
      </c>
      <c r="AU160" s="229">
        <v>0.48194258675829399</v>
      </c>
      <c r="AV160" s="230">
        <v>-13.4177986300373</v>
      </c>
      <c r="AW160" s="224"/>
      <c r="AX160" s="224"/>
      <c r="AY160" s="232">
        <v>12</v>
      </c>
      <c r="AZ160" s="232">
        <v>16</v>
      </c>
      <c r="BA160" s="223"/>
      <c r="BB160" s="240">
        <v>31.8</v>
      </c>
      <c r="BC160" s="236">
        <v>23.1332441643981</v>
      </c>
      <c r="BD160" s="237" t="s">
        <v>56</v>
      </c>
      <c r="BE160" s="229">
        <v>0.72291388013744096</v>
      </c>
      <c r="BF160" s="230">
        <v>-16.235597260074599</v>
      </c>
      <c r="BG160" s="224"/>
      <c r="BH160" s="224"/>
      <c r="BI160" s="232">
        <v>13</v>
      </c>
      <c r="BJ160" s="232">
        <v>21</v>
      </c>
      <c r="BK160" s="225"/>
      <c r="BL160" s="241">
        <v>0.8</v>
      </c>
      <c r="BM160" s="244">
        <v>0.77</v>
      </c>
      <c r="BN160" s="242"/>
      <c r="BO160" s="243">
        <v>0.95</v>
      </c>
      <c r="BP160" s="234">
        <v>1</v>
      </c>
      <c r="BQ160" s="242">
        <v>2.5000000000000001E-3</v>
      </c>
    </row>
    <row r="161" spans="1:69" s="211" customFormat="1" ht="22.35" customHeight="1" x14ac:dyDescent="0.2">
      <c r="A161" s="221" t="s">
        <v>221</v>
      </c>
      <c r="B161" s="221" t="s">
        <v>222</v>
      </c>
      <c r="C161" s="221" t="s">
        <v>225</v>
      </c>
      <c r="D161" s="222">
        <v>2.7294855338888899</v>
      </c>
      <c r="E161" s="223"/>
      <c r="F161" s="224">
        <v>2.7E-2</v>
      </c>
      <c r="G161" s="224">
        <v>1.4E-2</v>
      </c>
      <c r="H161" s="225"/>
      <c r="I161" s="226">
        <v>4</v>
      </c>
      <c r="J161" s="226">
        <v>3</v>
      </c>
      <c r="K161" s="223"/>
      <c r="L161" s="227">
        <v>1181.72991</v>
      </c>
      <c r="M161" s="227">
        <v>851.94185000000004</v>
      </c>
      <c r="N161" s="227">
        <v>2033.6717599999999</v>
      </c>
      <c r="O161" s="222">
        <v>745.07511937697802</v>
      </c>
      <c r="P161" s="228">
        <v>219.79400000000001</v>
      </c>
      <c r="Q161" s="234">
        <v>3.3898792477364199</v>
      </c>
      <c r="R161" s="235">
        <v>1378.55415856835</v>
      </c>
      <c r="S161" s="224">
        <v>0.01</v>
      </c>
      <c r="T161" s="224">
        <v>0.01</v>
      </c>
      <c r="U161" s="231">
        <v>0</v>
      </c>
      <c r="V161" s="232">
        <v>0</v>
      </c>
      <c r="W161" s="223"/>
      <c r="X161" s="231">
        <v>1627.2174749999999</v>
      </c>
      <c r="Y161" s="222">
        <v>596.16270348265596</v>
      </c>
      <c r="Z161" s="233">
        <v>573</v>
      </c>
      <c r="AA161" s="238">
        <v>1.04042356628736</v>
      </c>
      <c r="AB161" s="239">
        <v>-80.665295322820796</v>
      </c>
      <c r="AC161" s="224">
        <v>1.4E-2</v>
      </c>
      <c r="AD161" s="224">
        <v>4.0000000000000001E-3</v>
      </c>
      <c r="AE161" s="232">
        <v>0</v>
      </c>
      <c r="AF161" s="232">
        <v>250</v>
      </c>
      <c r="AG161" s="223"/>
      <c r="AH161" s="236">
        <v>72.7</v>
      </c>
      <c r="AI161" s="222">
        <v>26.635055983029599</v>
      </c>
      <c r="AJ161" s="237" t="s">
        <v>54</v>
      </c>
      <c r="AK161" s="229">
        <v>0.422778666397295</v>
      </c>
      <c r="AL161" s="230">
        <v>-115.07768678942</v>
      </c>
      <c r="AM161" s="224"/>
      <c r="AN161" s="224"/>
      <c r="AO161" s="232">
        <v>100</v>
      </c>
      <c r="AP161" s="232">
        <v>134</v>
      </c>
      <c r="AQ161" s="223"/>
      <c r="AR161" s="236">
        <v>21.6</v>
      </c>
      <c r="AS161" s="222">
        <v>7.91357921916698</v>
      </c>
      <c r="AT161" s="237" t="s">
        <v>55</v>
      </c>
      <c r="AU161" s="229">
        <v>0.49459870119793597</v>
      </c>
      <c r="AV161" s="230">
        <v>-26.089571248106701</v>
      </c>
      <c r="AW161" s="224"/>
      <c r="AX161" s="224"/>
      <c r="AY161" s="232">
        <v>23</v>
      </c>
      <c r="AZ161" s="232">
        <v>31</v>
      </c>
      <c r="BA161" s="223"/>
      <c r="BB161" s="240">
        <v>81.599999999999994</v>
      </c>
      <c r="BC161" s="236">
        <v>29.895743716853001</v>
      </c>
      <c r="BD161" s="237" t="s">
        <v>56</v>
      </c>
      <c r="BE161" s="238">
        <v>0.93424199115165696</v>
      </c>
      <c r="BF161" s="239">
        <v>-13.779142496213399</v>
      </c>
      <c r="BG161" s="224">
        <v>3.0000000000000001E-3</v>
      </c>
      <c r="BH161" s="224"/>
      <c r="BI161" s="232">
        <v>6</v>
      </c>
      <c r="BJ161" s="232">
        <v>24</v>
      </c>
      <c r="BK161" s="225"/>
      <c r="BL161" s="241">
        <v>0.8</v>
      </c>
      <c r="BM161" s="244">
        <v>0.8</v>
      </c>
      <c r="BN161" s="242">
        <v>0</v>
      </c>
      <c r="BO161" s="243">
        <v>0.95</v>
      </c>
      <c r="BP161" s="234">
        <v>1</v>
      </c>
      <c r="BQ161" s="242">
        <v>2.5000000000000001E-3</v>
      </c>
    </row>
    <row r="162" spans="1:69" s="211" customFormat="1" ht="22.35" customHeight="1" x14ac:dyDescent="0.2">
      <c r="A162" s="221" t="s">
        <v>221</v>
      </c>
      <c r="B162" s="221" t="s">
        <v>222</v>
      </c>
      <c r="C162" s="221" t="s">
        <v>226</v>
      </c>
      <c r="D162" s="222">
        <v>1.1783439328888901</v>
      </c>
      <c r="E162" s="223"/>
      <c r="F162" s="224">
        <v>0.05</v>
      </c>
      <c r="G162" s="224">
        <v>4.1000000000000002E-2</v>
      </c>
      <c r="H162" s="225"/>
      <c r="I162" s="226">
        <v>5</v>
      </c>
      <c r="J162" s="226">
        <v>5</v>
      </c>
      <c r="K162" s="223"/>
      <c r="L162" s="227">
        <v>1061.19625</v>
      </c>
      <c r="M162" s="227">
        <v>537.65188999999998</v>
      </c>
      <c r="N162" s="227">
        <v>1598.8481400000001</v>
      </c>
      <c r="O162" s="222">
        <v>1356.8603320086499</v>
      </c>
      <c r="P162" s="228">
        <v>224.79599999999999</v>
      </c>
      <c r="Q162" s="234">
        <v>6.0359629709098499</v>
      </c>
      <c r="R162" s="235">
        <v>1309.5915330104399</v>
      </c>
      <c r="S162" s="224">
        <v>0.01</v>
      </c>
      <c r="T162" s="224">
        <v>0.01</v>
      </c>
      <c r="U162" s="231">
        <v>0</v>
      </c>
      <c r="V162" s="232">
        <v>0</v>
      </c>
      <c r="W162" s="223"/>
      <c r="X162" s="231">
        <v>555.42299500000001</v>
      </c>
      <c r="Y162" s="222">
        <v>471.35898059770699</v>
      </c>
      <c r="Z162" s="233">
        <v>573</v>
      </c>
      <c r="AA162" s="244">
        <v>0.82261602198552797</v>
      </c>
      <c r="AB162" s="227">
        <v>-181.88565731150501</v>
      </c>
      <c r="AC162" s="224"/>
      <c r="AD162" s="224"/>
      <c r="AE162" s="232">
        <v>120</v>
      </c>
      <c r="AF162" s="232">
        <v>255</v>
      </c>
      <c r="AG162" s="223"/>
      <c r="AH162" s="236">
        <v>82.4</v>
      </c>
      <c r="AI162" s="222">
        <v>69.928649607406101</v>
      </c>
      <c r="AJ162" s="237" t="s">
        <v>54</v>
      </c>
      <c r="AK162" s="234">
        <v>1.1099785651969201</v>
      </c>
      <c r="AL162" s="235">
        <v>1.3346507929759399</v>
      </c>
      <c r="AM162" s="224">
        <v>0.02</v>
      </c>
      <c r="AN162" s="224">
        <v>1.0999999999999999E-2</v>
      </c>
      <c r="AO162" s="232">
        <v>0</v>
      </c>
      <c r="AP162" s="232">
        <v>7</v>
      </c>
      <c r="AQ162" s="223"/>
      <c r="AR162" s="236">
        <v>9.6</v>
      </c>
      <c r="AS162" s="222">
        <v>8.14702713872693</v>
      </c>
      <c r="AT162" s="237" t="s">
        <v>55</v>
      </c>
      <c r="AU162" s="229">
        <v>0.50918919617043301</v>
      </c>
      <c r="AV162" s="230">
        <v>-10.9880251954347</v>
      </c>
      <c r="AW162" s="224"/>
      <c r="AX162" s="224"/>
      <c r="AY162" s="232">
        <v>10</v>
      </c>
      <c r="AZ162" s="232">
        <v>14</v>
      </c>
      <c r="BA162" s="223"/>
      <c r="BB162" s="240">
        <v>46.4</v>
      </c>
      <c r="BC162" s="236">
        <v>39.377297837180201</v>
      </c>
      <c r="BD162" s="237" t="s">
        <v>56</v>
      </c>
      <c r="BE162" s="234">
        <v>1.23054055741188</v>
      </c>
      <c r="BF162" s="235">
        <v>5.2239496091306297</v>
      </c>
      <c r="BG162" s="224">
        <v>0.02</v>
      </c>
      <c r="BH162" s="224">
        <v>0.02</v>
      </c>
      <c r="BI162" s="232">
        <v>0</v>
      </c>
      <c r="BJ162" s="232">
        <v>0</v>
      </c>
      <c r="BK162" s="225"/>
      <c r="BL162" s="241">
        <v>0.8</v>
      </c>
      <c r="BM162" s="238">
        <v>0.83</v>
      </c>
      <c r="BN162" s="242">
        <v>1.1249999999999999E-3</v>
      </c>
      <c r="BO162" s="243">
        <v>0.95</v>
      </c>
      <c r="BP162" s="234">
        <v>1</v>
      </c>
      <c r="BQ162" s="242">
        <v>2.5000000000000001E-3</v>
      </c>
    </row>
    <row r="163" spans="1:69" s="211" customFormat="1" ht="22.35" customHeight="1" x14ac:dyDescent="0.2">
      <c r="A163" s="221" t="s">
        <v>221</v>
      </c>
      <c r="B163" s="221" t="s">
        <v>222</v>
      </c>
      <c r="C163" s="221" t="s">
        <v>227</v>
      </c>
      <c r="D163" s="222">
        <v>3.1786816065555601</v>
      </c>
      <c r="E163" s="223"/>
      <c r="F163" s="224">
        <v>0.08</v>
      </c>
      <c r="G163" s="224">
        <v>7.9500000000000001E-2</v>
      </c>
      <c r="H163" s="225"/>
      <c r="I163" s="226">
        <v>6</v>
      </c>
      <c r="J163" s="226">
        <v>6</v>
      </c>
      <c r="K163" s="223"/>
      <c r="L163" s="227">
        <v>3230.8780900000002</v>
      </c>
      <c r="M163" s="227">
        <v>-424.17930999999999</v>
      </c>
      <c r="N163" s="227">
        <v>2806.6987800000002</v>
      </c>
      <c r="O163" s="222">
        <v>882.97575139693197</v>
      </c>
      <c r="P163" s="228">
        <v>239.25899999999999</v>
      </c>
      <c r="Q163" s="234">
        <v>3.6904599258415902</v>
      </c>
      <c r="R163" s="235">
        <v>1976.20200470686</v>
      </c>
      <c r="S163" s="224">
        <v>0.01</v>
      </c>
      <c r="T163" s="224">
        <v>0.01</v>
      </c>
      <c r="U163" s="231">
        <v>0</v>
      </c>
      <c r="V163" s="232">
        <v>0</v>
      </c>
      <c r="W163" s="223"/>
      <c r="X163" s="231">
        <v>2459.3987400000001</v>
      </c>
      <c r="Y163" s="222">
        <v>773.71660468536902</v>
      </c>
      <c r="Z163" s="233">
        <v>573</v>
      </c>
      <c r="AA163" s="234">
        <v>1.35029075861321</v>
      </c>
      <c r="AB163" s="235">
        <v>470.44679987248099</v>
      </c>
      <c r="AC163" s="224">
        <v>0.02</v>
      </c>
      <c r="AD163" s="224">
        <v>0.02</v>
      </c>
      <c r="AE163" s="232">
        <v>0</v>
      </c>
      <c r="AF163" s="232">
        <v>0</v>
      </c>
      <c r="AG163" s="223"/>
      <c r="AH163" s="236">
        <v>295.39999999999998</v>
      </c>
      <c r="AI163" s="222">
        <v>92.93161019675</v>
      </c>
      <c r="AJ163" s="237" t="s">
        <v>54</v>
      </c>
      <c r="AK163" s="234">
        <v>1.4751049237579399</v>
      </c>
      <c r="AL163" s="235">
        <v>76.7194201954037</v>
      </c>
      <c r="AM163" s="224">
        <v>0.02</v>
      </c>
      <c r="AN163" s="224">
        <v>0.02</v>
      </c>
      <c r="AO163" s="232">
        <v>0</v>
      </c>
      <c r="AP163" s="232">
        <v>0</v>
      </c>
      <c r="AQ163" s="223"/>
      <c r="AR163" s="236">
        <v>60.3</v>
      </c>
      <c r="AS163" s="222">
        <v>18.970128960270898</v>
      </c>
      <c r="AT163" s="237" t="s">
        <v>55</v>
      </c>
      <c r="AU163" s="234">
        <v>1.18563306001693</v>
      </c>
      <c r="AV163" s="235">
        <v>4.7620749702612599</v>
      </c>
      <c r="AW163" s="224">
        <v>0.01</v>
      </c>
      <c r="AX163" s="224">
        <v>9.4999999999999998E-3</v>
      </c>
      <c r="AY163" s="232">
        <v>0</v>
      </c>
      <c r="AZ163" s="232">
        <v>1</v>
      </c>
      <c r="BA163" s="223"/>
      <c r="BB163" s="240">
        <v>197.2</v>
      </c>
      <c r="BC163" s="236">
        <v>62.038299020985399</v>
      </c>
      <c r="BD163" s="237" t="s">
        <v>56</v>
      </c>
      <c r="BE163" s="234">
        <v>1.9386968444057999</v>
      </c>
      <c r="BF163" s="235">
        <v>86.1241499405225</v>
      </c>
      <c r="BG163" s="224">
        <v>0.02</v>
      </c>
      <c r="BH163" s="224">
        <v>0.02</v>
      </c>
      <c r="BI163" s="232">
        <v>0</v>
      </c>
      <c r="BJ163" s="232">
        <v>0</v>
      </c>
      <c r="BK163" s="225"/>
      <c r="BL163" s="241">
        <v>0.8</v>
      </c>
      <c r="BM163" s="244">
        <v>0.78</v>
      </c>
      <c r="BN163" s="242"/>
      <c r="BO163" s="243">
        <v>0.95</v>
      </c>
      <c r="BP163" s="234">
        <v>1</v>
      </c>
      <c r="BQ163" s="242">
        <v>2.5000000000000001E-3</v>
      </c>
    </row>
    <row r="164" spans="1:69" s="211" customFormat="1" ht="22.35" customHeight="1" x14ac:dyDescent="0.2">
      <c r="A164" s="221" t="s">
        <v>221</v>
      </c>
      <c r="B164" s="221" t="s">
        <v>222</v>
      </c>
      <c r="C164" s="221" t="s">
        <v>228</v>
      </c>
      <c r="D164" s="222">
        <v>3.7074923414444401</v>
      </c>
      <c r="E164" s="223"/>
      <c r="F164" s="224">
        <v>2.1999999999999999E-2</v>
      </c>
      <c r="G164" s="224">
        <v>1.2E-2</v>
      </c>
      <c r="H164" s="225"/>
      <c r="I164" s="226">
        <v>3</v>
      </c>
      <c r="J164" s="226">
        <v>3</v>
      </c>
      <c r="K164" s="223"/>
      <c r="L164" s="227">
        <v>1870.79556</v>
      </c>
      <c r="M164" s="227">
        <v>-209.71955</v>
      </c>
      <c r="N164" s="227">
        <v>1661.07601</v>
      </c>
      <c r="O164" s="222">
        <v>448.03221612396999</v>
      </c>
      <c r="P164" s="228">
        <v>272.85399999999998</v>
      </c>
      <c r="Q164" s="234">
        <v>1.64202179965831</v>
      </c>
      <c r="R164" s="235">
        <v>556.40431605693004</v>
      </c>
      <c r="S164" s="224">
        <v>0.01</v>
      </c>
      <c r="T164" s="224">
        <v>0.01</v>
      </c>
      <c r="U164" s="231">
        <v>0</v>
      </c>
      <c r="V164" s="232">
        <v>0</v>
      </c>
      <c r="W164" s="223"/>
      <c r="X164" s="231">
        <v>1841.54764</v>
      </c>
      <c r="Y164" s="222">
        <v>496.709762394959</v>
      </c>
      <c r="Z164" s="233">
        <v>573</v>
      </c>
      <c r="AA164" s="244">
        <v>0.86685822407497204</v>
      </c>
      <c r="AB164" s="227">
        <v>-478.289637919249</v>
      </c>
      <c r="AC164" s="224"/>
      <c r="AD164" s="224"/>
      <c r="AE164" s="232">
        <v>283</v>
      </c>
      <c r="AF164" s="232">
        <v>708</v>
      </c>
      <c r="AG164" s="223"/>
      <c r="AH164" s="236">
        <v>94.2</v>
      </c>
      <c r="AI164" s="222">
        <v>25.408009329373201</v>
      </c>
      <c r="AJ164" s="237" t="s">
        <v>54</v>
      </c>
      <c r="AK164" s="229">
        <v>0.40330173538687603</v>
      </c>
      <c r="AL164" s="230">
        <v>-160.86064312201199</v>
      </c>
      <c r="AM164" s="224"/>
      <c r="AN164" s="224"/>
      <c r="AO164" s="232">
        <v>140</v>
      </c>
      <c r="AP164" s="232">
        <v>187</v>
      </c>
      <c r="AQ164" s="223"/>
      <c r="AR164" s="236">
        <v>30.8</v>
      </c>
      <c r="AS164" s="222">
        <v>8.3075019887971706</v>
      </c>
      <c r="AT164" s="237" t="s">
        <v>55</v>
      </c>
      <c r="AU164" s="229">
        <v>0.51921887429982305</v>
      </c>
      <c r="AV164" s="230">
        <v>-33.977306189717297</v>
      </c>
      <c r="AW164" s="224"/>
      <c r="AX164" s="224"/>
      <c r="AY164" s="232">
        <v>29</v>
      </c>
      <c r="AZ164" s="232">
        <v>41</v>
      </c>
      <c r="BA164" s="223"/>
      <c r="BB164" s="240">
        <v>121</v>
      </c>
      <c r="BC164" s="236">
        <v>32.636614955988897</v>
      </c>
      <c r="BD164" s="237" t="s">
        <v>56</v>
      </c>
      <c r="BE164" s="238">
        <v>1.0198942173746499</v>
      </c>
      <c r="BF164" s="239">
        <v>-8.5546123794345004</v>
      </c>
      <c r="BG164" s="224">
        <v>1.2E-2</v>
      </c>
      <c r="BH164" s="224">
        <v>2E-3</v>
      </c>
      <c r="BI164" s="232">
        <v>0</v>
      </c>
      <c r="BJ164" s="232">
        <v>22</v>
      </c>
      <c r="BK164" s="225"/>
      <c r="BL164" s="241">
        <v>0.8</v>
      </c>
      <c r="BM164" s="244">
        <v>0.72</v>
      </c>
      <c r="BN164" s="242"/>
      <c r="BO164" s="243">
        <v>0.95</v>
      </c>
      <c r="BP164" s="234">
        <v>1</v>
      </c>
      <c r="BQ164" s="242">
        <v>2.5000000000000001E-3</v>
      </c>
    </row>
    <row r="165" spans="1:69" s="211" customFormat="1" ht="22.35" customHeight="1" x14ac:dyDescent="0.2">
      <c r="A165" s="221" t="s">
        <v>221</v>
      </c>
      <c r="B165" s="221" t="s">
        <v>222</v>
      </c>
      <c r="C165" s="221" t="s">
        <v>229</v>
      </c>
      <c r="D165" s="222">
        <v>3.59068721</v>
      </c>
      <c r="E165" s="223"/>
      <c r="F165" s="224">
        <v>0.01</v>
      </c>
      <c r="G165" s="224">
        <v>0.01</v>
      </c>
      <c r="H165" s="225"/>
      <c r="I165" s="226">
        <v>2</v>
      </c>
      <c r="J165" s="226">
        <v>2</v>
      </c>
      <c r="K165" s="223"/>
      <c r="L165" s="227">
        <v>611.86848999999995</v>
      </c>
      <c r="M165" s="227">
        <v>792.53138999999999</v>
      </c>
      <c r="N165" s="227">
        <v>1404.3998799999999</v>
      </c>
      <c r="O165" s="222">
        <v>391.12286809298502</v>
      </c>
      <c r="P165" s="228">
        <v>244.22499999999999</v>
      </c>
      <c r="Q165" s="234">
        <v>1.60148579421839</v>
      </c>
      <c r="R165" s="235">
        <v>446.78622242242301</v>
      </c>
      <c r="S165" s="224">
        <v>0.01</v>
      </c>
      <c r="T165" s="224">
        <v>0.01</v>
      </c>
      <c r="U165" s="231">
        <v>0</v>
      </c>
      <c r="V165" s="232">
        <v>0</v>
      </c>
      <c r="W165" s="223"/>
      <c r="X165" s="231">
        <v>1728.7739349999999</v>
      </c>
      <c r="Y165" s="222">
        <v>481.46046533526902</v>
      </c>
      <c r="Z165" s="233">
        <v>573</v>
      </c>
      <c r="AA165" s="244">
        <v>0.84024514020116803</v>
      </c>
      <c r="AB165" s="227">
        <v>-517.97650329236001</v>
      </c>
      <c r="AC165" s="224"/>
      <c r="AD165" s="224"/>
      <c r="AE165" s="232">
        <v>329</v>
      </c>
      <c r="AF165" s="232">
        <v>741</v>
      </c>
      <c r="AG165" s="223"/>
      <c r="AH165" s="236">
        <v>160.30000000000001</v>
      </c>
      <c r="AI165" s="222">
        <v>44.643264819494</v>
      </c>
      <c r="AJ165" s="237" t="s">
        <v>54</v>
      </c>
      <c r="AK165" s="229">
        <v>0.708623251103079</v>
      </c>
      <c r="AL165" s="230">
        <v>-86.724917299159998</v>
      </c>
      <c r="AM165" s="224"/>
      <c r="AN165" s="224"/>
      <c r="AO165" s="232">
        <v>66</v>
      </c>
      <c r="AP165" s="232">
        <v>112</v>
      </c>
      <c r="AQ165" s="223"/>
      <c r="AR165" s="236">
        <v>29.4</v>
      </c>
      <c r="AS165" s="222">
        <v>8.1878476961517297</v>
      </c>
      <c r="AT165" s="237" t="s">
        <v>55</v>
      </c>
      <c r="AU165" s="229">
        <v>0.51174048100948299</v>
      </c>
      <c r="AV165" s="230">
        <v>-33.33648693312</v>
      </c>
      <c r="AW165" s="224"/>
      <c r="AX165" s="224"/>
      <c r="AY165" s="232">
        <v>29</v>
      </c>
      <c r="AZ165" s="232">
        <v>40</v>
      </c>
      <c r="BA165" s="223"/>
      <c r="BB165" s="240">
        <v>96.6</v>
      </c>
      <c r="BC165" s="236">
        <v>26.9029281444985</v>
      </c>
      <c r="BD165" s="237" t="s">
        <v>56</v>
      </c>
      <c r="BE165" s="244">
        <v>0.84071650451558</v>
      </c>
      <c r="BF165" s="227">
        <v>-28.872973866239999</v>
      </c>
      <c r="BG165" s="224"/>
      <c r="BH165" s="224"/>
      <c r="BI165" s="232">
        <v>19</v>
      </c>
      <c r="BJ165" s="232">
        <v>42</v>
      </c>
      <c r="BK165" s="225"/>
      <c r="BL165" s="241">
        <v>0.8</v>
      </c>
      <c r="BM165" s="244">
        <v>0.78</v>
      </c>
      <c r="BN165" s="242"/>
      <c r="BO165" s="243">
        <v>0.95</v>
      </c>
      <c r="BP165" s="234">
        <v>1</v>
      </c>
      <c r="BQ165" s="242">
        <v>2.5000000000000001E-3</v>
      </c>
    </row>
    <row r="166" spans="1:69" s="211" customFormat="1" ht="22.35" customHeight="1" x14ac:dyDescent="0.2">
      <c r="A166" s="221" t="s">
        <v>221</v>
      </c>
      <c r="B166" s="221" t="s">
        <v>222</v>
      </c>
      <c r="C166" s="221" t="s">
        <v>230</v>
      </c>
      <c r="D166" s="222">
        <v>8.2706296171111102</v>
      </c>
      <c r="E166" s="223"/>
      <c r="F166" s="224">
        <v>3.7999999999999999E-2</v>
      </c>
      <c r="G166" s="224">
        <v>0.03</v>
      </c>
      <c r="H166" s="225"/>
      <c r="I166" s="226">
        <v>5</v>
      </c>
      <c r="J166" s="226">
        <v>3</v>
      </c>
      <c r="K166" s="223"/>
      <c r="L166" s="227">
        <v>12902.40545</v>
      </c>
      <c r="M166" s="227">
        <v>-143.12826999999999</v>
      </c>
      <c r="N166" s="227">
        <v>12759.277179999999</v>
      </c>
      <c r="O166" s="222">
        <v>1542.72138527426</v>
      </c>
      <c r="P166" s="228">
        <v>224.79599999999999</v>
      </c>
      <c r="Q166" s="234">
        <v>6.8627617274073396</v>
      </c>
      <c r="R166" s="235">
        <v>10729.025914694301</v>
      </c>
      <c r="S166" s="224">
        <v>0.01</v>
      </c>
      <c r="T166" s="224">
        <v>0.01</v>
      </c>
      <c r="U166" s="231">
        <v>0</v>
      </c>
      <c r="V166" s="232">
        <v>0</v>
      </c>
      <c r="W166" s="223"/>
      <c r="X166" s="231">
        <v>4579.5361599999997</v>
      </c>
      <c r="Y166" s="222">
        <v>553.71070547342504</v>
      </c>
      <c r="Z166" s="233">
        <v>573</v>
      </c>
      <c r="AA166" s="238">
        <v>0.966336309726746</v>
      </c>
      <c r="AB166" s="239">
        <v>-595.52912150029499</v>
      </c>
      <c r="AC166" s="224">
        <v>6.0000000000000001E-3</v>
      </c>
      <c r="AD166" s="224"/>
      <c r="AE166" s="232">
        <v>160</v>
      </c>
      <c r="AF166" s="232">
        <v>1108</v>
      </c>
      <c r="AG166" s="223"/>
      <c r="AH166" s="236">
        <v>483.5</v>
      </c>
      <c r="AI166" s="222">
        <v>58.459878193515799</v>
      </c>
      <c r="AJ166" s="237" t="s">
        <v>54</v>
      </c>
      <c r="AK166" s="238">
        <v>0.92793457450025096</v>
      </c>
      <c r="AL166" s="239">
        <v>-85.486235138775996</v>
      </c>
      <c r="AM166" s="224">
        <v>2E-3</v>
      </c>
      <c r="AN166" s="224"/>
      <c r="AO166" s="232">
        <v>38</v>
      </c>
      <c r="AP166" s="232">
        <v>142</v>
      </c>
      <c r="AQ166" s="223"/>
      <c r="AR166" s="236">
        <v>95.6</v>
      </c>
      <c r="AS166" s="222">
        <v>11.5589748816962</v>
      </c>
      <c r="AT166" s="237" t="s">
        <v>55</v>
      </c>
      <c r="AU166" s="229">
        <v>0.72243593010601204</v>
      </c>
      <c r="AV166" s="230">
        <v>-48.9044406701653</v>
      </c>
      <c r="AW166" s="224"/>
      <c r="AX166" s="224"/>
      <c r="AY166" s="232">
        <v>37</v>
      </c>
      <c r="AZ166" s="232">
        <v>64</v>
      </c>
      <c r="BA166" s="223"/>
      <c r="BB166" s="240">
        <v>353</v>
      </c>
      <c r="BC166" s="236">
        <v>42.6811520213259</v>
      </c>
      <c r="BD166" s="237" t="s">
        <v>56</v>
      </c>
      <c r="BE166" s="234">
        <v>1.3337860006664299</v>
      </c>
      <c r="BF166" s="235">
        <v>63.991118659669297</v>
      </c>
      <c r="BG166" s="224">
        <v>0.02</v>
      </c>
      <c r="BH166" s="224">
        <v>0.02</v>
      </c>
      <c r="BI166" s="232">
        <v>0</v>
      </c>
      <c r="BJ166" s="232">
        <v>0</v>
      </c>
      <c r="BK166" s="225"/>
      <c r="BL166" s="241">
        <v>0.8</v>
      </c>
      <c r="BM166" s="244">
        <v>0.74</v>
      </c>
      <c r="BN166" s="242"/>
      <c r="BO166" s="243">
        <v>0.95</v>
      </c>
      <c r="BP166" s="234">
        <v>1</v>
      </c>
      <c r="BQ166" s="242">
        <v>2.5000000000000001E-3</v>
      </c>
    </row>
    <row r="167" spans="1:69" s="211" customFormat="1" ht="22.35" customHeight="1" x14ac:dyDescent="0.2">
      <c r="A167" s="221" t="s">
        <v>221</v>
      </c>
      <c r="B167" s="221" t="s">
        <v>222</v>
      </c>
      <c r="C167" s="221" t="s">
        <v>231</v>
      </c>
      <c r="D167" s="222">
        <v>2.0619326908888902</v>
      </c>
      <c r="E167" s="223"/>
      <c r="F167" s="224">
        <v>3.5999999999999997E-2</v>
      </c>
      <c r="G167" s="224">
        <v>1.7999999999999999E-2</v>
      </c>
      <c r="H167" s="225"/>
      <c r="I167" s="226">
        <v>3</v>
      </c>
      <c r="J167" s="226">
        <v>3</v>
      </c>
      <c r="K167" s="223"/>
      <c r="L167" s="227">
        <v>-8166.7360500000004</v>
      </c>
      <c r="M167" s="227">
        <v>784.15520000000004</v>
      </c>
      <c r="N167" s="227">
        <v>-7382.5808500000003</v>
      </c>
      <c r="O167" s="222">
        <v>-3580.4179654464901</v>
      </c>
      <c r="P167" s="228">
        <v>225.90199999999999</v>
      </c>
      <c r="Q167" s="229">
        <v>-15.8494301309705</v>
      </c>
      <c r="R167" s="230">
        <v>-7891.2286828610004</v>
      </c>
      <c r="S167" s="224"/>
      <c r="T167" s="224"/>
      <c r="U167" s="231">
        <v>7849</v>
      </c>
      <c r="V167" s="232">
        <v>7942</v>
      </c>
      <c r="W167" s="223"/>
      <c r="X167" s="231">
        <v>883.646885</v>
      </c>
      <c r="Y167" s="222">
        <v>428.55273060298799</v>
      </c>
      <c r="Z167" s="233">
        <v>573</v>
      </c>
      <c r="AA167" s="244">
        <v>0.74791052461254404</v>
      </c>
      <c r="AB167" s="227">
        <v>-406.53739061223303</v>
      </c>
      <c r="AC167" s="224"/>
      <c r="AD167" s="224"/>
      <c r="AE167" s="232">
        <v>298</v>
      </c>
      <c r="AF167" s="232">
        <v>535</v>
      </c>
      <c r="AG167" s="223"/>
      <c r="AH167" s="236">
        <v>146.25</v>
      </c>
      <c r="AI167" s="222">
        <v>70.928600456376898</v>
      </c>
      <c r="AJ167" s="237" t="s">
        <v>54</v>
      </c>
      <c r="AK167" s="234">
        <v>1.12585080089487</v>
      </c>
      <c r="AL167" s="235">
        <v>4.3972785976079098</v>
      </c>
      <c r="AM167" s="224">
        <v>0.02</v>
      </c>
      <c r="AN167" s="224">
        <v>1.2999999999999999E-2</v>
      </c>
      <c r="AO167" s="232">
        <v>0</v>
      </c>
      <c r="AP167" s="232">
        <v>10</v>
      </c>
      <c r="AQ167" s="223"/>
      <c r="AR167" s="236">
        <v>23.1</v>
      </c>
      <c r="AS167" s="222">
        <v>11.203081507981601</v>
      </c>
      <c r="AT167" s="237" t="s">
        <v>55</v>
      </c>
      <c r="AU167" s="229">
        <v>0.70019259424884805</v>
      </c>
      <c r="AV167" s="230">
        <v>-12.926087975210701</v>
      </c>
      <c r="AW167" s="224"/>
      <c r="AX167" s="224"/>
      <c r="AY167" s="232">
        <v>10</v>
      </c>
      <c r="AZ167" s="232">
        <v>17</v>
      </c>
      <c r="BA167" s="223"/>
      <c r="BB167" s="240">
        <v>69.400000000000006</v>
      </c>
      <c r="BC167" s="236">
        <v>33.657742712290997</v>
      </c>
      <c r="BD167" s="237" t="s">
        <v>56</v>
      </c>
      <c r="BE167" s="238">
        <v>1.0518044597590901</v>
      </c>
      <c r="BF167" s="239">
        <v>-2.65217595042138</v>
      </c>
      <c r="BG167" s="224">
        <v>1.6E-2</v>
      </c>
      <c r="BH167" s="224">
        <v>5.0000000000000001E-3</v>
      </c>
      <c r="BI167" s="232">
        <v>0</v>
      </c>
      <c r="BJ167" s="232">
        <v>10</v>
      </c>
      <c r="BK167" s="225"/>
      <c r="BL167" s="241">
        <v>0.8</v>
      </c>
      <c r="BM167" s="229"/>
      <c r="BN167" s="242"/>
      <c r="BO167" s="243">
        <v>0.95</v>
      </c>
      <c r="BP167" s="234">
        <v>1</v>
      </c>
      <c r="BQ167" s="242">
        <v>2.5000000000000001E-3</v>
      </c>
    </row>
    <row r="168" spans="1:69" s="211" customFormat="1" ht="22.35" customHeight="1" x14ac:dyDescent="0.2">
      <c r="A168" s="221" t="s">
        <v>221</v>
      </c>
      <c r="B168" s="221" t="s">
        <v>222</v>
      </c>
      <c r="C168" s="221" t="s">
        <v>232</v>
      </c>
      <c r="D168" s="222">
        <v>2.0199468106666698</v>
      </c>
      <c r="E168" s="223"/>
      <c r="F168" s="224">
        <v>0.05</v>
      </c>
      <c r="G168" s="224">
        <v>0.05</v>
      </c>
      <c r="H168" s="225"/>
      <c r="I168" s="226">
        <v>4</v>
      </c>
      <c r="J168" s="226">
        <v>4</v>
      </c>
      <c r="K168" s="223"/>
      <c r="L168" s="227">
        <v>2445.0452399999999</v>
      </c>
      <c r="M168" s="227">
        <v>422.76490999999999</v>
      </c>
      <c r="N168" s="227">
        <v>2867.8101499999998</v>
      </c>
      <c r="O168" s="222">
        <v>1419.74537886644</v>
      </c>
      <c r="P168" s="228">
        <v>258.548</v>
      </c>
      <c r="Q168" s="234">
        <v>5.4912255320731198</v>
      </c>
      <c r="R168" s="235">
        <v>2297.5096468593601</v>
      </c>
      <c r="S168" s="224">
        <v>0.01</v>
      </c>
      <c r="T168" s="224">
        <v>0.01</v>
      </c>
      <c r="U168" s="231">
        <v>0</v>
      </c>
      <c r="V168" s="232">
        <v>0</v>
      </c>
      <c r="W168" s="223"/>
      <c r="X168" s="231">
        <v>1772.097025</v>
      </c>
      <c r="Y168" s="222">
        <v>877.29885541646195</v>
      </c>
      <c r="Z168" s="233">
        <v>573</v>
      </c>
      <c r="AA168" s="234">
        <v>1.5310625748978399</v>
      </c>
      <c r="AB168" s="235">
        <v>508.18398641689299</v>
      </c>
      <c r="AC168" s="224">
        <v>0.02</v>
      </c>
      <c r="AD168" s="224">
        <v>0.02</v>
      </c>
      <c r="AE168" s="232">
        <v>0</v>
      </c>
      <c r="AF168" s="232">
        <v>0</v>
      </c>
      <c r="AG168" s="223"/>
      <c r="AH168" s="236">
        <v>110.35</v>
      </c>
      <c r="AI168" s="222">
        <v>54.630151357094299</v>
      </c>
      <c r="AJ168" s="237" t="s">
        <v>54</v>
      </c>
      <c r="AK168" s="244">
        <v>0.86714525963641798</v>
      </c>
      <c r="AL168" s="227">
        <v>-28.6142607866243</v>
      </c>
      <c r="AM168" s="224"/>
      <c r="AN168" s="224"/>
      <c r="AO168" s="232">
        <v>17</v>
      </c>
      <c r="AP168" s="232">
        <v>43</v>
      </c>
      <c r="AQ168" s="223"/>
      <c r="AR168" s="236">
        <v>23.8</v>
      </c>
      <c r="AS168" s="222">
        <v>11.7824884666864</v>
      </c>
      <c r="AT168" s="237" t="s">
        <v>55</v>
      </c>
      <c r="AU168" s="244">
        <v>0.73640552916790103</v>
      </c>
      <c r="AV168" s="227">
        <v>-11.4925106759681</v>
      </c>
      <c r="AW168" s="224"/>
      <c r="AX168" s="224"/>
      <c r="AY168" s="232">
        <v>9</v>
      </c>
      <c r="AZ168" s="232">
        <v>15</v>
      </c>
      <c r="BA168" s="223"/>
      <c r="BB168" s="240">
        <v>94</v>
      </c>
      <c r="BC168" s="236">
        <v>46.535878818005102</v>
      </c>
      <c r="BD168" s="237" t="s">
        <v>56</v>
      </c>
      <c r="BE168" s="234">
        <v>1.4542462130626601</v>
      </c>
      <c r="BF168" s="235">
        <v>23.414978648063901</v>
      </c>
      <c r="BG168" s="224">
        <v>0.02</v>
      </c>
      <c r="BH168" s="224">
        <v>0.02</v>
      </c>
      <c r="BI168" s="232">
        <v>0</v>
      </c>
      <c r="BJ168" s="232">
        <v>0</v>
      </c>
      <c r="BK168" s="225"/>
      <c r="BL168" s="241">
        <v>0.8</v>
      </c>
      <c r="BM168" s="244">
        <v>0.76</v>
      </c>
      <c r="BN168" s="242"/>
      <c r="BO168" s="243">
        <v>0.95</v>
      </c>
      <c r="BP168" s="234">
        <v>1</v>
      </c>
      <c r="BQ168" s="242">
        <v>2.5000000000000001E-3</v>
      </c>
    </row>
    <row r="169" spans="1:69" s="211" customFormat="1" ht="22.35" customHeight="1" x14ac:dyDescent="0.2">
      <c r="A169" s="221" t="s">
        <v>221</v>
      </c>
      <c r="B169" s="221" t="s">
        <v>222</v>
      </c>
      <c r="C169" s="221" t="s">
        <v>233</v>
      </c>
      <c r="D169" s="222">
        <v>1.8614832398888901</v>
      </c>
      <c r="E169" s="223"/>
      <c r="F169" s="224">
        <v>4.4999999999999998E-2</v>
      </c>
      <c r="G169" s="224">
        <v>0.04</v>
      </c>
      <c r="H169" s="225"/>
      <c r="I169" s="226">
        <v>5</v>
      </c>
      <c r="J169" s="226">
        <v>4</v>
      </c>
      <c r="K169" s="223"/>
      <c r="L169" s="227">
        <v>1295.2726700000001</v>
      </c>
      <c r="M169" s="227">
        <v>709.15342999999996</v>
      </c>
      <c r="N169" s="227">
        <v>2004.4260999999999</v>
      </c>
      <c r="O169" s="222">
        <v>1076.7897647682501</v>
      </c>
      <c r="P169" s="228">
        <v>266.29899999999998</v>
      </c>
      <c r="Q169" s="234">
        <v>4.0435366440288902</v>
      </c>
      <c r="R169" s="235">
        <v>1463.1095511732999</v>
      </c>
      <c r="S169" s="224">
        <v>0.01</v>
      </c>
      <c r="T169" s="224">
        <v>0.01</v>
      </c>
      <c r="U169" s="231">
        <v>0</v>
      </c>
      <c r="V169" s="232">
        <v>0</v>
      </c>
      <c r="W169" s="223"/>
      <c r="X169" s="231">
        <v>1020.810205</v>
      </c>
      <c r="Y169" s="222">
        <v>548.38538597904903</v>
      </c>
      <c r="Z169" s="233">
        <v>573</v>
      </c>
      <c r="AA169" s="238">
        <v>0.95704255842766095</v>
      </c>
      <c r="AB169" s="239">
        <v>-143.949641930317</v>
      </c>
      <c r="AC169" s="224">
        <v>5.0000000000000001E-3</v>
      </c>
      <c r="AD169" s="224"/>
      <c r="AE169" s="232">
        <v>46</v>
      </c>
      <c r="AF169" s="232">
        <v>260</v>
      </c>
      <c r="AG169" s="223"/>
      <c r="AH169" s="236">
        <v>105.1</v>
      </c>
      <c r="AI169" s="222">
        <v>56.460352555348997</v>
      </c>
      <c r="AJ169" s="237" t="s">
        <v>54</v>
      </c>
      <c r="AK169" s="244">
        <v>0.89619607230712695</v>
      </c>
      <c r="AL169" s="227">
        <v>-22.9626009713961</v>
      </c>
      <c r="AM169" s="224"/>
      <c r="AN169" s="224"/>
      <c r="AO169" s="232">
        <v>13</v>
      </c>
      <c r="AP169" s="232">
        <v>36</v>
      </c>
      <c r="AQ169" s="223"/>
      <c r="AR169" s="236">
        <v>47.6</v>
      </c>
      <c r="AS169" s="222">
        <v>25.571006485581499</v>
      </c>
      <c r="AT169" s="237" t="s">
        <v>55</v>
      </c>
      <c r="AU169" s="234">
        <v>1.5981879053488399</v>
      </c>
      <c r="AV169" s="235">
        <v>15.0761648326613</v>
      </c>
      <c r="AW169" s="224">
        <v>0.01</v>
      </c>
      <c r="AX169" s="224">
        <v>0.01</v>
      </c>
      <c r="AY169" s="232">
        <v>0</v>
      </c>
      <c r="AZ169" s="232">
        <v>0</v>
      </c>
      <c r="BA169" s="223"/>
      <c r="BB169" s="240">
        <v>90</v>
      </c>
      <c r="BC169" s="236">
        <v>48.348541674418797</v>
      </c>
      <c r="BD169" s="237" t="s">
        <v>56</v>
      </c>
      <c r="BE169" s="234">
        <v>1.5108919273255901</v>
      </c>
      <c r="BF169" s="235">
        <v>24.952329665322601</v>
      </c>
      <c r="BG169" s="224">
        <v>0.02</v>
      </c>
      <c r="BH169" s="224">
        <v>0.02</v>
      </c>
      <c r="BI169" s="232">
        <v>0</v>
      </c>
      <c r="BJ169" s="232">
        <v>0</v>
      </c>
      <c r="BK169" s="225"/>
      <c r="BL169" s="241">
        <v>0.8</v>
      </c>
      <c r="BM169" s="244">
        <v>0.76</v>
      </c>
      <c r="BN169" s="242"/>
      <c r="BO169" s="243">
        <v>0.95</v>
      </c>
      <c r="BP169" s="234">
        <v>1</v>
      </c>
      <c r="BQ169" s="242">
        <v>2.5000000000000001E-3</v>
      </c>
    </row>
    <row r="170" spans="1:69" s="211" customFormat="1" ht="22.35" customHeight="1" x14ac:dyDescent="0.2">
      <c r="A170" s="221" t="s">
        <v>221</v>
      </c>
      <c r="B170" s="221" t="s">
        <v>222</v>
      </c>
      <c r="C170" s="221" t="s">
        <v>234</v>
      </c>
      <c r="D170" s="222">
        <v>10.3992394423333</v>
      </c>
      <c r="E170" s="223"/>
      <c r="F170" s="224">
        <v>0.06</v>
      </c>
      <c r="G170" s="224">
        <v>0.06</v>
      </c>
      <c r="H170" s="225"/>
      <c r="I170" s="226">
        <v>5</v>
      </c>
      <c r="J170" s="226">
        <v>5</v>
      </c>
      <c r="K170" s="223"/>
      <c r="L170" s="227">
        <v>9145.5505599999997</v>
      </c>
      <c r="M170" s="227">
        <v>5418.46245</v>
      </c>
      <c r="N170" s="227">
        <v>14564.013010000001</v>
      </c>
      <c r="O170" s="222">
        <v>1400.48828481751</v>
      </c>
      <c r="P170" s="228">
        <v>287.5</v>
      </c>
      <c r="Q170" s="234">
        <v>4.8712635993652498</v>
      </c>
      <c r="R170" s="235">
        <v>11299.1717870795</v>
      </c>
      <c r="S170" s="224">
        <v>0.01</v>
      </c>
      <c r="T170" s="224">
        <v>0.01</v>
      </c>
      <c r="U170" s="231">
        <v>0</v>
      </c>
      <c r="V170" s="232">
        <v>0</v>
      </c>
      <c r="W170" s="223"/>
      <c r="X170" s="231">
        <v>4108.4750800000002</v>
      </c>
      <c r="Y170" s="222">
        <v>395.07457278800399</v>
      </c>
      <c r="Z170" s="233">
        <v>573</v>
      </c>
      <c r="AA170" s="229">
        <v>0.68948442022339196</v>
      </c>
      <c r="AB170" s="230">
        <v>-2398.49542689904</v>
      </c>
      <c r="AC170" s="224"/>
      <c r="AD170" s="224"/>
      <c r="AE170" s="232">
        <v>1851</v>
      </c>
      <c r="AF170" s="232">
        <v>3043</v>
      </c>
      <c r="AG170" s="223"/>
      <c r="AH170" s="236">
        <v>834.8</v>
      </c>
      <c r="AI170" s="222">
        <v>80.275101331130699</v>
      </c>
      <c r="AJ170" s="237" t="s">
        <v>54</v>
      </c>
      <c r="AK170" s="234">
        <v>1.274207957637</v>
      </c>
      <c r="AL170" s="235">
        <v>119.37392332523601</v>
      </c>
      <c r="AM170" s="224">
        <v>0.02</v>
      </c>
      <c r="AN170" s="224">
        <v>0.02</v>
      </c>
      <c r="AO170" s="232">
        <v>0</v>
      </c>
      <c r="AP170" s="232">
        <v>0</v>
      </c>
      <c r="AQ170" s="223"/>
      <c r="AR170" s="236">
        <v>408.2</v>
      </c>
      <c r="AS170" s="222">
        <v>39.252870583813603</v>
      </c>
      <c r="AT170" s="237" t="s">
        <v>55</v>
      </c>
      <c r="AU170" s="234">
        <v>2.4533044114883502</v>
      </c>
      <c r="AV170" s="235">
        <v>226.50448846355201</v>
      </c>
      <c r="AW170" s="224">
        <v>0.01</v>
      </c>
      <c r="AX170" s="224">
        <v>0.01</v>
      </c>
      <c r="AY170" s="232">
        <v>0</v>
      </c>
      <c r="AZ170" s="232">
        <v>0</v>
      </c>
      <c r="BA170" s="223"/>
      <c r="BB170" s="240">
        <v>762</v>
      </c>
      <c r="BC170" s="236">
        <v>73.274589379877398</v>
      </c>
      <c r="BD170" s="237" t="s">
        <v>56</v>
      </c>
      <c r="BE170" s="234">
        <v>2.28983091812117</v>
      </c>
      <c r="BF170" s="235">
        <v>398.60897692710398</v>
      </c>
      <c r="BG170" s="224">
        <v>0.02</v>
      </c>
      <c r="BH170" s="224">
        <v>0.02</v>
      </c>
      <c r="BI170" s="232">
        <v>0</v>
      </c>
      <c r="BJ170" s="232">
        <v>0</v>
      </c>
      <c r="BK170" s="225"/>
      <c r="BL170" s="241">
        <v>0.8</v>
      </c>
      <c r="BM170" s="244">
        <v>0.75</v>
      </c>
      <c r="BN170" s="242"/>
      <c r="BO170" s="243">
        <v>0.95</v>
      </c>
      <c r="BP170" s="234">
        <v>1</v>
      </c>
      <c r="BQ170" s="242">
        <v>2.5000000000000001E-3</v>
      </c>
    </row>
    <row r="171" spans="1:69" s="211" customFormat="1" ht="22.35" customHeight="1" x14ac:dyDescent="0.2">
      <c r="A171" s="221" t="s">
        <v>221</v>
      </c>
      <c r="B171" s="221" t="s">
        <v>222</v>
      </c>
      <c r="C171" s="221" t="s">
        <v>235</v>
      </c>
      <c r="D171" s="222">
        <v>4.7502856914444402</v>
      </c>
      <c r="E171" s="223"/>
      <c r="F171" s="224">
        <v>1.6E-2</v>
      </c>
      <c r="G171" s="224">
        <v>0.01</v>
      </c>
      <c r="H171" s="225"/>
      <c r="I171" s="226">
        <v>3</v>
      </c>
      <c r="J171" s="226">
        <v>2</v>
      </c>
      <c r="K171" s="223"/>
      <c r="L171" s="227">
        <v>1660.1143099999999</v>
      </c>
      <c r="M171" s="227">
        <v>1160.42138</v>
      </c>
      <c r="N171" s="227">
        <v>2820.5356900000002</v>
      </c>
      <c r="O171" s="222">
        <v>593.76127525970901</v>
      </c>
      <c r="P171" s="228">
        <v>266.29899999999998</v>
      </c>
      <c r="Q171" s="234">
        <v>2.2296789520790901</v>
      </c>
      <c r="R171" s="235">
        <v>1439.1596983542099</v>
      </c>
      <c r="S171" s="224">
        <v>0.01</v>
      </c>
      <c r="T171" s="224">
        <v>0.01</v>
      </c>
      <c r="U171" s="231">
        <v>0</v>
      </c>
      <c r="V171" s="232">
        <v>0</v>
      </c>
      <c r="W171" s="223"/>
      <c r="X171" s="231">
        <v>2073.7232749999998</v>
      </c>
      <c r="Y171" s="222">
        <v>436.54706468179398</v>
      </c>
      <c r="Z171" s="233">
        <v>573</v>
      </c>
      <c r="AA171" s="244">
        <v>0.76186224202756403</v>
      </c>
      <c r="AB171" s="227">
        <v>-898.60648670784894</v>
      </c>
      <c r="AC171" s="224"/>
      <c r="AD171" s="224"/>
      <c r="AE171" s="232">
        <v>649</v>
      </c>
      <c r="AF171" s="232">
        <v>1193</v>
      </c>
      <c r="AG171" s="223"/>
      <c r="AH171" s="236">
        <v>211.5</v>
      </c>
      <c r="AI171" s="222">
        <v>44.523637890016701</v>
      </c>
      <c r="AJ171" s="237" t="s">
        <v>54</v>
      </c>
      <c r="AK171" s="229">
        <v>0.70672441095264604</v>
      </c>
      <c r="AL171" s="230">
        <v>-115.30065442861201</v>
      </c>
      <c r="AM171" s="224"/>
      <c r="AN171" s="224"/>
      <c r="AO171" s="232">
        <v>88</v>
      </c>
      <c r="AP171" s="232">
        <v>148</v>
      </c>
      <c r="AQ171" s="223"/>
      <c r="AR171" s="236">
        <v>46.3</v>
      </c>
      <c r="AS171" s="222">
        <v>9.7467821953086204</v>
      </c>
      <c r="AT171" s="237" t="s">
        <v>55</v>
      </c>
      <c r="AU171" s="229">
        <v>0.609173887206789</v>
      </c>
      <c r="AV171" s="230">
        <v>-36.696991600917301</v>
      </c>
      <c r="AW171" s="224"/>
      <c r="AX171" s="224"/>
      <c r="AY171" s="232">
        <v>30</v>
      </c>
      <c r="AZ171" s="232">
        <v>45</v>
      </c>
      <c r="BA171" s="223"/>
      <c r="BB171" s="240">
        <v>147.19999999999999</v>
      </c>
      <c r="BC171" s="236">
        <v>30.987609916834302</v>
      </c>
      <c r="BD171" s="237" t="s">
        <v>56</v>
      </c>
      <c r="BE171" s="238">
        <v>0.96836280990107204</v>
      </c>
      <c r="BF171" s="239">
        <v>-18.7939832018345</v>
      </c>
      <c r="BG171" s="224">
        <v>6.0000000000000001E-3</v>
      </c>
      <c r="BH171" s="224"/>
      <c r="BI171" s="232">
        <v>5</v>
      </c>
      <c r="BJ171" s="232">
        <v>36</v>
      </c>
      <c r="BK171" s="225"/>
      <c r="BL171" s="241">
        <v>0.8</v>
      </c>
      <c r="BM171" s="244">
        <v>0.74</v>
      </c>
      <c r="BN171" s="242"/>
      <c r="BO171" s="243">
        <v>0.95</v>
      </c>
      <c r="BP171" s="234">
        <v>1</v>
      </c>
      <c r="BQ171" s="242">
        <v>2.5000000000000001E-3</v>
      </c>
    </row>
    <row r="172" spans="1:69" s="211" customFormat="1" ht="22.35" customHeight="1" x14ac:dyDescent="0.2">
      <c r="A172" s="221" t="s">
        <v>221</v>
      </c>
      <c r="B172" s="221" t="s">
        <v>222</v>
      </c>
      <c r="C172" s="221" t="s">
        <v>236</v>
      </c>
      <c r="D172" s="222">
        <v>3.3012442740000001</v>
      </c>
      <c r="E172" s="223"/>
      <c r="F172" s="224">
        <v>0.04</v>
      </c>
      <c r="G172" s="224">
        <v>3.2000000000000001E-2</v>
      </c>
      <c r="H172" s="225"/>
      <c r="I172" s="226">
        <v>4</v>
      </c>
      <c r="J172" s="226">
        <v>4</v>
      </c>
      <c r="K172" s="223"/>
      <c r="L172" s="227">
        <v>-160.31943000000001</v>
      </c>
      <c r="M172" s="227">
        <v>3115.4236999999998</v>
      </c>
      <c r="N172" s="227">
        <v>2955.1042699999998</v>
      </c>
      <c r="O172" s="222">
        <v>895.148624194175</v>
      </c>
      <c r="P172" s="228">
        <v>263.185</v>
      </c>
      <c r="Q172" s="234">
        <v>3.4012144468498402</v>
      </c>
      <c r="R172" s="235">
        <v>2006.33320211606</v>
      </c>
      <c r="S172" s="224">
        <v>0.01</v>
      </c>
      <c r="T172" s="224">
        <v>0.01</v>
      </c>
      <c r="U172" s="231">
        <v>0</v>
      </c>
      <c r="V172" s="232">
        <v>0</v>
      </c>
      <c r="W172" s="223"/>
      <c r="X172" s="231">
        <v>1558.964815</v>
      </c>
      <c r="Y172" s="222">
        <v>472.23552261131499</v>
      </c>
      <c r="Z172" s="233">
        <v>573</v>
      </c>
      <c r="AA172" s="244">
        <v>0.82414576371957204</v>
      </c>
      <c r="AB172" s="227">
        <v>-506.67654715018398</v>
      </c>
      <c r="AC172" s="224"/>
      <c r="AD172" s="224"/>
      <c r="AE172" s="232">
        <v>333</v>
      </c>
      <c r="AF172" s="232">
        <v>711</v>
      </c>
      <c r="AG172" s="223"/>
      <c r="AH172" s="236">
        <v>160.80000000000001</v>
      </c>
      <c r="AI172" s="222">
        <v>48.708906901083203</v>
      </c>
      <c r="AJ172" s="237" t="s">
        <v>54</v>
      </c>
      <c r="AK172" s="244">
        <v>0.77315725239814603</v>
      </c>
      <c r="AL172" s="227">
        <v>-66.312401074104002</v>
      </c>
      <c r="AM172" s="224"/>
      <c r="AN172" s="224"/>
      <c r="AO172" s="232">
        <v>48</v>
      </c>
      <c r="AP172" s="232">
        <v>89</v>
      </c>
      <c r="AQ172" s="223"/>
      <c r="AR172" s="236">
        <v>66.8</v>
      </c>
      <c r="AS172" s="222">
        <v>20.234794657912701</v>
      </c>
      <c r="AT172" s="237" t="s">
        <v>55</v>
      </c>
      <c r="AU172" s="234">
        <v>1.26467466611954</v>
      </c>
      <c r="AV172" s="235">
        <v>9.1206600446719897</v>
      </c>
      <c r="AW172" s="224">
        <v>0.01</v>
      </c>
      <c r="AX172" s="224">
        <v>0.01</v>
      </c>
      <c r="AY172" s="232">
        <v>0</v>
      </c>
      <c r="AZ172" s="232">
        <v>0</v>
      </c>
      <c r="BA172" s="223"/>
      <c r="BB172" s="240">
        <v>117.8</v>
      </c>
      <c r="BC172" s="236">
        <v>35.683515130271097</v>
      </c>
      <c r="BD172" s="237" t="s">
        <v>56</v>
      </c>
      <c r="BE172" s="234">
        <v>1.11510984782097</v>
      </c>
      <c r="BF172" s="235">
        <v>2.4413200893439901</v>
      </c>
      <c r="BG172" s="224">
        <v>0.02</v>
      </c>
      <c r="BH172" s="224">
        <v>1.2E-2</v>
      </c>
      <c r="BI172" s="232">
        <v>0</v>
      </c>
      <c r="BJ172" s="232">
        <v>9</v>
      </c>
      <c r="BK172" s="225"/>
      <c r="BL172" s="241">
        <v>0.8</v>
      </c>
      <c r="BM172" s="244">
        <v>0.75</v>
      </c>
      <c r="BN172" s="242"/>
      <c r="BO172" s="243">
        <v>0.95</v>
      </c>
      <c r="BP172" s="234">
        <v>1</v>
      </c>
      <c r="BQ172" s="242">
        <v>2.5000000000000001E-3</v>
      </c>
    </row>
    <row r="173" spans="1:69" s="211" customFormat="1" ht="22.35" customHeight="1" x14ac:dyDescent="0.2">
      <c r="A173" s="221" t="s">
        <v>221</v>
      </c>
      <c r="B173" s="221" t="s">
        <v>222</v>
      </c>
      <c r="C173" s="221" t="s">
        <v>237</v>
      </c>
      <c r="D173" s="222">
        <v>3.9852030364444402</v>
      </c>
      <c r="E173" s="223"/>
      <c r="F173" s="224">
        <v>0.01</v>
      </c>
      <c r="G173" s="224">
        <v>0.01</v>
      </c>
      <c r="H173" s="225"/>
      <c r="I173" s="226">
        <v>2</v>
      </c>
      <c r="J173" s="226">
        <v>2</v>
      </c>
      <c r="K173" s="223"/>
      <c r="L173" s="227">
        <v>1912.05888</v>
      </c>
      <c r="M173" s="227">
        <v>-504.26772</v>
      </c>
      <c r="N173" s="227">
        <v>1407.79116</v>
      </c>
      <c r="O173" s="222">
        <v>353.254563726323</v>
      </c>
      <c r="P173" s="228">
        <v>254.727</v>
      </c>
      <c r="Q173" s="234">
        <v>1.3867967028478401</v>
      </c>
      <c r="R173" s="235">
        <v>299.25957526009398</v>
      </c>
      <c r="S173" s="224">
        <v>0.01</v>
      </c>
      <c r="T173" s="224">
        <v>0.01</v>
      </c>
      <c r="U173" s="231">
        <v>0</v>
      </c>
      <c r="V173" s="232">
        <v>0</v>
      </c>
      <c r="W173" s="223"/>
      <c r="X173" s="231">
        <v>1267.7716700000001</v>
      </c>
      <c r="Y173" s="222">
        <v>318.11971897198299</v>
      </c>
      <c r="Z173" s="233">
        <v>573</v>
      </c>
      <c r="AA173" s="229">
        <v>0.55518275562300701</v>
      </c>
      <c r="AB173" s="230">
        <v>-1225.8336331518699</v>
      </c>
      <c r="AC173" s="224"/>
      <c r="AD173" s="224"/>
      <c r="AE173" s="232">
        <v>1016</v>
      </c>
      <c r="AF173" s="232">
        <v>1473</v>
      </c>
      <c r="AG173" s="223"/>
      <c r="AH173" s="236">
        <v>135</v>
      </c>
      <c r="AI173" s="222">
        <v>33.875312942761802</v>
      </c>
      <c r="AJ173" s="237" t="s">
        <v>54</v>
      </c>
      <c r="AK173" s="229">
        <v>0.537703380043838</v>
      </c>
      <c r="AL173" s="230">
        <v>-139.16602809523201</v>
      </c>
      <c r="AM173" s="224"/>
      <c r="AN173" s="224"/>
      <c r="AO173" s="232">
        <v>117</v>
      </c>
      <c r="AP173" s="232">
        <v>167</v>
      </c>
      <c r="AQ173" s="223"/>
      <c r="AR173" s="236">
        <v>46.5</v>
      </c>
      <c r="AS173" s="222">
        <v>11.6681633469513</v>
      </c>
      <c r="AT173" s="237" t="s">
        <v>55</v>
      </c>
      <c r="AU173" s="244">
        <v>0.729260209184454</v>
      </c>
      <c r="AV173" s="227">
        <v>-23.1294674527573</v>
      </c>
      <c r="AW173" s="224"/>
      <c r="AX173" s="224"/>
      <c r="AY173" s="232">
        <v>18</v>
      </c>
      <c r="AZ173" s="232">
        <v>31</v>
      </c>
      <c r="BA173" s="223"/>
      <c r="BB173" s="240">
        <v>113.4</v>
      </c>
      <c r="BC173" s="236">
        <v>28.455262871919899</v>
      </c>
      <c r="BD173" s="237" t="s">
        <v>56</v>
      </c>
      <c r="BE173" s="244">
        <v>0.88922696474749596</v>
      </c>
      <c r="BF173" s="227">
        <v>-25.858934905514499</v>
      </c>
      <c r="BG173" s="224"/>
      <c r="BH173" s="224"/>
      <c r="BI173" s="232">
        <v>15</v>
      </c>
      <c r="BJ173" s="232">
        <v>40</v>
      </c>
      <c r="BK173" s="225"/>
      <c r="BL173" s="241">
        <v>0.8</v>
      </c>
      <c r="BM173" s="244">
        <v>0.73</v>
      </c>
      <c r="BN173" s="242"/>
      <c r="BO173" s="243">
        <v>0.95</v>
      </c>
      <c r="BP173" s="234">
        <v>1</v>
      </c>
      <c r="BQ173" s="242">
        <v>2.5000000000000001E-3</v>
      </c>
    </row>
    <row r="174" spans="1:69" s="211" customFormat="1" ht="22.35" customHeight="1" x14ac:dyDescent="0.2">
      <c r="A174" s="221" t="s">
        <v>221</v>
      </c>
      <c r="B174" s="221" t="s">
        <v>222</v>
      </c>
      <c r="C174" s="221" t="s">
        <v>238</v>
      </c>
      <c r="D174" s="222">
        <v>3.0016649496666701</v>
      </c>
      <c r="E174" s="223"/>
      <c r="F174" s="224">
        <v>0.03</v>
      </c>
      <c r="G174" s="224">
        <v>0.03</v>
      </c>
      <c r="H174" s="225"/>
      <c r="I174" s="226">
        <v>3</v>
      </c>
      <c r="J174" s="226">
        <v>3</v>
      </c>
      <c r="K174" s="223"/>
      <c r="L174" s="227">
        <v>1080.3042600000001</v>
      </c>
      <c r="M174" s="227">
        <v>1506.02027</v>
      </c>
      <c r="N174" s="227">
        <v>2586.3245299999999</v>
      </c>
      <c r="O174" s="222">
        <v>861.62998648040605</v>
      </c>
      <c r="P174" s="228">
        <v>242.02199999999999</v>
      </c>
      <c r="Q174" s="234">
        <v>3.56013084133015</v>
      </c>
      <c r="R174" s="235">
        <v>1793.02043174254</v>
      </c>
      <c r="S174" s="224">
        <v>0.01</v>
      </c>
      <c r="T174" s="224">
        <v>0.01</v>
      </c>
      <c r="U174" s="231">
        <v>0</v>
      </c>
      <c r="V174" s="232">
        <v>0</v>
      </c>
      <c r="W174" s="223"/>
      <c r="X174" s="231">
        <v>1193.2739300000001</v>
      </c>
      <c r="Y174" s="222">
        <v>397.53735010715098</v>
      </c>
      <c r="Z174" s="233">
        <v>573</v>
      </c>
      <c r="AA174" s="229">
        <v>0.69378246091998397</v>
      </c>
      <c r="AB174" s="230">
        <v>-684.91585564563002</v>
      </c>
      <c r="AC174" s="224"/>
      <c r="AD174" s="224"/>
      <c r="AE174" s="232">
        <v>527</v>
      </c>
      <c r="AF174" s="232">
        <v>871</v>
      </c>
      <c r="AG174" s="223"/>
      <c r="AH174" s="236">
        <v>124.4</v>
      </c>
      <c r="AI174" s="222">
        <v>41.443666127298599</v>
      </c>
      <c r="AJ174" s="237" t="s">
        <v>54</v>
      </c>
      <c r="AK174" s="229">
        <v>0.65783597027458096</v>
      </c>
      <c r="AL174" s="230">
        <v>-82.102541877268195</v>
      </c>
      <c r="AM174" s="224"/>
      <c r="AN174" s="224"/>
      <c r="AO174" s="232">
        <v>65</v>
      </c>
      <c r="AP174" s="232">
        <v>103</v>
      </c>
      <c r="AQ174" s="223"/>
      <c r="AR174" s="236">
        <v>24.4</v>
      </c>
      <c r="AS174" s="222">
        <v>8.1288219735215996</v>
      </c>
      <c r="AT174" s="237" t="s">
        <v>55</v>
      </c>
      <c r="AU174" s="229">
        <v>0.50805137334509998</v>
      </c>
      <c r="AV174" s="230">
        <v>-28.045090000576099</v>
      </c>
      <c r="AW174" s="224"/>
      <c r="AX174" s="224"/>
      <c r="AY174" s="232">
        <v>24</v>
      </c>
      <c r="AZ174" s="232">
        <v>34</v>
      </c>
      <c r="BA174" s="223"/>
      <c r="BB174" s="240">
        <v>121.2</v>
      </c>
      <c r="BC174" s="236">
        <v>40.3775911143778</v>
      </c>
      <c r="BD174" s="237" t="s">
        <v>56</v>
      </c>
      <c r="BE174" s="234">
        <v>1.26179972232431</v>
      </c>
      <c r="BF174" s="235">
        <v>16.3098199988479</v>
      </c>
      <c r="BG174" s="224">
        <v>0.02</v>
      </c>
      <c r="BH174" s="224">
        <v>0.02</v>
      </c>
      <c r="BI174" s="232">
        <v>0</v>
      </c>
      <c r="BJ174" s="232">
        <v>0</v>
      </c>
      <c r="BK174" s="225"/>
      <c r="BL174" s="241">
        <v>0.8</v>
      </c>
      <c r="BM174" s="244">
        <v>0.78</v>
      </c>
      <c r="BN174" s="242"/>
      <c r="BO174" s="243">
        <v>0.95</v>
      </c>
      <c r="BP174" s="234">
        <v>1</v>
      </c>
      <c r="BQ174" s="242">
        <v>2.5000000000000001E-3</v>
      </c>
    </row>
    <row r="175" spans="1:69" s="211" customFormat="1" ht="22.35" customHeight="1" x14ac:dyDescent="0.2">
      <c r="A175" s="221" t="s">
        <v>221</v>
      </c>
      <c r="B175" s="221" t="s">
        <v>222</v>
      </c>
      <c r="C175" s="221" t="s">
        <v>239</v>
      </c>
      <c r="D175" s="222">
        <v>2.70658970644444</v>
      </c>
      <c r="E175" s="223"/>
      <c r="F175" s="224">
        <v>6.4000000000000001E-2</v>
      </c>
      <c r="G175" s="224">
        <v>4.5999999999999999E-2</v>
      </c>
      <c r="H175" s="225"/>
      <c r="I175" s="226">
        <v>6</v>
      </c>
      <c r="J175" s="226">
        <v>5</v>
      </c>
      <c r="K175" s="223"/>
      <c r="L175" s="227">
        <v>1337.0304599999999</v>
      </c>
      <c r="M175" s="227">
        <v>759.35004000000004</v>
      </c>
      <c r="N175" s="227">
        <v>2096.3805000000002</v>
      </c>
      <c r="O175" s="222">
        <v>774.54683841015003</v>
      </c>
      <c r="P175" s="228">
        <v>222.28899999999999</v>
      </c>
      <c r="Q175" s="234">
        <v>3.4844137065268601</v>
      </c>
      <c r="R175" s="235">
        <v>1439.3840297726399</v>
      </c>
      <c r="S175" s="224">
        <v>0.01</v>
      </c>
      <c r="T175" s="224">
        <v>0.01</v>
      </c>
      <c r="U175" s="231">
        <v>0</v>
      </c>
      <c r="V175" s="232">
        <v>0</v>
      </c>
      <c r="W175" s="223"/>
      <c r="X175" s="231">
        <v>1766.8145050000001</v>
      </c>
      <c r="Y175" s="222">
        <v>652.78254062415897</v>
      </c>
      <c r="Z175" s="233">
        <v>573</v>
      </c>
      <c r="AA175" s="234">
        <v>1.1392365455919</v>
      </c>
      <c r="AB175" s="235">
        <v>73.258020242410794</v>
      </c>
      <c r="AC175" s="224">
        <v>0.02</v>
      </c>
      <c r="AD175" s="224">
        <v>1.4E-2</v>
      </c>
      <c r="AE175" s="232">
        <v>0</v>
      </c>
      <c r="AF175" s="232">
        <v>95</v>
      </c>
      <c r="AG175" s="223"/>
      <c r="AH175" s="236">
        <v>174.35</v>
      </c>
      <c r="AI175" s="222">
        <v>64.416856232353595</v>
      </c>
      <c r="AJ175" s="237" t="s">
        <v>54</v>
      </c>
      <c r="AK175" s="238">
        <v>1.0224897814659299</v>
      </c>
      <c r="AL175" s="239">
        <v>-11.8525454445517</v>
      </c>
      <c r="AM175" s="224">
        <v>1.2E-2</v>
      </c>
      <c r="AN175" s="224">
        <v>2E-3</v>
      </c>
      <c r="AO175" s="232">
        <v>0</v>
      </c>
      <c r="AP175" s="232">
        <v>31</v>
      </c>
      <c r="AQ175" s="223"/>
      <c r="AR175" s="236">
        <v>41.1</v>
      </c>
      <c r="AS175" s="222">
        <v>15.185160832519299</v>
      </c>
      <c r="AT175" s="237" t="s">
        <v>55</v>
      </c>
      <c r="AU175" s="238">
        <v>0.949072552032454</v>
      </c>
      <c r="AV175" s="239">
        <v>-6.1895353509972502</v>
      </c>
      <c r="AW175" s="224">
        <v>2E-3</v>
      </c>
      <c r="AX175" s="224"/>
      <c r="AY175" s="232">
        <v>3</v>
      </c>
      <c r="AZ175" s="232">
        <v>11</v>
      </c>
      <c r="BA175" s="223"/>
      <c r="BB175" s="240">
        <v>110.8</v>
      </c>
      <c r="BC175" s="236">
        <v>40.937124580124902</v>
      </c>
      <c r="BD175" s="237" t="s">
        <v>56</v>
      </c>
      <c r="BE175" s="234">
        <v>1.2792851431289001</v>
      </c>
      <c r="BF175" s="235">
        <v>16.220929298005501</v>
      </c>
      <c r="BG175" s="224">
        <v>0.02</v>
      </c>
      <c r="BH175" s="224">
        <v>0.02</v>
      </c>
      <c r="BI175" s="232">
        <v>0</v>
      </c>
      <c r="BJ175" s="232">
        <v>0</v>
      </c>
      <c r="BK175" s="225"/>
      <c r="BL175" s="241">
        <v>0.8</v>
      </c>
      <c r="BM175" s="244">
        <v>0.76</v>
      </c>
      <c r="BN175" s="242"/>
      <c r="BO175" s="243">
        <v>0.95</v>
      </c>
      <c r="BP175" s="234">
        <v>1</v>
      </c>
      <c r="BQ175" s="242">
        <v>2.5000000000000001E-3</v>
      </c>
    </row>
    <row r="176" spans="1:69" s="211" customFormat="1" ht="22.35" customHeight="1" x14ac:dyDescent="0.2">
      <c r="A176" s="221" t="s">
        <v>221</v>
      </c>
      <c r="B176" s="221" t="s">
        <v>222</v>
      </c>
      <c r="C176" s="221" t="s">
        <v>240</v>
      </c>
      <c r="D176" s="222">
        <v>4.3740007442222204</v>
      </c>
      <c r="E176" s="223"/>
      <c r="F176" s="224">
        <v>3.5000000000000003E-2</v>
      </c>
      <c r="G176" s="224">
        <v>3.0499999999999999E-2</v>
      </c>
      <c r="H176" s="225"/>
      <c r="I176" s="226">
        <v>4</v>
      </c>
      <c r="J176" s="226">
        <v>4</v>
      </c>
      <c r="K176" s="223"/>
      <c r="L176" s="227">
        <v>2529.1537899999998</v>
      </c>
      <c r="M176" s="227">
        <v>2419.4075899999998</v>
      </c>
      <c r="N176" s="227">
        <v>4948.5613800000001</v>
      </c>
      <c r="O176" s="222">
        <v>1131.3581476950401</v>
      </c>
      <c r="P176" s="228">
        <v>258.548</v>
      </c>
      <c r="Q176" s="234">
        <v>4.37581473341523</v>
      </c>
      <c r="R176" s="235">
        <v>3713.6304342964499</v>
      </c>
      <c r="S176" s="224">
        <v>0.01</v>
      </c>
      <c r="T176" s="224">
        <v>0.01</v>
      </c>
      <c r="U176" s="231">
        <v>0</v>
      </c>
      <c r="V176" s="232">
        <v>0</v>
      </c>
      <c r="W176" s="223"/>
      <c r="X176" s="231">
        <v>2051.826575</v>
      </c>
      <c r="Y176" s="222">
        <v>469.09607359128398</v>
      </c>
      <c r="Z176" s="233">
        <v>573</v>
      </c>
      <c r="AA176" s="244">
        <v>0.81866679509822704</v>
      </c>
      <c r="AB176" s="227">
        <v>-685.05567467175001</v>
      </c>
      <c r="AC176" s="224"/>
      <c r="AD176" s="224"/>
      <c r="AE176" s="232">
        <v>455</v>
      </c>
      <c r="AF176" s="232">
        <v>956</v>
      </c>
      <c r="AG176" s="223"/>
      <c r="AH176" s="236">
        <v>207.6</v>
      </c>
      <c r="AI176" s="222">
        <v>47.462269016352202</v>
      </c>
      <c r="AJ176" s="237" t="s">
        <v>54</v>
      </c>
      <c r="AK176" s="244">
        <v>0.75336934946590794</v>
      </c>
      <c r="AL176" s="227">
        <v>-93.313755199511903</v>
      </c>
      <c r="AM176" s="224"/>
      <c r="AN176" s="224"/>
      <c r="AO176" s="232">
        <v>68</v>
      </c>
      <c r="AP176" s="232">
        <v>124</v>
      </c>
      <c r="AQ176" s="223"/>
      <c r="AR176" s="236">
        <v>70.3</v>
      </c>
      <c r="AS176" s="222">
        <v>16.0722423499497</v>
      </c>
      <c r="AT176" s="237" t="s">
        <v>55</v>
      </c>
      <c r="AU176" s="238">
        <v>1.0045151468718601</v>
      </c>
      <c r="AV176" s="239">
        <v>-6.12254100305063</v>
      </c>
      <c r="AW176" s="224">
        <v>5.0000000000000001E-3</v>
      </c>
      <c r="AX176" s="224">
        <v>5.0000000000000001E-4</v>
      </c>
      <c r="AY176" s="232">
        <v>0</v>
      </c>
      <c r="AZ176" s="232">
        <v>14</v>
      </c>
      <c r="BA176" s="223"/>
      <c r="BB176" s="240">
        <v>186.8</v>
      </c>
      <c r="BC176" s="236">
        <v>42.706897168856401</v>
      </c>
      <c r="BD176" s="237" t="s">
        <v>56</v>
      </c>
      <c r="BE176" s="234">
        <v>1.3345905365267601</v>
      </c>
      <c r="BF176" s="235">
        <v>33.954917993898803</v>
      </c>
      <c r="BG176" s="224">
        <v>0.02</v>
      </c>
      <c r="BH176" s="224">
        <v>0.02</v>
      </c>
      <c r="BI176" s="232">
        <v>0</v>
      </c>
      <c r="BJ176" s="232">
        <v>0</v>
      </c>
      <c r="BK176" s="225"/>
      <c r="BL176" s="241">
        <v>0.8</v>
      </c>
      <c r="BM176" s="244">
        <v>0.71</v>
      </c>
      <c r="BN176" s="242"/>
      <c r="BO176" s="243">
        <v>0.95</v>
      </c>
      <c r="BP176" s="234">
        <v>1</v>
      </c>
      <c r="BQ176" s="242">
        <v>2.5000000000000001E-3</v>
      </c>
    </row>
    <row r="177" spans="1:69" s="211" customFormat="1" ht="22.35" customHeight="1" x14ac:dyDescent="0.2">
      <c r="A177" s="221" t="s">
        <v>221</v>
      </c>
      <c r="B177" s="221" t="s">
        <v>241</v>
      </c>
      <c r="C177" s="221" t="s">
        <v>242</v>
      </c>
      <c r="D177" s="222">
        <v>3.97523895733333</v>
      </c>
      <c r="E177" s="223"/>
      <c r="F177" s="224">
        <v>1.2E-2</v>
      </c>
      <c r="G177" s="224">
        <v>0.01</v>
      </c>
      <c r="H177" s="225"/>
      <c r="I177" s="226">
        <v>3</v>
      </c>
      <c r="J177" s="226">
        <v>2</v>
      </c>
      <c r="K177" s="223"/>
      <c r="L177" s="227">
        <v>3060.0559499999999</v>
      </c>
      <c r="M177" s="227">
        <v>-426.45751000000001</v>
      </c>
      <c r="N177" s="227">
        <v>2633.5984400000002</v>
      </c>
      <c r="O177" s="222">
        <v>662.500661788309</v>
      </c>
      <c r="P177" s="228">
        <v>241.762</v>
      </c>
      <c r="Q177" s="234">
        <v>2.7403010472626299</v>
      </c>
      <c r="R177" s="235">
        <v>1584.1190408833199</v>
      </c>
      <c r="S177" s="224">
        <v>0.01</v>
      </c>
      <c r="T177" s="224">
        <v>0.01</v>
      </c>
      <c r="U177" s="231">
        <v>0</v>
      </c>
      <c r="V177" s="232">
        <v>0</v>
      </c>
      <c r="W177" s="223"/>
      <c r="X177" s="231">
        <v>2117.2891500000001</v>
      </c>
      <c r="Y177" s="222">
        <v>532.61934005102398</v>
      </c>
      <c r="Z177" s="233">
        <v>573</v>
      </c>
      <c r="AA177" s="238">
        <v>0.92952764406810395</v>
      </c>
      <c r="AB177" s="239">
        <v>-370.08146942678098</v>
      </c>
      <c r="AC177" s="224">
        <v>2E-3</v>
      </c>
      <c r="AD177" s="224"/>
      <c r="AE177" s="232">
        <v>161</v>
      </c>
      <c r="AF177" s="232">
        <v>617</v>
      </c>
      <c r="AG177" s="223"/>
      <c r="AH177" s="236">
        <v>179</v>
      </c>
      <c r="AI177" s="222">
        <v>45.028739635837297</v>
      </c>
      <c r="AJ177" s="237" t="s">
        <v>54</v>
      </c>
      <c r="AK177" s="229">
        <v>0.71474189898154405</v>
      </c>
      <c r="AL177" s="230">
        <v>-94.480539308703797</v>
      </c>
      <c r="AM177" s="224"/>
      <c r="AN177" s="224"/>
      <c r="AO177" s="232">
        <v>72</v>
      </c>
      <c r="AP177" s="232">
        <v>122</v>
      </c>
      <c r="AQ177" s="223"/>
      <c r="AR177" s="236">
        <v>28.8</v>
      </c>
      <c r="AS177" s="222">
        <v>7.2448474944810801</v>
      </c>
      <c r="AT177" s="237" t="s">
        <v>55</v>
      </c>
      <c r="AU177" s="229">
        <v>0.45280296840506701</v>
      </c>
      <c r="AV177" s="230">
        <v>-40.655375062527902</v>
      </c>
      <c r="AW177" s="224"/>
      <c r="AX177" s="224"/>
      <c r="AY177" s="232">
        <v>35</v>
      </c>
      <c r="AZ177" s="232">
        <v>48</v>
      </c>
      <c r="BA177" s="223"/>
      <c r="BB177" s="240">
        <v>93.2</v>
      </c>
      <c r="BC177" s="236">
        <v>23.445131475195701</v>
      </c>
      <c r="BD177" s="237" t="s">
        <v>56</v>
      </c>
      <c r="BE177" s="244">
        <v>0.732660358599867</v>
      </c>
      <c r="BF177" s="227">
        <v>-45.710750125055903</v>
      </c>
      <c r="BG177" s="224"/>
      <c r="BH177" s="224"/>
      <c r="BI177" s="232">
        <v>35</v>
      </c>
      <c r="BJ177" s="232">
        <v>60</v>
      </c>
      <c r="BK177" s="225"/>
      <c r="BL177" s="241">
        <v>0.8</v>
      </c>
      <c r="BM177" s="244">
        <v>0.77</v>
      </c>
      <c r="BN177" s="242"/>
      <c r="BO177" s="243">
        <v>0.95</v>
      </c>
      <c r="BP177" s="234">
        <v>1</v>
      </c>
      <c r="BQ177" s="242">
        <v>2.5000000000000001E-3</v>
      </c>
    </row>
    <row r="178" spans="1:69" s="211" customFormat="1" ht="22.35" customHeight="1" x14ac:dyDescent="0.2">
      <c r="A178" s="221" t="s">
        <v>221</v>
      </c>
      <c r="B178" s="221" t="s">
        <v>241</v>
      </c>
      <c r="C178" s="221" t="s">
        <v>243</v>
      </c>
      <c r="D178" s="222">
        <v>2.6208074601111102</v>
      </c>
      <c r="E178" s="223"/>
      <c r="F178" s="224">
        <v>5.5500000000000001E-2</v>
      </c>
      <c r="G178" s="224">
        <v>5.0500000000000003E-2</v>
      </c>
      <c r="H178" s="225"/>
      <c r="I178" s="226">
        <v>5</v>
      </c>
      <c r="J178" s="226">
        <v>5</v>
      </c>
      <c r="K178" s="223"/>
      <c r="L178" s="227">
        <v>999.25806</v>
      </c>
      <c r="M178" s="227">
        <v>1281.88355</v>
      </c>
      <c r="N178" s="227">
        <v>2281.1416100000001</v>
      </c>
      <c r="O178" s="222">
        <v>870.39648837968798</v>
      </c>
      <c r="P178" s="228">
        <v>238.04499999999999</v>
      </c>
      <c r="Q178" s="234">
        <v>3.6564367593509099</v>
      </c>
      <c r="R178" s="235">
        <v>1599.87544786837</v>
      </c>
      <c r="S178" s="224">
        <v>0.01</v>
      </c>
      <c r="T178" s="224">
        <v>0.01</v>
      </c>
      <c r="U178" s="231">
        <v>0</v>
      </c>
      <c r="V178" s="232">
        <v>0</v>
      </c>
      <c r="W178" s="223"/>
      <c r="X178" s="231">
        <v>1195.2391700000001</v>
      </c>
      <c r="Y178" s="222">
        <v>456.05760369337702</v>
      </c>
      <c r="Z178" s="233">
        <v>573</v>
      </c>
      <c r="AA178" s="244">
        <v>0.795912048330501</v>
      </c>
      <c r="AB178" s="227">
        <v>-444.64199071088302</v>
      </c>
      <c r="AC178" s="224"/>
      <c r="AD178" s="224"/>
      <c r="AE178" s="232">
        <v>307</v>
      </c>
      <c r="AF178" s="232">
        <v>607</v>
      </c>
      <c r="AG178" s="223"/>
      <c r="AH178" s="236">
        <v>204.8</v>
      </c>
      <c r="AI178" s="222">
        <v>78.143855707476206</v>
      </c>
      <c r="AJ178" s="237" t="s">
        <v>54</v>
      </c>
      <c r="AK178" s="234">
        <v>1.2403786620234301</v>
      </c>
      <c r="AL178" s="235">
        <v>24.498929974196098</v>
      </c>
      <c r="AM178" s="224">
        <v>0.02</v>
      </c>
      <c r="AN178" s="224">
        <v>0.02</v>
      </c>
      <c r="AO178" s="232">
        <v>0</v>
      </c>
      <c r="AP178" s="232">
        <v>0</v>
      </c>
      <c r="AQ178" s="223"/>
      <c r="AR178" s="236">
        <v>42.5</v>
      </c>
      <c r="AS178" s="222">
        <v>16.216376306483099</v>
      </c>
      <c r="AT178" s="237" t="s">
        <v>55</v>
      </c>
      <c r="AU178" s="238">
        <v>1.0135235191551899</v>
      </c>
      <c r="AV178" s="239">
        <v>-3.29074794306131</v>
      </c>
      <c r="AW178" s="224">
        <v>5.4999999999999997E-3</v>
      </c>
      <c r="AX178" s="224">
        <v>5.0000000000000001E-4</v>
      </c>
      <c r="AY178" s="232">
        <v>0</v>
      </c>
      <c r="AZ178" s="232">
        <v>8</v>
      </c>
      <c r="BA178" s="223"/>
      <c r="BB178" s="240">
        <v>136.19999999999999</v>
      </c>
      <c r="BC178" s="236">
        <v>51.968716539835299</v>
      </c>
      <c r="BD178" s="237" t="s">
        <v>56</v>
      </c>
      <c r="BE178" s="234">
        <v>1.62402239186985</v>
      </c>
      <c r="BF178" s="235">
        <v>44.6185041138774</v>
      </c>
      <c r="BG178" s="224">
        <v>0.02</v>
      </c>
      <c r="BH178" s="224">
        <v>0.02</v>
      </c>
      <c r="BI178" s="232">
        <v>0</v>
      </c>
      <c r="BJ178" s="232">
        <v>0</v>
      </c>
      <c r="BK178" s="225"/>
      <c r="BL178" s="241">
        <v>0.8</v>
      </c>
      <c r="BM178" s="244">
        <v>0.71</v>
      </c>
      <c r="BN178" s="242"/>
      <c r="BO178" s="243">
        <v>0.95</v>
      </c>
      <c r="BP178" s="234">
        <v>1</v>
      </c>
      <c r="BQ178" s="242">
        <v>2.5000000000000001E-3</v>
      </c>
    </row>
    <row r="179" spans="1:69" s="211" customFormat="1" ht="22.35" customHeight="1" x14ac:dyDescent="0.2">
      <c r="A179" s="221" t="s">
        <v>221</v>
      </c>
      <c r="B179" s="221" t="s">
        <v>241</v>
      </c>
      <c r="C179" s="221" t="s">
        <v>244</v>
      </c>
      <c r="D179" s="222">
        <v>3.17144203944444</v>
      </c>
      <c r="E179" s="223"/>
      <c r="F179" s="224">
        <v>2.5999999999999999E-2</v>
      </c>
      <c r="G179" s="224">
        <v>1.4999999999999999E-2</v>
      </c>
      <c r="H179" s="225"/>
      <c r="I179" s="226">
        <v>3</v>
      </c>
      <c r="J179" s="226">
        <v>3</v>
      </c>
      <c r="K179" s="223"/>
      <c r="L179" s="227">
        <v>2236.6645600000002</v>
      </c>
      <c r="M179" s="227">
        <v>2196.9716800000001</v>
      </c>
      <c r="N179" s="227">
        <v>4433.6362399999998</v>
      </c>
      <c r="O179" s="222">
        <v>1397.9874722152099</v>
      </c>
      <c r="P179" s="228">
        <v>247.75800000000001</v>
      </c>
      <c r="Q179" s="234">
        <v>5.6425522978681197</v>
      </c>
      <c r="R179" s="235">
        <v>3575.5970906049301</v>
      </c>
      <c r="S179" s="224">
        <v>0.01</v>
      </c>
      <c r="T179" s="224">
        <v>0.01</v>
      </c>
      <c r="U179" s="231">
        <v>0</v>
      </c>
      <c r="V179" s="232">
        <v>0</v>
      </c>
      <c r="W179" s="223"/>
      <c r="X179" s="231">
        <v>1914.11592</v>
      </c>
      <c r="Y179" s="222">
        <v>603.54750179678604</v>
      </c>
      <c r="Z179" s="233">
        <v>573</v>
      </c>
      <c r="AA179" s="238">
        <v>1.0533115214603599</v>
      </c>
      <c r="AB179" s="239">
        <v>-70.306107153017393</v>
      </c>
      <c r="AC179" s="224">
        <v>1.6E-2</v>
      </c>
      <c r="AD179" s="224">
        <v>5.0000000000000001E-3</v>
      </c>
      <c r="AE179" s="232">
        <v>0</v>
      </c>
      <c r="AF179" s="232">
        <v>267</v>
      </c>
      <c r="AG179" s="223"/>
      <c r="AH179" s="236">
        <v>164.8</v>
      </c>
      <c r="AI179" s="222">
        <v>51.963743291007397</v>
      </c>
      <c r="AJ179" s="237" t="s">
        <v>54</v>
      </c>
      <c r="AK179" s="244">
        <v>0.824821322079482</v>
      </c>
      <c r="AL179" s="227">
        <v>-53.382526545619697</v>
      </c>
      <c r="AM179" s="224"/>
      <c r="AN179" s="224"/>
      <c r="AO179" s="232">
        <v>36</v>
      </c>
      <c r="AP179" s="232">
        <v>75</v>
      </c>
      <c r="AQ179" s="223"/>
      <c r="AR179" s="236">
        <v>28</v>
      </c>
      <c r="AS179" s="222">
        <v>8.8287913358507701</v>
      </c>
      <c r="AT179" s="237" t="s">
        <v>55</v>
      </c>
      <c r="AU179" s="229">
        <v>0.55179945849067302</v>
      </c>
      <c r="AV179" s="230">
        <v>-27.4114353131733</v>
      </c>
      <c r="AW179" s="224"/>
      <c r="AX179" s="224"/>
      <c r="AY179" s="232">
        <v>23</v>
      </c>
      <c r="AZ179" s="232">
        <v>33</v>
      </c>
      <c r="BA179" s="223"/>
      <c r="BB179" s="240">
        <v>92</v>
      </c>
      <c r="BC179" s="236">
        <v>29.008885817795399</v>
      </c>
      <c r="BD179" s="237" t="s">
        <v>56</v>
      </c>
      <c r="BE179" s="244">
        <v>0.90652768180610499</v>
      </c>
      <c r="BF179" s="227">
        <v>-18.8228706263465</v>
      </c>
      <c r="BG179" s="224">
        <v>0</v>
      </c>
      <c r="BH179" s="224"/>
      <c r="BI179" s="232">
        <v>10</v>
      </c>
      <c r="BJ179" s="232">
        <v>30</v>
      </c>
      <c r="BK179" s="225"/>
      <c r="BL179" s="241">
        <v>0.8</v>
      </c>
      <c r="BM179" s="229">
        <v>0.69</v>
      </c>
      <c r="BN179" s="242"/>
      <c r="BO179" s="243">
        <v>0.95</v>
      </c>
      <c r="BP179" s="234">
        <v>1</v>
      </c>
      <c r="BQ179" s="242">
        <v>2.5000000000000001E-3</v>
      </c>
    </row>
    <row r="180" spans="1:69" s="211" customFormat="1" ht="22.35" customHeight="1" x14ac:dyDescent="0.2">
      <c r="A180" s="221" t="s">
        <v>221</v>
      </c>
      <c r="B180" s="221" t="s">
        <v>241</v>
      </c>
      <c r="C180" s="221" t="s">
        <v>245</v>
      </c>
      <c r="D180" s="222">
        <v>3.4906875204444399</v>
      </c>
      <c r="E180" s="223"/>
      <c r="F180" s="224">
        <v>0.01</v>
      </c>
      <c r="G180" s="224">
        <v>0.01</v>
      </c>
      <c r="H180" s="225"/>
      <c r="I180" s="226">
        <v>3</v>
      </c>
      <c r="J180" s="226">
        <v>3</v>
      </c>
      <c r="K180" s="223"/>
      <c r="L180" s="227">
        <v>955.09996999999998</v>
      </c>
      <c r="M180" s="227">
        <v>436.53230000000002</v>
      </c>
      <c r="N180" s="227">
        <v>1391.6322700000001</v>
      </c>
      <c r="O180" s="222">
        <v>398.66996454120101</v>
      </c>
      <c r="P180" s="228">
        <v>247.167</v>
      </c>
      <c r="Q180" s="234">
        <v>1.61295789705422</v>
      </c>
      <c r="R180" s="235">
        <v>449.47349349666598</v>
      </c>
      <c r="S180" s="224">
        <v>0.01</v>
      </c>
      <c r="T180" s="224">
        <v>0.01</v>
      </c>
      <c r="U180" s="231">
        <v>0</v>
      </c>
      <c r="V180" s="232">
        <v>0</v>
      </c>
      <c r="W180" s="223"/>
      <c r="X180" s="231">
        <v>1321.291725</v>
      </c>
      <c r="Y180" s="222">
        <v>378.51905026198602</v>
      </c>
      <c r="Z180" s="233">
        <v>573</v>
      </c>
      <c r="AA180" s="229">
        <v>0.66059171075390299</v>
      </c>
      <c r="AB180" s="230">
        <v>-862.88730754241305</v>
      </c>
      <c r="AC180" s="224"/>
      <c r="AD180" s="224"/>
      <c r="AE180" s="232">
        <v>679</v>
      </c>
      <c r="AF180" s="232">
        <v>1079</v>
      </c>
      <c r="AG180" s="223"/>
      <c r="AH180" s="236">
        <v>180.2</v>
      </c>
      <c r="AI180" s="222">
        <v>51.623068219253398</v>
      </c>
      <c r="AJ180" s="237" t="s">
        <v>54</v>
      </c>
      <c r="AK180" s="244">
        <v>0.81941378125799003</v>
      </c>
      <c r="AL180" s="227">
        <v>-59.9453386564957</v>
      </c>
      <c r="AM180" s="224"/>
      <c r="AN180" s="224"/>
      <c r="AO180" s="232">
        <v>40</v>
      </c>
      <c r="AP180" s="232">
        <v>84</v>
      </c>
      <c r="AQ180" s="223"/>
      <c r="AR180" s="236">
        <v>24.8</v>
      </c>
      <c r="AS180" s="222">
        <v>7.1046176017618397</v>
      </c>
      <c r="AT180" s="237" t="s">
        <v>55</v>
      </c>
      <c r="AU180" s="229">
        <v>0.44403860011011498</v>
      </c>
      <c r="AV180" s="230">
        <v>-36.189292357205296</v>
      </c>
      <c r="AW180" s="224"/>
      <c r="AX180" s="224"/>
      <c r="AY180" s="232">
        <v>32</v>
      </c>
      <c r="AZ180" s="232">
        <v>43</v>
      </c>
      <c r="BA180" s="223"/>
      <c r="BB180" s="240">
        <v>78.2</v>
      </c>
      <c r="BC180" s="236">
        <v>22.4024635668458</v>
      </c>
      <c r="BD180" s="237" t="s">
        <v>56</v>
      </c>
      <c r="BE180" s="229">
        <v>0.70007698646393102</v>
      </c>
      <c r="BF180" s="230">
        <v>-43.778584714410499</v>
      </c>
      <c r="BG180" s="224"/>
      <c r="BH180" s="224"/>
      <c r="BI180" s="232">
        <v>34</v>
      </c>
      <c r="BJ180" s="232">
        <v>56</v>
      </c>
      <c r="BK180" s="225"/>
      <c r="BL180" s="241">
        <v>0.8</v>
      </c>
      <c r="BM180" s="238">
        <v>0.86</v>
      </c>
      <c r="BN180" s="242">
        <v>2.2499999999999998E-3</v>
      </c>
      <c r="BO180" s="243">
        <v>0.95</v>
      </c>
      <c r="BP180" s="234">
        <v>1</v>
      </c>
      <c r="BQ180" s="242">
        <v>2.5000000000000001E-3</v>
      </c>
    </row>
    <row r="181" spans="1:69" s="211" customFormat="1" ht="22.35" customHeight="1" x14ac:dyDescent="0.2">
      <c r="A181" s="221" t="s">
        <v>221</v>
      </c>
      <c r="B181" s="221" t="s">
        <v>241</v>
      </c>
      <c r="C181" s="221" t="s">
        <v>246</v>
      </c>
      <c r="D181" s="222">
        <v>2.5343313424444398</v>
      </c>
      <c r="E181" s="223"/>
      <c r="F181" s="224">
        <v>7.0000000000000007E-2</v>
      </c>
      <c r="G181" s="224">
        <v>0.05</v>
      </c>
      <c r="H181" s="225"/>
      <c r="I181" s="226">
        <v>5</v>
      </c>
      <c r="J181" s="226">
        <v>5</v>
      </c>
      <c r="K181" s="223"/>
      <c r="L181" s="227">
        <v>1950.9815100000001</v>
      </c>
      <c r="M181" s="227">
        <v>448.76191</v>
      </c>
      <c r="N181" s="227">
        <v>2399.7434199999998</v>
      </c>
      <c r="O181" s="222">
        <v>946.89410962552699</v>
      </c>
      <c r="P181" s="228">
        <v>233.029</v>
      </c>
      <c r="Q181" s="234">
        <v>4.0634174700381802</v>
      </c>
      <c r="R181" s="235">
        <v>1754.8380333488501</v>
      </c>
      <c r="S181" s="224">
        <v>0.01</v>
      </c>
      <c r="T181" s="224">
        <v>0.01</v>
      </c>
      <c r="U181" s="231">
        <v>0</v>
      </c>
      <c r="V181" s="232">
        <v>0</v>
      </c>
      <c r="W181" s="223"/>
      <c r="X181" s="231">
        <v>1590.63528</v>
      </c>
      <c r="Y181" s="222">
        <v>627.635089919135</v>
      </c>
      <c r="Z181" s="233">
        <v>573</v>
      </c>
      <c r="AA181" s="234">
        <v>1.0953491970665501</v>
      </c>
      <c r="AB181" s="235">
        <v>4.8636097310347797</v>
      </c>
      <c r="AC181" s="224">
        <v>0.02</v>
      </c>
      <c r="AD181" s="224">
        <v>0.01</v>
      </c>
      <c r="AE181" s="232">
        <v>0</v>
      </c>
      <c r="AF181" s="232">
        <v>152</v>
      </c>
      <c r="AG181" s="223"/>
      <c r="AH181" s="236">
        <v>174.9</v>
      </c>
      <c r="AI181" s="222">
        <v>69.012286227460393</v>
      </c>
      <c r="AJ181" s="237" t="s">
        <v>54</v>
      </c>
      <c r="AK181" s="234">
        <v>1.0954331147215901</v>
      </c>
      <c r="AL181" s="235">
        <v>0.54814096519231703</v>
      </c>
      <c r="AM181" s="224">
        <v>0.02</v>
      </c>
      <c r="AN181" s="224">
        <v>0.01</v>
      </c>
      <c r="AO181" s="232">
        <v>0</v>
      </c>
      <c r="AP181" s="232">
        <v>17</v>
      </c>
      <c r="AQ181" s="223"/>
      <c r="AR181" s="236">
        <v>24.7</v>
      </c>
      <c r="AS181" s="222">
        <v>9.7461604906705102</v>
      </c>
      <c r="AT181" s="237" t="s">
        <v>55</v>
      </c>
      <c r="AU181" s="229">
        <v>0.609135030666907</v>
      </c>
      <c r="AV181" s="230">
        <v>-19.579837215189301</v>
      </c>
      <c r="AW181" s="224"/>
      <c r="AX181" s="224"/>
      <c r="AY181" s="232">
        <v>16</v>
      </c>
      <c r="AZ181" s="232">
        <v>24</v>
      </c>
      <c r="BA181" s="223"/>
      <c r="BB181" s="240">
        <v>113.6</v>
      </c>
      <c r="BC181" s="236">
        <v>44.824446629156697</v>
      </c>
      <c r="BD181" s="237" t="s">
        <v>56</v>
      </c>
      <c r="BE181" s="234">
        <v>1.4007639571611501</v>
      </c>
      <c r="BF181" s="235">
        <v>25.040325569621501</v>
      </c>
      <c r="BG181" s="224">
        <v>0.02</v>
      </c>
      <c r="BH181" s="224">
        <v>0.02</v>
      </c>
      <c r="BI181" s="232">
        <v>0</v>
      </c>
      <c r="BJ181" s="232">
        <v>0</v>
      </c>
      <c r="BK181" s="225"/>
      <c r="BL181" s="241">
        <v>0.8</v>
      </c>
      <c r="BM181" s="244">
        <v>0.73</v>
      </c>
      <c r="BN181" s="242"/>
      <c r="BO181" s="243">
        <v>0.95</v>
      </c>
      <c r="BP181" s="234">
        <v>1</v>
      </c>
      <c r="BQ181" s="242">
        <v>2.5000000000000001E-3</v>
      </c>
    </row>
    <row r="182" spans="1:69" s="211" customFormat="1" ht="22.35" customHeight="1" x14ac:dyDescent="0.2">
      <c r="A182" s="221" t="s">
        <v>221</v>
      </c>
      <c r="B182" s="221" t="s">
        <v>241</v>
      </c>
      <c r="C182" s="221" t="s">
        <v>247</v>
      </c>
      <c r="D182" s="222">
        <v>3.7290475793333302</v>
      </c>
      <c r="E182" s="223"/>
      <c r="F182" s="224">
        <v>1.6E-2</v>
      </c>
      <c r="G182" s="224">
        <v>0.01</v>
      </c>
      <c r="H182" s="225"/>
      <c r="I182" s="226">
        <v>3</v>
      </c>
      <c r="J182" s="226">
        <v>2</v>
      </c>
      <c r="K182" s="223"/>
      <c r="L182" s="227">
        <v>1657.7635299999999</v>
      </c>
      <c r="M182" s="227">
        <v>2269.7545700000001</v>
      </c>
      <c r="N182" s="227">
        <v>3927.5180999999998</v>
      </c>
      <c r="O182" s="222">
        <v>1053.2228448268099</v>
      </c>
      <c r="P182" s="228">
        <v>254.047</v>
      </c>
      <c r="Q182" s="234">
        <v>4.1457795007491098</v>
      </c>
      <c r="R182" s="235">
        <v>2893.0082413775099</v>
      </c>
      <c r="S182" s="224">
        <v>0.01</v>
      </c>
      <c r="T182" s="224">
        <v>0.01</v>
      </c>
      <c r="U182" s="231">
        <v>0</v>
      </c>
      <c r="V182" s="232">
        <v>0</v>
      </c>
      <c r="W182" s="223"/>
      <c r="X182" s="231">
        <v>1803.1387099999999</v>
      </c>
      <c r="Y182" s="222">
        <v>483.53867083732899</v>
      </c>
      <c r="Z182" s="233">
        <v>573</v>
      </c>
      <c r="AA182" s="244">
        <v>0.84387202589411703</v>
      </c>
      <c r="AB182" s="227">
        <v>-530.18602515013401</v>
      </c>
      <c r="AC182" s="224"/>
      <c r="AD182" s="224"/>
      <c r="AE182" s="232">
        <v>334</v>
      </c>
      <c r="AF182" s="232">
        <v>761</v>
      </c>
      <c r="AG182" s="223"/>
      <c r="AH182" s="236">
        <v>201.3</v>
      </c>
      <c r="AI182" s="222">
        <v>53.981612118767302</v>
      </c>
      <c r="AJ182" s="237" t="s">
        <v>54</v>
      </c>
      <c r="AK182" s="244">
        <v>0.85685098601217902</v>
      </c>
      <c r="AL182" s="227">
        <v>-55.243557267815802</v>
      </c>
      <c r="AM182" s="224"/>
      <c r="AN182" s="224"/>
      <c r="AO182" s="232">
        <v>34</v>
      </c>
      <c r="AP182" s="232">
        <v>81</v>
      </c>
      <c r="AQ182" s="223"/>
      <c r="AR182" s="236">
        <v>25.8</v>
      </c>
      <c r="AS182" s="222">
        <v>6.9186566948047501</v>
      </c>
      <c r="AT182" s="237" t="s">
        <v>55</v>
      </c>
      <c r="AU182" s="229">
        <v>0.43241604342529699</v>
      </c>
      <c r="AV182" s="230">
        <v>-39.353919306111997</v>
      </c>
      <c r="AW182" s="224"/>
      <c r="AX182" s="224"/>
      <c r="AY182" s="232">
        <v>34</v>
      </c>
      <c r="AZ182" s="232">
        <v>46</v>
      </c>
      <c r="BA182" s="223"/>
      <c r="BB182" s="240">
        <v>115</v>
      </c>
      <c r="BC182" s="236">
        <v>30.838973639633501</v>
      </c>
      <c r="BD182" s="237" t="s">
        <v>56</v>
      </c>
      <c r="BE182" s="238">
        <v>0.96371792623854802</v>
      </c>
      <c r="BF182" s="239">
        <v>-15.3078386122239</v>
      </c>
      <c r="BG182" s="224">
        <v>6.0000000000000001E-3</v>
      </c>
      <c r="BH182" s="224"/>
      <c r="BI182" s="232">
        <v>5</v>
      </c>
      <c r="BJ182" s="232">
        <v>29</v>
      </c>
      <c r="BK182" s="225"/>
      <c r="BL182" s="241">
        <v>0.8</v>
      </c>
      <c r="BM182" s="244">
        <v>0.79</v>
      </c>
      <c r="BN182" s="242"/>
      <c r="BO182" s="243">
        <v>0.95</v>
      </c>
      <c r="BP182" s="234">
        <v>1</v>
      </c>
      <c r="BQ182" s="242">
        <v>2.5000000000000001E-3</v>
      </c>
    </row>
    <row r="183" spans="1:69" s="211" customFormat="1" ht="22.35" customHeight="1" x14ac:dyDescent="0.2">
      <c r="A183" s="221" t="s">
        <v>221</v>
      </c>
      <c r="B183" s="221" t="s">
        <v>241</v>
      </c>
      <c r="C183" s="221" t="s">
        <v>248</v>
      </c>
      <c r="D183" s="222">
        <v>4.4497067784444404</v>
      </c>
      <c r="E183" s="223"/>
      <c r="F183" s="224">
        <v>0.01</v>
      </c>
      <c r="G183" s="224">
        <v>0.01</v>
      </c>
      <c r="H183" s="225"/>
      <c r="I183" s="226">
        <v>2</v>
      </c>
      <c r="J183" s="226">
        <v>2</v>
      </c>
      <c r="K183" s="223"/>
      <c r="L183" s="227">
        <v>1618.9907000000001</v>
      </c>
      <c r="M183" s="227">
        <v>-446.04707000000002</v>
      </c>
      <c r="N183" s="227">
        <v>1172.94363</v>
      </c>
      <c r="O183" s="222">
        <v>263.60020747480502</v>
      </c>
      <c r="P183" s="228">
        <v>217.155</v>
      </c>
      <c r="Q183" s="234">
        <v>1.21388044242502</v>
      </c>
      <c r="R183" s="235">
        <v>117.770155583372</v>
      </c>
      <c r="S183" s="224">
        <v>0.01</v>
      </c>
      <c r="T183" s="224">
        <v>0.01</v>
      </c>
      <c r="U183" s="231">
        <v>0</v>
      </c>
      <c r="V183" s="232">
        <v>0</v>
      </c>
      <c r="W183" s="223"/>
      <c r="X183" s="231">
        <v>2215.5375650000001</v>
      </c>
      <c r="Y183" s="222">
        <v>497.90641840326401</v>
      </c>
      <c r="Z183" s="233">
        <v>573</v>
      </c>
      <c r="AA183" s="244">
        <v>0.86894662897602803</v>
      </c>
      <c r="AB183" s="227">
        <v>-568.71516158114105</v>
      </c>
      <c r="AC183" s="224"/>
      <c r="AD183" s="224"/>
      <c r="AE183" s="232">
        <v>335</v>
      </c>
      <c r="AF183" s="232">
        <v>845</v>
      </c>
      <c r="AG183" s="223"/>
      <c r="AH183" s="236">
        <v>186.25</v>
      </c>
      <c r="AI183" s="222">
        <v>41.856690625603498</v>
      </c>
      <c r="AJ183" s="237" t="s">
        <v>54</v>
      </c>
      <c r="AK183" s="229">
        <v>0.664391914692119</v>
      </c>
      <c r="AL183" s="230">
        <v>-119.872027529864</v>
      </c>
      <c r="AM183" s="224"/>
      <c r="AN183" s="224"/>
      <c r="AO183" s="232">
        <v>95</v>
      </c>
      <c r="AP183" s="232">
        <v>151</v>
      </c>
      <c r="AQ183" s="223"/>
      <c r="AR183" s="236">
        <v>28.4</v>
      </c>
      <c r="AS183" s="222">
        <v>6.3824430269376604</v>
      </c>
      <c r="AT183" s="237" t="s">
        <v>55</v>
      </c>
      <c r="AU183" s="229">
        <v>0.398902689183604</v>
      </c>
      <c r="AV183" s="230">
        <v>-49.345276832981199</v>
      </c>
      <c r="AW183" s="224"/>
      <c r="AX183" s="224"/>
      <c r="AY183" s="232">
        <v>43</v>
      </c>
      <c r="AZ183" s="232">
        <v>58</v>
      </c>
      <c r="BA183" s="223"/>
      <c r="BB183" s="240">
        <v>116.8</v>
      </c>
      <c r="BC183" s="236">
        <v>26.248920617828102</v>
      </c>
      <c r="BD183" s="237" t="s">
        <v>56</v>
      </c>
      <c r="BE183" s="244">
        <v>0.82027876930712895</v>
      </c>
      <c r="BF183" s="227">
        <v>-38.690553665962497</v>
      </c>
      <c r="BG183" s="224"/>
      <c r="BH183" s="224"/>
      <c r="BI183" s="232">
        <v>26</v>
      </c>
      <c r="BJ183" s="232">
        <v>55</v>
      </c>
      <c r="BK183" s="225"/>
      <c r="BL183" s="241">
        <v>0.8</v>
      </c>
      <c r="BM183" s="244">
        <v>0.75</v>
      </c>
      <c r="BN183" s="242"/>
      <c r="BO183" s="243">
        <v>0.95</v>
      </c>
      <c r="BP183" s="234">
        <v>1</v>
      </c>
      <c r="BQ183" s="242">
        <v>2.5000000000000001E-3</v>
      </c>
    </row>
    <row r="184" spans="1:69" s="211" customFormat="1" ht="22.35" customHeight="1" x14ac:dyDescent="0.2">
      <c r="A184" s="221" t="s">
        <v>221</v>
      </c>
      <c r="B184" s="221" t="s">
        <v>241</v>
      </c>
      <c r="C184" s="221" t="s">
        <v>249</v>
      </c>
      <c r="D184" s="222">
        <v>4.5199524895555596</v>
      </c>
      <c r="E184" s="223"/>
      <c r="F184" s="224">
        <v>1.4E-2</v>
      </c>
      <c r="G184" s="224">
        <v>0.01</v>
      </c>
      <c r="H184" s="225"/>
      <c r="I184" s="226">
        <v>3</v>
      </c>
      <c r="J184" s="226">
        <v>2</v>
      </c>
      <c r="K184" s="223"/>
      <c r="L184" s="227">
        <v>1371.45063</v>
      </c>
      <c r="M184" s="227">
        <v>1650.02881</v>
      </c>
      <c r="N184" s="227">
        <v>3021.4794400000001</v>
      </c>
      <c r="O184" s="222">
        <v>668.47592911249797</v>
      </c>
      <c r="P184" s="228">
        <v>287.5</v>
      </c>
      <c r="Q184" s="234">
        <v>2.32513366647825</v>
      </c>
      <c r="R184" s="235">
        <v>1602.44035590403</v>
      </c>
      <c r="S184" s="224">
        <v>0.01</v>
      </c>
      <c r="T184" s="224">
        <v>0.01</v>
      </c>
      <c r="U184" s="231">
        <v>0</v>
      </c>
      <c r="V184" s="232">
        <v>0</v>
      </c>
      <c r="W184" s="223"/>
      <c r="X184" s="231">
        <v>1734.065985</v>
      </c>
      <c r="Y184" s="222">
        <v>383.64694960997502</v>
      </c>
      <c r="Z184" s="233">
        <v>573</v>
      </c>
      <c r="AA184" s="229">
        <v>0.669540924275698</v>
      </c>
      <c r="AB184" s="230">
        <v>-1094.14060695475</v>
      </c>
      <c r="AC184" s="224"/>
      <c r="AD184" s="224"/>
      <c r="AE184" s="232">
        <v>856</v>
      </c>
      <c r="AF184" s="232">
        <v>1374</v>
      </c>
      <c r="AG184" s="223"/>
      <c r="AH184" s="236">
        <v>172.1</v>
      </c>
      <c r="AI184" s="222">
        <v>38.075621457897803</v>
      </c>
      <c r="AJ184" s="237" t="s">
        <v>54</v>
      </c>
      <c r="AK184" s="229">
        <v>0.60437494377615497</v>
      </c>
      <c r="AL184" s="230">
        <v>-138.854651471464</v>
      </c>
      <c r="AM184" s="224"/>
      <c r="AN184" s="224"/>
      <c r="AO184" s="232">
        <v>113</v>
      </c>
      <c r="AP184" s="232">
        <v>170</v>
      </c>
      <c r="AQ184" s="223"/>
      <c r="AR184" s="236">
        <v>42.4</v>
      </c>
      <c r="AS184" s="222">
        <v>9.3806295747522697</v>
      </c>
      <c r="AT184" s="237" t="s">
        <v>55</v>
      </c>
      <c r="AU184" s="229">
        <v>0.58628934842201696</v>
      </c>
      <c r="AV184" s="230">
        <v>-36.572609897514702</v>
      </c>
      <c r="AW184" s="224"/>
      <c r="AX184" s="224"/>
      <c r="AY184" s="232">
        <v>30</v>
      </c>
      <c r="AZ184" s="232">
        <v>45</v>
      </c>
      <c r="BA184" s="223"/>
      <c r="BB184" s="240">
        <v>137</v>
      </c>
      <c r="BC184" s="236">
        <v>30.310053107100501</v>
      </c>
      <c r="BD184" s="237" t="s">
        <v>56</v>
      </c>
      <c r="BE184" s="238">
        <v>0.94718915959688998</v>
      </c>
      <c r="BF184" s="239">
        <v>-20.945219795029502</v>
      </c>
      <c r="BG184" s="224">
        <v>4.0000000000000001E-3</v>
      </c>
      <c r="BH184" s="224"/>
      <c r="BI184" s="232">
        <v>8</v>
      </c>
      <c r="BJ184" s="232">
        <v>37</v>
      </c>
      <c r="BK184" s="225"/>
      <c r="BL184" s="241">
        <v>0.8</v>
      </c>
      <c r="BM184" s="229">
        <v>0.68</v>
      </c>
      <c r="BN184" s="242"/>
      <c r="BO184" s="243">
        <v>0.95</v>
      </c>
      <c r="BP184" s="234">
        <v>1</v>
      </c>
      <c r="BQ184" s="242">
        <v>2.5000000000000001E-3</v>
      </c>
    </row>
    <row r="185" spans="1:69" s="211" customFormat="1" ht="22.35" customHeight="1" x14ac:dyDescent="0.2">
      <c r="A185" s="221" t="s">
        <v>221</v>
      </c>
      <c r="B185" s="221" t="s">
        <v>241</v>
      </c>
      <c r="C185" s="221" t="s">
        <v>250</v>
      </c>
      <c r="D185" s="222">
        <v>3.0343497082222202</v>
      </c>
      <c r="E185" s="223"/>
      <c r="F185" s="224">
        <v>0.01</v>
      </c>
      <c r="G185" s="224">
        <v>0.01</v>
      </c>
      <c r="H185" s="225"/>
      <c r="I185" s="226">
        <v>2</v>
      </c>
      <c r="J185" s="226">
        <v>2</v>
      </c>
      <c r="K185" s="223"/>
      <c r="L185" s="227">
        <v>1776.29377</v>
      </c>
      <c r="M185" s="227">
        <v>1500.60151</v>
      </c>
      <c r="N185" s="227">
        <v>3276.8952800000002</v>
      </c>
      <c r="O185" s="222">
        <v>1079.9332954670799</v>
      </c>
      <c r="P185" s="228">
        <v>243.29900000000001</v>
      </c>
      <c r="Q185" s="234">
        <v>4.43870831966872</v>
      </c>
      <c r="R185" s="235">
        <v>2470.7216393704498</v>
      </c>
      <c r="S185" s="224">
        <v>0.01</v>
      </c>
      <c r="T185" s="224">
        <v>0.01</v>
      </c>
      <c r="U185" s="231">
        <v>0</v>
      </c>
      <c r="V185" s="232">
        <v>0</v>
      </c>
      <c r="W185" s="223"/>
      <c r="X185" s="231">
        <v>1067.1387050000001</v>
      </c>
      <c r="Y185" s="222">
        <v>351.68612968648898</v>
      </c>
      <c r="Z185" s="233">
        <v>573</v>
      </c>
      <c r="AA185" s="229">
        <v>0.61376287903401205</v>
      </c>
      <c r="AB185" s="230">
        <v>-831.50245702997404</v>
      </c>
      <c r="AC185" s="224"/>
      <c r="AD185" s="224"/>
      <c r="AE185" s="232">
        <v>672</v>
      </c>
      <c r="AF185" s="232">
        <v>1020</v>
      </c>
      <c r="AG185" s="223"/>
      <c r="AH185" s="236">
        <v>113.8</v>
      </c>
      <c r="AI185" s="222">
        <v>37.5039171298003</v>
      </c>
      <c r="AJ185" s="237" t="s">
        <v>54</v>
      </c>
      <c r="AK185" s="229">
        <v>0.59530027190159196</v>
      </c>
      <c r="AL185" s="230">
        <v>-94.951122526855897</v>
      </c>
      <c r="AM185" s="224"/>
      <c r="AN185" s="224"/>
      <c r="AO185" s="232">
        <v>78</v>
      </c>
      <c r="AP185" s="232">
        <v>116</v>
      </c>
      <c r="AQ185" s="223"/>
      <c r="AR185" s="236">
        <v>35.799999999999997</v>
      </c>
      <c r="AS185" s="222">
        <v>11.798244580376499</v>
      </c>
      <c r="AT185" s="237" t="s">
        <v>55</v>
      </c>
      <c r="AU185" s="244">
        <v>0.73739028627353398</v>
      </c>
      <c r="AV185" s="227">
        <v>-17.2161581020586</v>
      </c>
      <c r="AW185" s="224"/>
      <c r="AX185" s="224"/>
      <c r="AY185" s="232">
        <v>13</v>
      </c>
      <c r="AZ185" s="232">
        <v>23</v>
      </c>
      <c r="BA185" s="223"/>
      <c r="BB185" s="240">
        <v>75</v>
      </c>
      <c r="BC185" s="236">
        <v>24.716992835984399</v>
      </c>
      <c r="BD185" s="237" t="s">
        <v>56</v>
      </c>
      <c r="BE185" s="244">
        <v>0.77240602612451204</v>
      </c>
      <c r="BF185" s="227">
        <v>-31.032316204117301</v>
      </c>
      <c r="BG185" s="224"/>
      <c r="BH185" s="224"/>
      <c r="BI185" s="232">
        <v>23</v>
      </c>
      <c r="BJ185" s="232">
        <v>42</v>
      </c>
      <c r="BK185" s="225"/>
      <c r="BL185" s="241">
        <v>0.8</v>
      </c>
      <c r="BM185" s="244">
        <v>0.7</v>
      </c>
      <c r="BN185" s="242"/>
      <c r="BO185" s="243">
        <v>0.95</v>
      </c>
      <c r="BP185" s="234">
        <v>1</v>
      </c>
      <c r="BQ185" s="242">
        <v>2.5000000000000001E-3</v>
      </c>
    </row>
    <row r="186" spans="1:69" s="211" customFormat="1" ht="22.35" customHeight="1" x14ac:dyDescent="0.2">
      <c r="A186" s="221" t="s">
        <v>221</v>
      </c>
      <c r="B186" s="221" t="s">
        <v>241</v>
      </c>
      <c r="C186" s="221" t="s">
        <v>251</v>
      </c>
      <c r="D186" s="222">
        <v>3.9243355210000002</v>
      </c>
      <c r="E186" s="223"/>
      <c r="F186" s="224">
        <v>3.9E-2</v>
      </c>
      <c r="G186" s="224">
        <v>3.4000000000000002E-2</v>
      </c>
      <c r="H186" s="225"/>
      <c r="I186" s="226">
        <v>5</v>
      </c>
      <c r="J186" s="226">
        <v>5</v>
      </c>
      <c r="K186" s="223"/>
      <c r="L186" s="227">
        <v>3829.44112</v>
      </c>
      <c r="M186" s="227">
        <v>3027.5761200000002</v>
      </c>
      <c r="N186" s="227">
        <v>6857.0172400000001</v>
      </c>
      <c r="O186" s="222">
        <v>1747.30657032421</v>
      </c>
      <c r="P186" s="228">
        <v>285.27300000000002</v>
      </c>
      <c r="Q186" s="234">
        <v>6.1250331097727804</v>
      </c>
      <c r="R186" s="235">
        <v>5634.5156319462003</v>
      </c>
      <c r="S186" s="224">
        <v>0.01</v>
      </c>
      <c r="T186" s="224">
        <v>0.01</v>
      </c>
      <c r="U186" s="231">
        <v>0</v>
      </c>
      <c r="V186" s="232">
        <v>0</v>
      </c>
      <c r="W186" s="223"/>
      <c r="X186" s="231">
        <v>1855.43102</v>
      </c>
      <c r="Y186" s="222">
        <v>472.801321413822</v>
      </c>
      <c r="Z186" s="233">
        <v>573</v>
      </c>
      <c r="AA186" s="244">
        <v>0.82513319618468095</v>
      </c>
      <c r="AB186" s="227">
        <v>-600.088504858036</v>
      </c>
      <c r="AC186" s="224"/>
      <c r="AD186" s="224"/>
      <c r="AE186" s="232">
        <v>394</v>
      </c>
      <c r="AF186" s="232">
        <v>843</v>
      </c>
      <c r="AG186" s="223"/>
      <c r="AH186" s="236">
        <v>181.9</v>
      </c>
      <c r="AI186" s="222">
        <v>46.3517961261498</v>
      </c>
      <c r="AJ186" s="237" t="s">
        <v>54</v>
      </c>
      <c r="AK186" s="244">
        <v>0.73574279565317202</v>
      </c>
      <c r="AL186" s="227">
        <v>-88.078586502716007</v>
      </c>
      <c r="AM186" s="224"/>
      <c r="AN186" s="224"/>
      <c r="AO186" s="232">
        <v>66</v>
      </c>
      <c r="AP186" s="232">
        <v>115</v>
      </c>
      <c r="AQ186" s="223"/>
      <c r="AR186" s="236">
        <v>67.599999999999994</v>
      </c>
      <c r="AS186" s="222">
        <v>17.225846168926498</v>
      </c>
      <c r="AT186" s="237" t="s">
        <v>55</v>
      </c>
      <c r="AU186" s="238">
        <v>1.0766153855579099</v>
      </c>
      <c r="AV186" s="239">
        <v>-0.96599022291201198</v>
      </c>
      <c r="AW186" s="224">
        <v>8.9999999999999993E-3</v>
      </c>
      <c r="AX186" s="224">
        <v>4.0000000000000001E-3</v>
      </c>
      <c r="AY186" s="232">
        <v>0</v>
      </c>
      <c r="AZ186" s="232">
        <v>8</v>
      </c>
      <c r="BA186" s="223"/>
      <c r="BB186" s="240">
        <v>206.6</v>
      </c>
      <c r="BC186" s="236">
        <v>52.645855303257598</v>
      </c>
      <c r="BD186" s="237" t="s">
        <v>56</v>
      </c>
      <c r="BE186" s="234">
        <v>1.6451829782267999</v>
      </c>
      <c r="BF186" s="235">
        <v>69.468019554175996</v>
      </c>
      <c r="BG186" s="224">
        <v>0.02</v>
      </c>
      <c r="BH186" s="224">
        <v>0.02</v>
      </c>
      <c r="BI186" s="232">
        <v>0</v>
      </c>
      <c r="BJ186" s="232">
        <v>0</v>
      </c>
      <c r="BK186" s="225"/>
      <c r="BL186" s="241">
        <v>0.8</v>
      </c>
      <c r="BM186" s="238">
        <v>0.81</v>
      </c>
      <c r="BN186" s="242">
        <v>3.7500000000000001E-4</v>
      </c>
      <c r="BO186" s="243">
        <v>0.95</v>
      </c>
      <c r="BP186" s="234">
        <v>1</v>
      </c>
      <c r="BQ186" s="242">
        <v>2.5000000000000001E-3</v>
      </c>
    </row>
    <row r="187" spans="1:69" s="211" customFormat="1" ht="22.35" customHeight="1" x14ac:dyDescent="0.2">
      <c r="A187" s="221" t="s">
        <v>221</v>
      </c>
      <c r="B187" s="221" t="s">
        <v>241</v>
      </c>
      <c r="C187" s="221" t="s">
        <v>252</v>
      </c>
      <c r="D187" s="222">
        <v>1.82888188633333</v>
      </c>
      <c r="E187" s="223"/>
      <c r="F187" s="224">
        <v>7.0000000000000007E-2</v>
      </c>
      <c r="G187" s="224">
        <v>6.25E-2</v>
      </c>
      <c r="H187" s="225"/>
      <c r="I187" s="226">
        <v>5</v>
      </c>
      <c r="J187" s="226">
        <v>5</v>
      </c>
      <c r="K187" s="223"/>
      <c r="L187" s="227">
        <v>487.84399000000002</v>
      </c>
      <c r="M187" s="227">
        <v>5.9281899999999998</v>
      </c>
      <c r="N187" s="227">
        <v>493.77217999999999</v>
      </c>
      <c r="O187" s="222">
        <v>269.98582231570299</v>
      </c>
      <c r="P187" s="228">
        <v>243.29900000000001</v>
      </c>
      <c r="Q187" s="234">
        <v>1.1096873489644601</v>
      </c>
      <c r="R187" s="235">
        <v>7.87025360318989</v>
      </c>
      <c r="S187" s="224">
        <v>0.01</v>
      </c>
      <c r="T187" s="224">
        <v>5.4999999999999997E-3</v>
      </c>
      <c r="U187" s="231">
        <v>0</v>
      </c>
      <c r="V187" s="232">
        <v>41</v>
      </c>
      <c r="W187" s="223"/>
      <c r="X187" s="231">
        <v>1223.796405</v>
      </c>
      <c r="Y187" s="222">
        <v>669.15004962597698</v>
      </c>
      <c r="Z187" s="233">
        <v>573</v>
      </c>
      <c r="AA187" s="234">
        <v>1.1678011337277101</v>
      </c>
      <c r="AB187" s="235">
        <v>79.4357466110541</v>
      </c>
      <c r="AC187" s="224">
        <v>0.02</v>
      </c>
      <c r="AD187" s="224">
        <v>1.7000000000000001E-2</v>
      </c>
      <c r="AE187" s="232">
        <v>0</v>
      </c>
      <c r="AF187" s="232">
        <v>34</v>
      </c>
      <c r="AG187" s="223"/>
      <c r="AH187" s="236">
        <v>156.19999999999999</v>
      </c>
      <c r="AI187" s="222">
        <v>85.407374400301094</v>
      </c>
      <c r="AJ187" s="237" t="s">
        <v>54</v>
      </c>
      <c r="AK187" s="234">
        <v>1.35567260952859</v>
      </c>
      <c r="AL187" s="235">
        <v>30.3802417478122</v>
      </c>
      <c r="AM187" s="224">
        <v>0.02</v>
      </c>
      <c r="AN187" s="224">
        <v>0.02</v>
      </c>
      <c r="AO187" s="232">
        <v>0</v>
      </c>
      <c r="AP187" s="232">
        <v>0</v>
      </c>
      <c r="AQ187" s="223"/>
      <c r="AR187" s="236">
        <v>17.600000000000001</v>
      </c>
      <c r="AS187" s="222">
        <v>9.6233661296113997</v>
      </c>
      <c r="AT187" s="237" t="s">
        <v>55</v>
      </c>
      <c r="AU187" s="229">
        <v>0.60146038310071204</v>
      </c>
      <c r="AV187" s="230">
        <v>-14.3542243180159</v>
      </c>
      <c r="AW187" s="224"/>
      <c r="AX187" s="224"/>
      <c r="AY187" s="232">
        <v>12</v>
      </c>
      <c r="AZ187" s="232">
        <v>18</v>
      </c>
      <c r="BA187" s="223"/>
      <c r="BB187" s="240">
        <v>83</v>
      </c>
      <c r="BC187" s="236">
        <v>45.382919815781001</v>
      </c>
      <c r="BD187" s="237" t="s">
        <v>56</v>
      </c>
      <c r="BE187" s="234">
        <v>1.4182162442431601</v>
      </c>
      <c r="BF187" s="235">
        <v>19.091551363968101</v>
      </c>
      <c r="BG187" s="224">
        <v>0.02</v>
      </c>
      <c r="BH187" s="224">
        <v>0.02</v>
      </c>
      <c r="BI187" s="232">
        <v>0</v>
      </c>
      <c r="BJ187" s="232">
        <v>0</v>
      </c>
      <c r="BK187" s="225"/>
      <c r="BL187" s="241">
        <v>0.8</v>
      </c>
      <c r="BM187" s="244">
        <v>0.75</v>
      </c>
      <c r="BN187" s="242"/>
      <c r="BO187" s="243">
        <v>0.95</v>
      </c>
      <c r="BP187" s="234">
        <v>1</v>
      </c>
      <c r="BQ187" s="242">
        <v>2.5000000000000001E-3</v>
      </c>
    </row>
    <row r="188" spans="1:69" s="211" customFormat="1" ht="22.35" customHeight="1" x14ac:dyDescent="0.2">
      <c r="A188" s="221" t="s">
        <v>221</v>
      </c>
      <c r="B188" s="221" t="s">
        <v>241</v>
      </c>
      <c r="C188" s="221" t="s">
        <v>253</v>
      </c>
      <c r="D188" s="222">
        <v>3.0121534749999999</v>
      </c>
      <c r="E188" s="223"/>
      <c r="F188" s="224">
        <v>2.9000000000000001E-2</v>
      </c>
      <c r="G188" s="224">
        <v>1.4999999999999999E-2</v>
      </c>
      <c r="H188" s="225"/>
      <c r="I188" s="226">
        <v>4</v>
      </c>
      <c r="J188" s="226">
        <v>3</v>
      </c>
      <c r="K188" s="223"/>
      <c r="L188" s="227">
        <v>1238.89231</v>
      </c>
      <c r="M188" s="227">
        <v>402.93723999999997</v>
      </c>
      <c r="N188" s="227">
        <v>1641.8295499999999</v>
      </c>
      <c r="O188" s="222">
        <v>545.06835844411899</v>
      </c>
      <c r="P188" s="228">
        <v>262.53800000000001</v>
      </c>
      <c r="Q188" s="234">
        <v>2.0761503418328702</v>
      </c>
      <c r="R188" s="235">
        <v>778.27076407065101</v>
      </c>
      <c r="S188" s="224">
        <v>0.01</v>
      </c>
      <c r="T188" s="224">
        <v>0.01</v>
      </c>
      <c r="U188" s="231">
        <v>0</v>
      </c>
      <c r="V188" s="232">
        <v>0</v>
      </c>
      <c r="W188" s="223"/>
      <c r="X188" s="231">
        <v>1814.5659450000001</v>
      </c>
      <c r="Y188" s="222">
        <v>602.41483711250805</v>
      </c>
      <c r="Z188" s="233">
        <v>573</v>
      </c>
      <c r="AA188" s="238">
        <v>1.0513347942626701</v>
      </c>
      <c r="AB188" s="239">
        <v>-70.186678763100204</v>
      </c>
      <c r="AC188" s="224">
        <v>1.6E-2</v>
      </c>
      <c r="AD188" s="224">
        <v>5.0000000000000001E-3</v>
      </c>
      <c r="AE188" s="232">
        <v>0</v>
      </c>
      <c r="AF188" s="232">
        <v>257</v>
      </c>
      <c r="AG188" s="223"/>
      <c r="AH188" s="236">
        <v>157.19999999999999</v>
      </c>
      <c r="AI188" s="222">
        <v>52.188575816177497</v>
      </c>
      <c r="AJ188" s="237" t="s">
        <v>54</v>
      </c>
      <c r="AK188" s="244">
        <v>0.82839009232027805</v>
      </c>
      <c r="AL188" s="227">
        <v>-50.024110466099998</v>
      </c>
      <c r="AM188" s="224"/>
      <c r="AN188" s="224"/>
      <c r="AO188" s="232">
        <v>33</v>
      </c>
      <c r="AP188" s="232">
        <v>71</v>
      </c>
      <c r="AQ188" s="223"/>
      <c r="AR188" s="236">
        <v>16</v>
      </c>
      <c r="AS188" s="222">
        <v>5.3118143324353699</v>
      </c>
      <c r="AT188" s="237" t="s">
        <v>55</v>
      </c>
      <c r="AU188" s="229">
        <v>0.33198839577721101</v>
      </c>
      <c r="AV188" s="230">
        <v>-36.628345515200003</v>
      </c>
      <c r="AW188" s="224"/>
      <c r="AX188" s="224"/>
      <c r="AY188" s="232">
        <v>33</v>
      </c>
      <c r="AZ188" s="232">
        <v>42</v>
      </c>
      <c r="BA188" s="223"/>
      <c r="BB188" s="240">
        <v>90</v>
      </c>
      <c r="BC188" s="236">
        <v>29.878955619948901</v>
      </c>
      <c r="BD188" s="237" t="s">
        <v>56</v>
      </c>
      <c r="BE188" s="238">
        <v>0.93371736312340403</v>
      </c>
      <c r="BF188" s="239">
        <v>-15.256691030400001</v>
      </c>
      <c r="BG188" s="224">
        <v>3.0000000000000001E-3</v>
      </c>
      <c r="BH188" s="224"/>
      <c r="BI188" s="232">
        <v>7</v>
      </c>
      <c r="BJ188" s="232">
        <v>26</v>
      </c>
      <c r="BK188" s="225"/>
      <c r="BL188" s="241">
        <v>0.8</v>
      </c>
      <c r="BM188" s="244">
        <v>0.74</v>
      </c>
      <c r="BN188" s="242"/>
      <c r="BO188" s="243">
        <v>0.95</v>
      </c>
      <c r="BP188" s="234">
        <v>1</v>
      </c>
      <c r="BQ188" s="242">
        <v>2.5000000000000001E-3</v>
      </c>
    </row>
    <row r="189" spans="1:69" s="211" customFormat="1" ht="22.35" customHeight="1" x14ac:dyDescent="0.2">
      <c r="A189" s="221" t="s">
        <v>221</v>
      </c>
      <c r="B189" s="221" t="s">
        <v>241</v>
      </c>
      <c r="C189" s="221" t="s">
        <v>254</v>
      </c>
      <c r="D189" s="222">
        <v>2.69738168433333</v>
      </c>
      <c r="E189" s="223"/>
      <c r="F189" s="224">
        <v>3.7999999999999999E-2</v>
      </c>
      <c r="G189" s="224">
        <v>1.6E-2</v>
      </c>
      <c r="H189" s="225"/>
      <c r="I189" s="226">
        <v>6</v>
      </c>
      <c r="J189" s="226">
        <v>5</v>
      </c>
      <c r="K189" s="223"/>
      <c r="L189" s="227">
        <v>2734.70064</v>
      </c>
      <c r="M189" s="227">
        <v>1761.7967900000001</v>
      </c>
      <c r="N189" s="227">
        <v>4496.4974300000003</v>
      </c>
      <c r="O189" s="222">
        <v>1666.9859724028399</v>
      </c>
      <c r="P189" s="228">
        <v>243.27799999999999</v>
      </c>
      <c r="Q189" s="234">
        <v>6.85218545204597</v>
      </c>
      <c r="R189" s="235">
        <v>3779.9121554298399</v>
      </c>
      <c r="S189" s="224">
        <v>0.01</v>
      </c>
      <c r="T189" s="224">
        <v>0.01</v>
      </c>
      <c r="U189" s="231">
        <v>0</v>
      </c>
      <c r="V189" s="232">
        <v>0</v>
      </c>
      <c r="W189" s="223"/>
      <c r="X189" s="231">
        <v>1568.5617500000001</v>
      </c>
      <c r="Y189" s="222">
        <v>581.51271624270498</v>
      </c>
      <c r="Z189" s="233">
        <v>573</v>
      </c>
      <c r="AA189" s="238">
        <v>1.0148563983293299</v>
      </c>
      <c r="AB189" s="239">
        <v>-119.233127994314</v>
      </c>
      <c r="AC189" s="224">
        <v>1.2E-2</v>
      </c>
      <c r="AD189" s="224">
        <v>1E-3</v>
      </c>
      <c r="AE189" s="232">
        <v>0</v>
      </c>
      <c r="AF189" s="232">
        <v>287</v>
      </c>
      <c r="AG189" s="223"/>
      <c r="AH189" s="236">
        <v>156.85</v>
      </c>
      <c r="AI189" s="222">
        <v>58.148982367234403</v>
      </c>
      <c r="AJ189" s="237" t="s">
        <v>54</v>
      </c>
      <c r="AK189" s="238">
        <v>0.922999720114831</v>
      </c>
      <c r="AL189" s="239">
        <v>-28.7190703553958</v>
      </c>
      <c r="AM189" s="224">
        <v>1E-3</v>
      </c>
      <c r="AN189" s="224"/>
      <c r="AO189" s="232">
        <v>14</v>
      </c>
      <c r="AP189" s="232">
        <v>48</v>
      </c>
      <c r="AQ189" s="223"/>
      <c r="AR189" s="236">
        <v>24.5</v>
      </c>
      <c r="AS189" s="222">
        <v>9.0828821676585392</v>
      </c>
      <c r="AT189" s="237" t="s">
        <v>55</v>
      </c>
      <c r="AU189" s="229">
        <v>0.56768013547865903</v>
      </c>
      <c r="AV189" s="230">
        <v>-22.6286527886719</v>
      </c>
      <c r="AW189" s="224"/>
      <c r="AX189" s="224"/>
      <c r="AY189" s="232">
        <v>19</v>
      </c>
      <c r="AZ189" s="232">
        <v>28</v>
      </c>
      <c r="BA189" s="223"/>
      <c r="BB189" s="240">
        <v>90.4</v>
      </c>
      <c r="BC189" s="236">
        <v>33.513981549238103</v>
      </c>
      <c r="BD189" s="237" t="s">
        <v>56</v>
      </c>
      <c r="BE189" s="238">
        <v>1.0473119234136901</v>
      </c>
      <c r="BF189" s="239">
        <v>-3.85730557734388</v>
      </c>
      <c r="BG189" s="224">
        <v>1.4999999999999999E-2</v>
      </c>
      <c r="BH189" s="224">
        <v>5.0000000000000001E-3</v>
      </c>
      <c r="BI189" s="232">
        <v>0</v>
      </c>
      <c r="BJ189" s="232">
        <v>14</v>
      </c>
      <c r="BK189" s="225"/>
      <c r="BL189" s="241">
        <v>0.8</v>
      </c>
      <c r="BM189" s="238">
        <v>0.86</v>
      </c>
      <c r="BN189" s="242">
        <v>2.2499999999999998E-3</v>
      </c>
      <c r="BO189" s="243">
        <v>0.95</v>
      </c>
      <c r="BP189" s="234">
        <v>1</v>
      </c>
      <c r="BQ189" s="242">
        <v>2.5000000000000001E-3</v>
      </c>
    </row>
    <row r="190" spans="1:69" s="211" customFormat="1" ht="22.35" customHeight="1" x14ac:dyDescent="0.2">
      <c r="A190" s="221" t="s">
        <v>221</v>
      </c>
      <c r="B190" s="221" t="s">
        <v>241</v>
      </c>
      <c r="C190" s="221" t="s">
        <v>255</v>
      </c>
      <c r="D190" s="222">
        <v>2.5112282917777802</v>
      </c>
      <c r="E190" s="223"/>
      <c r="F190" s="224">
        <v>7.0000000000000007E-2</v>
      </c>
      <c r="G190" s="224">
        <v>7.0000000000000007E-2</v>
      </c>
      <c r="H190" s="225"/>
      <c r="I190" s="226">
        <v>5</v>
      </c>
      <c r="J190" s="226">
        <v>5</v>
      </c>
      <c r="K190" s="223"/>
      <c r="L190" s="227">
        <v>322.61516</v>
      </c>
      <c r="M190" s="227">
        <v>-119.23690999999999</v>
      </c>
      <c r="N190" s="227">
        <v>203.37825000000001</v>
      </c>
      <c r="O190" s="222">
        <v>80.987559221874704</v>
      </c>
      <c r="P190" s="228">
        <v>233.029</v>
      </c>
      <c r="Q190" s="229">
        <v>0.347542834676691</v>
      </c>
      <c r="R190" s="230">
        <v>-435.64815722431501</v>
      </c>
      <c r="S190" s="224"/>
      <c r="T190" s="224"/>
      <c r="U190" s="231">
        <v>382</v>
      </c>
      <c r="V190" s="232">
        <v>499</v>
      </c>
      <c r="W190" s="223"/>
      <c r="X190" s="231">
        <v>2033.4898499999999</v>
      </c>
      <c r="Y190" s="222">
        <v>809.75905562151399</v>
      </c>
      <c r="Z190" s="233">
        <v>573</v>
      </c>
      <c r="AA190" s="234">
        <v>1.41319206914749</v>
      </c>
      <c r="AB190" s="235">
        <v>462.17412818197499</v>
      </c>
      <c r="AC190" s="224">
        <v>0.02</v>
      </c>
      <c r="AD190" s="224">
        <v>0.02</v>
      </c>
      <c r="AE190" s="232">
        <v>0</v>
      </c>
      <c r="AF190" s="232">
        <v>0</v>
      </c>
      <c r="AG190" s="223"/>
      <c r="AH190" s="236">
        <v>197.8</v>
      </c>
      <c r="AI190" s="222">
        <v>78.766235888482697</v>
      </c>
      <c r="AJ190" s="237" t="s">
        <v>54</v>
      </c>
      <c r="AK190" s="234">
        <v>1.2502577125156</v>
      </c>
      <c r="AL190" s="235">
        <v>25.037538438855801</v>
      </c>
      <c r="AM190" s="224">
        <v>0.02</v>
      </c>
      <c r="AN190" s="224">
        <v>0.02</v>
      </c>
      <c r="AO190" s="232">
        <v>0</v>
      </c>
      <c r="AP190" s="232">
        <v>0</v>
      </c>
      <c r="AQ190" s="223"/>
      <c r="AR190" s="236">
        <v>48.4</v>
      </c>
      <c r="AS190" s="222">
        <v>19.273436890811801</v>
      </c>
      <c r="AT190" s="237" t="s">
        <v>55</v>
      </c>
      <c r="AU190" s="234">
        <v>1.20458980567573</v>
      </c>
      <c r="AV190" s="235">
        <v>4.5238192860586199</v>
      </c>
      <c r="AW190" s="224">
        <v>0.01</v>
      </c>
      <c r="AX190" s="224">
        <v>0.01</v>
      </c>
      <c r="AY190" s="232">
        <v>0</v>
      </c>
      <c r="AZ190" s="232">
        <v>0</v>
      </c>
      <c r="BA190" s="223"/>
      <c r="BB190" s="240">
        <v>136.19999999999999</v>
      </c>
      <c r="BC190" s="236">
        <v>54.236407118358699</v>
      </c>
      <c r="BD190" s="237" t="s">
        <v>56</v>
      </c>
      <c r="BE190" s="234">
        <v>1.69488772244871</v>
      </c>
      <c r="BF190" s="235">
        <v>48.447638572117199</v>
      </c>
      <c r="BG190" s="224">
        <v>0.02</v>
      </c>
      <c r="BH190" s="224">
        <v>0.02</v>
      </c>
      <c r="BI190" s="232">
        <v>0</v>
      </c>
      <c r="BJ190" s="232">
        <v>0</v>
      </c>
      <c r="BK190" s="225"/>
      <c r="BL190" s="241">
        <v>0.8</v>
      </c>
      <c r="BM190" s="244">
        <v>0.78</v>
      </c>
      <c r="BN190" s="242"/>
      <c r="BO190" s="243">
        <v>0.95</v>
      </c>
      <c r="BP190" s="234">
        <v>1</v>
      </c>
      <c r="BQ190" s="242">
        <v>2.5000000000000001E-3</v>
      </c>
    </row>
    <row r="191" spans="1:69" s="211" customFormat="1" ht="22.35" customHeight="1" x14ac:dyDescent="0.2">
      <c r="A191" s="221" t="s">
        <v>221</v>
      </c>
      <c r="B191" s="221" t="s">
        <v>241</v>
      </c>
      <c r="C191" s="221" t="s">
        <v>256</v>
      </c>
      <c r="D191" s="222">
        <v>3.5167137564444402</v>
      </c>
      <c r="E191" s="223"/>
      <c r="F191" s="224">
        <v>0.01</v>
      </c>
      <c r="G191" s="224">
        <v>0.01</v>
      </c>
      <c r="H191" s="225"/>
      <c r="I191" s="226">
        <v>3</v>
      </c>
      <c r="J191" s="226">
        <v>3</v>
      </c>
      <c r="K191" s="223"/>
      <c r="L191" s="227">
        <v>1691.1969899999999</v>
      </c>
      <c r="M191" s="227">
        <v>185.32139000000001</v>
      </c>
      <c r="N191" s="227">
        <v>1876.51838</v>
      </c>
      <c r="O191" s="222">
        <v>533.599977126726</v>
      </c>
      <c r="P191" s="228">
        <v>232.833</v>
      </c>
      <c r="Q191" s="234">
        <v>2.2917712571960398</v>
      </c>
      <c r="R191" s="235">
        <v>982.38112065278301</v>
      </c>
      <c r="S191" s="224">
        <v>0.01</v>
      </c>
      <c r="T191" s="224">
        <v>0.01</v>
      </c>
      <c r="U191" s="231">
        <v>0</v>
      </c>
      <c r="V191" s="232">
        <v>0</v>
      </c>
      <c r="W191" s="223"/>
      <c r="X191" s="231">
        <v>1459.57818</v>
      </c>
      <c r="Y191" s="222">
        <v>415.04037038138102</v>
      </c>
      <c r="Z191" s="233">
        <v>573</v>
      </c>
      <c r="AA191" s="244">
        <v>0.72432874412108395</v>
      </c>
      <c r="AB191" s="227">
        <v>-740.88588482738896</v>
      </c>
      <c r="AC191" s="224"/>
      <c r="AD191" s="224"/>
      <c r="AE191" s="232">
        <v>556</v>
      </c>
      <c r="AF191" s="232">
        <v>959</v>
      </c>
      <c r="AG191" s="223"/>
      <c r="AH191" s="236">
        <v>134.80000000000001</v>
      </c>
      <c r="AI191" s="222">
        <v>38.331240281634102</v>
      </c>
      <c r="AJ191" s="237" t="s">
        <v>54</v>
      </c>
      <c r="AK191" s="229">
        <v>0.60843238542276301</v>
      </c>
      <c r="AL191" s="230">
        <v>-107.135839588352</v>
      </c>
      <c r="AM191" s="224"/>
      <c r="AN191" s="224"/>
      <c r="AO191" s="232">
        <v>87</v>
      </c>
      <c r="AP191" s="232">
        <v>132</v>
      </c>
      <c r="AQ191" s="223"/>
      <c r="AR191" s="236">
        <v>31.4</v>
      </c>
      <c r="AS191" s="222">
        <v>8.9287903920126901</v>
      </c>
      <c r="AT191" s="237" t="s">
        <v>55</v>
      </c>
      <c r="AU191" s="229">
        <v>0.55804939950079302</v>
      </c>
      <c r="AV191" s="230">
        <v>-30.0440227525973</v>
      </c>
      <c r="AW191" s="224"/>
      <c r="AX191" s="224"/>
      <c r="AY191" s="232">
        <v>25</v>
      </c>
      <c r="AZ191" s="232">
        <v>37</v>
      </c>
      <c r="BA191" s="223"/>
      <c r="BB191" s="240">
        <v>101.4</v>
      </c>
      <c r="BC191" s="236">
        <v>28.833737125798901</v>
      </c>
      <c r="BD191" s="237" t="s">
        <v>56</v>
      </c>
      <c r="BE191" s="244">
        <v>0.901054285181217</v>
      </c>
      <c r="BF191" s="227">
        <v>-21.488045505194499</v>
      </c>
      <c r="BG191" s="224"/>
      <c r="BH191" s="224"/>
      <c r="BI191" s="232">
        <v>12</v>
      </c>
      <c r="BJ191" s="232">
        <v>34</v>
      </c>
      <c r="BK191" s="225"/>
      <c r="BL191" s="241">
        <v>0.8</v>
      </c>
      <c r="BM191" s="238">
        <v>0.86</v>
      </c>
      <c r="BN191" s="242">
        <v>2.2499999999999998E-3</v>
      </c>
      <c r="BO191" s="243">
        <v>0.95</v>
      </c>
      <c r="BP191" s="234">
        <v>1</v>
      </c>
      <c r="BQ191" s="242">
        <v>2.5000000000000001E-3</v>
      </c>
    </row>
    <row r="192" spans="1:69" s="211" customFormat="1" ht="22.35" customHeight="1" x14ac:dyDescent="0.2">
      <c r="A192" s="221" t="s">
        <v>221</v>
      </c>
      <c r="B192" s="221" t="s">
        <v>241</v>
      </c>
      <c r="C192" s="221" t="s">
        <v>257</v>
      </c>
      <c r="D192" s="222">
        <v>7.4460326411111097</v>
      </c>
      <c r="E192" s="223"/>
      <c r="F192" s="224">
        <v>0.03</v>
      </c>
      <c r="G192" s="224">
        <v>1.4999999999999999E-2</v>
      </c>
      <c r="H192" s="225"/>
      <c r="I192" s="226">
        <v>4</v>
      </c>
      <c r="J192" s="226">
        <v>3</v>
      </c>
      <c r="K192" s="223"/>
      <c r="L192" s="227">
        <v>5412.3044399999999</v>
      </c>
      <c r="M192" s="227">
        <v>4005.4218099999998</v>
      </c>
      <c r="N192" s="227">
        <v>9417.7262499999997</v>
      </c>
      <c r="O192" s="222">
        <v>1264.7978734343401</v>
      </c>
      <c r="P192" s="228">
        <v>247.167</v>
      </c>
      <c r="Q192" s="234">
        <v>5.1171793703623099</v>
      </c>
      <c r="R192" s="235">
        <v>7407.9946536123798</v>
      </c>
      <c r="S192" s="224">
        <v>0.01</v>
      </c>
      <c r="T192" s="224">
        <v>0.01</v>
      </c>
      <c r="U192" s="231">
        <v>0</v>
      </c>
      <c r="V192" s="232">
        <v>0</v>
      </c>
      <c r="W192" s="223"/>
      <c r="X192" s="231">
        <v>4067.36715</v>
      </c>
      <c r="Y192" s="222">
        <v>546.24621540647195</v>
      </c>
      <c r="Z192" s="233">
        <v>573</v>
      </c>
      <c r="AA192" s="238">
        <v>0.95330927645108499</v>
      </c>
      <c r="AB192" s="239">
        <v>-591.73461006547905</v>
      </c>
      <c r="AC192" s="224">
        <v>5.0000000000000001E-3</v>
      </c>
      <c r="AD192" s="224"/>
      <c r="AE192" s="232">
        <v>200</v>
      </c>
      <c r="AF192" s="232">
        <v>1053</v>
      </c>
      <c r="AG192" s="223"/>
      <c r="AH192" s="236">
        <v>414.5</v>
      </c>
      <c r="AI192" s="222">
        <v>55.6672284394052</v>
      </c>
      <c r="AJ192" s="237" t="s">
        <v>54</v>
      </c>
      <c r="AK192" s="244">
        <v>0.88360680062548003</v>
      </c>
      <c r="AL192" s="227">
        <v>-97.757261577879902</v>
      </c>
      <c r="AM192" s="224"/>
      <c r="AN192" s="224"/>
      <c r="AO192" s="232">
        <v>55</v>
      </c>
      <c r="AP192" s="232">
        <v>149</v>
      </c>
      <c r="AQ192" s="223"/>
      <c r="AR192" s="236">
        <v>106.8</v>
      </c>
      <c r="AS192" s="222">
        <v>14.3432086787177</v>
      </c>
      <c r="AT192" s="237" t="s">
        <v>55</v>
      </c>
      <c r="AU192" s="244">
        <v>0.896450542419854</v>
      </c>
      <c r="AV192" s="227">
        <v>-23.297082305493301</v>
      </c>
      <c r="AW192" s="224"/>
      <c r="AX192" s="224"/>
      <c r="AY192" s="232">
        <v>13</v>
      </c>
      <c r="AZ192" s="232">
        <v>37</v>
      </c>
      <c r="BA192" s="223"/>
      <c r="BB192" s="240">
        <v>249.4</v>
      </c>
      <c r="BC192" s="236">
        <v>33.494346858353801</v>
      </c>
      <c r="BD192" s="237" t="s">
        <v>56</v>
      </c>
      <c r="BE192" s="238">
        <v>1.04669833932356</v>
      </c>
      <c r="BF192" s="239">
        <v>-10.7941646109867</v>
      </c>
      <c r="BG192" s="224">
        <v>1.4999999999999999E-2</v>
      </c>
      <c r="BH192" s="224">
        <v>5.0000000000000001E-3</v>
      </c>
      <c r="BI192" s="232">
        <v>0</v>
      </c>
      <c r="BJ192" s="232">
        <v>37</v>
      </c>
      <c r="BK192" s="225"/>
      <c r="BL192" s="241">
        <v>0.8</v>
      </c>
      <c r="BM192" s="244">
        <v>0.79</v>
      </c>
      <c r="BN192" s="242"/>
      <c r="BO192" s="243">
        <v>0.95</v>
      </c>
      <c r="BP192" s="234">
        <v>1</v>
      </c>
      <c r="BQ192" s="242">
        <v>2.5000000000000001E-3</v>
      </c>
    </row>
    <row r="193" spans="1:69" s="211" customFormat="1" ht="22.35" customHeight="1" x14ac:dyDescent="0.2">
      <c r="A193" s="221" t="s">
        <v>221</v>
      </c>
      <c r="B193" s="221" t="s">
        <v>241</v>
      </c>
      <c r="C193" s="221" t="s">
        <v>258</v>
      </c>
      <c r="D193" s="222">
        <v>10.895669111222199</v>
      </c>
      <c r="E193" s="223"/>
      <c r="F193" s="224">
        <v>0.08</v>
      </c>
      <c r="G193" s="224">
        <v>0.08</v>
      </c>
      <c r="H193" s="225"/>
      <c r="I193" s="226">
        <v>6</v>
      </c>
      <c r="J193" s="226">
        <v>6</v>
      </c>
      <c r="K193" s="223"/>
      <c r="L193" s="227">
        <v>10301.43117</v>
      </c>
      <c r="M193" s="227">
        <v>8164.0315300000002</v>
      </c>
      <c r="N193" s="227">
        <v>18465.4627</v>
      </c>
      <c r="O193" s="222">
        <v>1694.7525215299599</v>
      </c>
      <c r="P193" s="228">
        <v>236.7</v>
      </c>
      <c r="Q193" s="234">
        <v>7.1599177081958603</v>
      </c>
      <c r="R193" s="235">
        <v>15649.189372540101</v>
      </c>
      <c r="S193" s="224">
        <v>0.01</v>
      </c>
      <c r="T193" s="224">
        <v>0.01</v>
      </c>
      <c r="U193" s="231">
        <v>0</v>
      </c>
      <c r="V193" s="232">
        <v>0</v>
      </c>
      <c r="W193" s="223"/>
      <c r="X193" s="231">
        <v>16609.936594999999</v>
      </c>
      <c r="Y193" s="222">
        <v>1524.4531038385001</v>
      </c>
      <c r="Z193" s="233">
        <v>573</v>
      </c>
      <c r="AA193" s="234">
        <v>2.6604766210095998</v>
      </c>
      <c r="AB193" s="235">
        <v>9792.3421014024698</v>
      </c>
      <c r="AC193" s="224">
        <v>0.02</v>
      </c>
      <c r="AD193" s="224">
        <v>0.02</v>
      </c>
      <c r="AE193" s="232">
        <v>0</v>
      </c>
      <c r="AF193" s="232">
        <v>0</v>
      </c>
      <c r="AG193" s="223"/>
      <c r="AH193" s="236">
        <v>2066.4</v>
      </c>
      <c r="AI193" s="222">
        <v>189.65333646849399</v>
      </c>
      <c r="AJ193" s="237" t="s">
        <v>54</v>
      </c>
      <c r="AK193" s="234">
        <v>3.01037042013483</v>
      </c>
      <c r="AL193" s="235">
        <v>1316.8215478243601</v>
      </c>
      <c r="AM193" s="224">
        <v>0.02</v>
      </c>
      <c r="AN193" s="224">
        <v>0.02</v>
      </c>
      <c r="AO193" s="232">
        <v>0</v>
      </c>
      <c r="AP193" s="232">
        <v>0</v>
      </c>
      <c r="AQ193" s="223"/>
      <c r="AR193" s="236">
        <v>698.7</v>
      </c>
      <c r="AS193" s="222">
        <v>64.1263967240304</v>
      </c>
      <c r="AT193" s="237" t="s">
        <v>55</v>
      </c>
      <c r="AU193" s="234">
        <v>4.0078997952519</v>
      </c>
      <c r="AV193" s="235">
        <v>508.33086928872501</v>
      </c>
      <c r="AW193" s="224">
        <v>0.01</v>
      </c>
      <c r="AX193" s="224">
        <v>0.01</v>
      </c>
      <c r="AY193" s="232">
        <v>0</v>
      </c>
      <c r="AZ193" s="232">
        <v>0</v>
      </c>
      <c r="BA193" s="223"/>
      <c r="BB193" s="240">
        <v>1248.4000000000001</v>
      </c>
      <c r="BC193" s="236">
        <v>114.57763513708301</v>
      </c>
      <c r="BD193" s="237" t="s">
        <v>56</v>
      </c>
      <c r="BE193" s="234">
        <v>3.58055109803384</v>
      </c>
      <c r="BF193" s="235">
        <v>867.66173857745105</v>
      </c>
      <c r="BG193" s="224">
        <v>0.02</v>
      </c>
      <c r="BH193" s="224">
        <v>0.02</v>
      </c>
      <c r="BI193" s="232">
        <v>0</v>
      </c>
      <c r="BJ193" s="232">
        <v>0</v>
      </c>
      <c r="BK193" s="225"/>
      <c r="BL193" s="241">
        <v>0.8</v>
      </c>
      <c r="BM193" s="244">
        <v>0.77</v>
      </c>
      <c r="BN193" s="242"/>
      <c r="BO193" s="243">
        <v>0.95</v>
      </c>
      <c r="BP193" s="234">
        <v>1</v>
      </c>
      <c r="BQ193" s="242">
        <v>2.5000000000000001E-3</v>
      </c>
    </row>
    <row r="194" spans="1:69" s="211" customFormat="1" ht="22.35" customHeight="1" x14ac:dyDescent="0.2">
      <c r="A194" s="221" t="s">
        <v>221</v>
      </c>
      <c r="B194" s="221" t="s">
        <v>241</v>
      </c>
      <c r="C194" s="221" t="s">
        <v>259</v>
      </c>
      <c r="D194" s="222">
        <v>1.7385762385555601</v>
      </c>
      <c r="E194" s="223"/>
      <c r="F194" s="224">
        <v>2.1000000000000001E-2</v>
      </c>
      <c r="G194" s="224">
        <v>6.0000000000000001E-3</v>
      </c>
      <c r="H194" s="225"/>
      <c r="I194" s="226">
        <v>3</v>
      </c>
      <c r="J194" s="226">
        <v>3</v>
      </c>
      <c r="K194" s="223"/>
      <c r="L194" s="227">
        <v>677.33524</v>
      </c>
      <c r="M194" s="227">
        <v>-259.03789</v>
      </c>
      <c r="N194" s="227">
        <v>418.29734999999999</v>
      </c>
      <c r="O194" s="222">
        <v>240.59764577682799</v>
      </c>
      <c r="P194" s="228">
        <v>236.7</v>
      </c>
      <c r="Q194" s="238">
        <v>1.0164666065772201</v>
      </c>
      <c r="R194" s="239">
        <v>-31.083577267382299</v>
      </c>
      <c r="S194" s="224">
        <v>6.0000000000000001E-3</v>
      </c>
      <c r="T194" s="224">
        <v>1E-3</v>
      </c>
      <c r="U194" s="231">
        <v>0</v>
      </c>
      <c r="V194" s="232">
        <v>76</v>
      </c>
      <c r="W194" s="223"/>
      <c r="X194" s="231">
        <v>1042.5763449999999</v>
      </c>
      <c r="Y194" s="222">
        <v>599.67249170861396</v>
      </c>
      <c r="Z194" s="233">
        <v>573</v>
      </c>
      <c r="AA194" s="238">
        <v>1.0465488511494101</v>
      </c>
      <c r="AB194" s="239">
        <v>-45.278624684030802</v>
      </c>
      <c r="AC194" s="224">
        <v>1.4999999999999999E-2</v>
      </c>
      <c r="AD194" s="224">
        <v>5.0000000000000001E-3</v>
      </c>
      <c r="AE194" s="232">
        <v>0</v>
      </c>
      <c r="AF194" s="232">
        <v>153</v>
      </c>
      <c r="AG194" s="223"/>
      <c r="AH194" s="236">
        <v>77.650000000000006</v>
      </c>
      <c r="AI194" s="222">
        <v>44.662982432402998</v>
      </c>
      <c r="AJ194" s="237" t="s">
        <v>54</v>
      </c>
      <c r="AK194" s="229">
        <v>0.70893622908576104</v>
      </c>
      <c r="AL194" s="230">
        <v>-41.957090907668302</v>
      </c>
      <c r="AM194" s="224"/>
      <c r="AN194" s="224"/>
      <c r="AO194" s="232">
        <v>32</v>
      </c>
      <c r="AP194" s="232">
        <v>54</v>
      </c>
      <c r="AQ194" s="223"/>
      <c r="AR194" s="236">
        <v>7</v>
      </c>
      <c r="AS194" s="222">
        <v>4.0262830267459204</v>
      </c>
      <c r="AT194" s="237" t="s">
        <v>55</v>
      </c>
      <c r="AU194" s="229">
        <v>0.25164268917162003</v>
      </c>
      <c r="AV194" s="230">
        <v>-23.376404040042701</v>
      </c>
      <c r="AW194" s="224"/>
      <c r="AX194" s="224"/>
      <c r="AY194" s="232">
        <v>21</v>
      </c>
      <c r="AZ194" s="232">
        <v>27</v>
      </c>
      <c r="BA194" s="223"/>
      <c r="BB194" s="240">
        <v>49.6</v>
      </c>
      <c r="BC194" s="236">
        <v>28.5290911609425</v>
      </c>
      <c r="BD194" s="237" t="s">
        <v>56</v>
      </c>
      <c r="BE194" s="244">
        <v>0.891534098779454</v>
      </c>
      <c r="BF194" s="227">
        <v>-11.152808080085499</v>
      </c>
      <c r="BG194" s="224"/>
      <c r="BH194" s="224"/>
      <c r="BI194" s="232">
        <v>7</v>
      </c>
      <c r="BJ194" s="232">
        <v>18</v>
      </c>
      <c r="BK194" s="225"/>
      <c r="BL194" s="241">
        <v>0.8</v>
      </c>
      <c r="BM194" s="244">
        <v>0.75</v>
      </c>
      <c r="BN194" s="242"/>
      <c r="BO194" s="243">
        <v>0.95</v>
      </c>
      <c r="BP194" s="234">
        <v>1</v>
      </c>
      <c r="BQ194" s="242">
        <v>2.5000000000000001E-3</v>
      </c>
    </row>
    <row r="195" spans="1:69" s="211" customFormat="1" ht="22.35" customHeight="1" x14ac:dyDescent="0.2">
      <c r="A195" s="221" t="s">
        <v>221</v>
      </c>
      <c r="B195" s="221" t="s">
        <v>241</v>
      </c>
      <c r="C195" s="221" t="s">
        <v>260</v>
      </c>
      <c r="D195" s="222">
        <v>4.5380946794444403</v>
      </c>
      <c r="E195" s="223"/>
      <c r="F195" s="224">
        <v>0.06</v>
      </c>
      <c r="G195" s="224">
        <v>0.04</v>
      </c>
      <c r="H195" s="225"/>
      <c r="I195" s="226">
        <v>5</v>
      </c>
      <c r="J195" s="226">
        <v>4</v>
      </c>
      <c r="K195" s="223"/>
      <c r="L195" s="227">
        <v>3767.9607900000001</v>
      </c>
      <c r="M195" s="227">
        <v>1546.5056199999999</v>
      </c>
      <c r="N195" s="227">
        <v>5314.46641</v>
      </c>
      <c r="O195" s="222">
        <v>1171.0787864502199</v>
      </c>
      <c r="P195" s="228">
        <v>287.5</v>
      </c>
      <c r="Q195" s="234">
        <v>4.0733175180877197</v>
      </c>
      <c r="R195" s="235">
        <v>3889.7315853884202</v>
      </c>
      <c r="S195" s="224">
        <v>0.01</v>
      </c>
      <c r="T195" s="224">
        <v>0.01</v>
      </c>
      <c r="U195" s="231">
        <v>0</v>
      </c>
      <c r="V195" s="232">
        <v>0</v>
      </c>
      <c r="W195" s="223"/>
      <c r="X195" s="231">
        <v>2596.271585</v>
      </c>
      <c r="Y195" s="222">
        <v>572.10608601005094</v>
      </c>
      <c r="Z195" s="233">
        <v>573</v>
      </c>
      <c r="AA195" s="238">
        <v>0.99843994068071795</v>
      </c>
      <c r="AB195" s="239">
        <v>-243.286865443257</v>
      </c>
      <c r="AC195" s="224">
        <v>0.01</v>
      </c>
      <c r="AD195" s="224">
        <v>0</v>
      </c>
      <c r="AE195" s="232">
        <v>5</v>
      </c>
      <c r="AF195" s="232">
        <v>525</v>
      </c>
      <c r="AG195" s="223"/>
      <c r="AH195" s="236">
        <v>314.05</v>
      </c>
      <c r="AI195" s="222">
        <v>69.203051541103207</v>
      </c>
      <c r="AJ195" s="237" t="s">
        <v>54</v>
      </c>
      <c r="AK195" s="234">
        <v>1.09846113557307</v>
      </c>
      <c r="AL195" s="235">
        <v>1.84723843294029</v>
      </c>
      <c r="AM195" s="224">
        <v>0.02</v>
      </c>
      <c r="AN195" s="224">
        <v>0.01</v>
      </c>
      <c r="AO195" s="232">
        <v>0</v>
      </c>
      <c r="AP195" s="232">
        <v>30</v>
      </c>
      <c r="AQ195" s="223"/>
      <c r="AR195" s="236">
        <v>55.4</v>
      </c>
      <c r="AS195" s="222">
        <v>12.2077664555871</v>
      </c>
      <c r="AT195" s="237" t="s">
        <v>55</v>
      </c>
      <c r="AU195" s="244">
        <v>0.76298540347419097</v>
      </c>
      <c r="AV195" s="227">
        <v>-23.889590239253302</v>
      </c>
      <c r="AW195" s="224"/>
      <c r="AX195" s="224"/>
      <c r="AY195" s="232">
        <v>18</v>
      </c>
      <c r="AZ195" s="232">
        <v>32</v>
      </c>
      <c r="BA195" s="223"/>
      <c r="BB195" s="240">
        <v>188.8</v>
      </c>
      <c r="BC195" s="236">
        <v>41.603362938895998</v>
      </c>
      <c r="BD195" s="237" t="s">
        <v>56</v>
      </c>
      <c r="BE195" s="234">
        <v>1.3001050918404999</v>
      </c>
      <c r="BF195" s="235">
        <v>30.2208195214935</v>
      </c>
      <c r="BG195" s="224">
        <v>0.02</v>
      </c>
      <c r="BH195" s="224">
        <v>0.02</v>
      </c>
      <c r="BI195" s="232">
        <v>0</v>
      </c>
      <c r="BJ195" s="232">
        <v>0</v>
      </c>
      <c r="BK195" s="225"/>
      <c r="BL195" s="241">
        <v>0.8</v>
      </c>
      <c r="BM195" s="244">
        <v>0.73</v>
      </c>
      <c r="BN195" s="242"/>
      <c r="BO195" s="243">
        <v>0.95</v>
      </c>
      <c r="BP195" s="234">
        <v>1</v>
      </c>
      <c r="BQ195" s="242">
        <v>2.5000000000000001E-3</v>
      </c>
    </row>
    <row r="196" spans="1:69" s="211" customFormat="1" ht="22.35" customHeight="1" x14ac:dyDescent="0.2">
      <c r="A196" s="221" t="s">
        <v>221</v>
      </c>
      <c r="B196" s="221" t="s">
        <v>261</v>
      </c>
      <c r="C196" s="221" t="s">
        <v>262</v>
      </c>
      <c r="D196" s="222">
        <v>9.6008684323333302</v>
      </c>
      <c r="E196" s="223"/>
      <c r="F196" s="224">
        <v>2.4E-2</v>
      </c>
      <c r="G196" s="224">
        <v>1.4E-2</v>
      </c>
      <c r="H196" s="225"/>
      <c r="I196" s="226">
        <v>3</v>
      </c>
      <c r="J196" s="226">
        <v>3</v>
      </c>
      <c r="K196" s="223"/>
      <c r="L196" s="227">
        <v>5148.34238</v>
      </c>
      <c r="M196" s="227">
        <v>1563.25494</v>
      </c>
      <c r="N196" s="227">
        <v>6711.5973199999999</v>
      </c>
      <c r="O196" s="222">
        <v>699.06148254224695</v>
      </c>
      <c r="P196" s="228">
        <v>270.3</v>
      </c>
      <c r="Q196" s="234">
        <v>2.5862429986764601</v>
      </c>
      <c r="R196" s="235">
        <v>3877.7320269124102</v>
      </c>
      <c r="S196" s="224">
        <v>0.01</v>
      </c>
      <c r="T196" s="224">
        <v>0.01</v>
      </c>
      <c r="U196" s="231">
        <v>0</v>
      </c>
      <c r="V196" s="232">
        <v>0</v>
      </c>
      <c r="W196" s="223"/>
      <c r="X196" s="231">
        <v>4920.4223650000004</v>
      </c>
      <c r="Y196" s="222">
        <v>512.49763494615195</v>
      </c>
      <c r="Z196" s="233">
        <v>573</v>
      </c>
      <c r="AA196" s="244">
        <v>0.89441123027251601</v>
      </c>
      <c r="AB196" s="227">
        <v>-1086.9946270058799</v>
      </c>
      <c r="AC196" s="224"/>
      <c r="AD196" s="224"/>
      <c r="AE196" s="232">
        <v>581</v>
      </c>
      <c r="AF196" s="232">
        <v>1682</v>
      </c>
      <c r="AG196" s="223"/>
      <c r="AH196" s="236">
        <v>466.6</v>
      </c>
      <c r="AI196" s="222">
        <v>48.599770248762901</v>
      </c>
      <c r="AJ196" s="237" t="s">
        <v>54</v>
      </c>
      <c r="AK196" s="244">
        <v>0.77142492458353695</v>
      </c>
      <c r="AL196" s="227">
        <v>-193.90134467080401</v>
      </c>
      <c r="AM196" s="224"/>
      <c r="AN196" s="224"/>
      <c r="AO196" s="232">
        <v>139</v>
      </c>
      <c r="AP196" s="232">
        <v>260</v>
      </c>
      <c r="AQ196" s="223"/>
      <c r="AR196" s="236">
        <v>84.8</v>
      </c>
      <c r="AS196" s="222">
        <v>8.8325343272505101</v>
      </c>
      <c r="AT196" s="237" t="s">
        <v>55</v>
      </c>
      <c r="AU196" s="229">
        <v>0.55203339545315699</v>
      </c>
      <c r="AV196" s="230">
        <v>-82.946373249727998</v>
      </c>
      <c r="AW196" s="224"/>
      <c r="AX196" s="224"/>
      <c r="AY196" s="232">
        <v>69</v>
      </c>
      <c r="AZ196" s="232">
        <v>100</v>
      </c>
      <c r="BA196" s="223"/>
      <c r="BB196" s="240">
        <v>318.60000000000002</v>
      </c>
      <c r="BC196" s="236">
        <v>33.184498073844502</v>
      </c>
      <c r="BD196" s="237" t="s">
        <v>56</v>
      </c>
      <c r="BE196" s="238">
        <v>1.03701556480764</v>
      </c>
      <c r="BF196" s="239">
        <v>-16.8927464994559</v>
      </c>
      <c r="BG196" s="224">
        <v>1.4E-2</v>
      </c>
      <c r="BH196" s="224">
        <v>4.0000000000000001E-3</v>
      </c>
      <c r="BI196" s="232">
        <v>0</v>
      </c>
      <c r="BJ196" s="232">
        <v>51</v>
      </c>
      <c r="BK196" s="225"/>
      <c r="BL196" s="241">
        <v>0.8</v>
      </c>
      <c r="BM196" s="244">
        <v>0.71</v>
      </c>
      <c r="BN196" s="242"/>
      <c r="BO196" s="243">
        <v>0.95</v>
      </c>
      <c r="BP196" s="234">
        <v>1</v>
      </c>
      <c r="BQ196" s="242">
        <v>2.5000000000000001E-3</v>
      </c>
    </row>
    <row r="197" spans="1:69" s="211" customFormat="1" ht="22.35" customHeight="1" x14ac:dyDescent="0.2">
      <c r="A197" s="221" t="s">
        <v>221</v>
      </c>
      <c r="B197" s="221" t="s">
        <v>261</v>
      </c>
      <c r="C197" s="221" t="s">
        <v>263</v>
      </c>
      <c r="D197" s="222">
        <v>4.5932318577777798</v>
      </c>
      <c r="E197" s="223"/>
      <c r="F197" s="224">
        <v>1.7000000000000001E-2</v>
      </c>
      <c r="G197" s="224">
        <v>0.01</v>
      </c>
      <c r="H197" s="225"/>
      <c r="I197" s="226">
        <v>5</v>
      </c>
      <c r="J197" s="226">
        <v>3</v>
      </c>
      <c r="K197" s="223"/>
      <c r="L197" s="227">
        <v>1825.9501299999999</v>
      </c>
      <c r="M197" s="227">
        <v>2423.0219299999999</v>
      </c>
      <c r="N197" s="227">
        <v>4248.9720600000001</v>
      </c>
      <c r="O197" s="222">
        <v>925.05063788695099</v>
      </c>
      <c r="P197" s="228">
        <v>214.857</v>
      </c>
      <c r="Q197" s="234">
        <v>4.30542471451687</v>
      </c>
      <c r="R197" s="235">
        <v>3171.2903451449201</v>
      </c>
      <c r="S197" s="224">
        <v>0.01</v>
      </c>
      <c r="T197" s="224">
        <v>0.01</v>
      </c>
      <c r="U197" s="231">
        <v>0</v>
      </c>
      <c r="V197" s="232">
        <v>0</v>
      </c>
      <c r="W197" s="223"/>
      <c r="X197" s="231">
        <v>2547.8084650000001</v>
      </c>
      <c r="Y197" s="222">
        <v>554.687536769075</v>
      </c>
      <c r="Z197" s="233">
        <v>573</v>
      </c>
      <c r="AA197" s="238">
        <v>0.96804107638582104</v>
      </c>
      <c r="AB197" s="239">
        <v>-326.25020012128101</v>
      </c>
      <c r="AC197" s="224">
        <v>6.0000000000000001E-3</v>
      </c>
      <c r="AD197" s="224"/>
      <c r="AE197" s="232">
        <v>85</v>
      </c>
      <c r="AF197" s="232">
        <v>611</v>
      </c>
      <c r="AG197" s="223"/>
      <c r="AH197" s="236">
        <v>224.15</v>
      </c>
      <c r="AI197" s="222">
        <v>48.8000621219336</v>
      </c>
      <c r="AJ197" s="237" t="s">
        <v>54</v>
      </c>
      <c r="AK197" s="244">
        <v>0.774604160665612</v>
      </c>
      <c r="AL197" s="227">
        <v>-91.845978887680104</v>
      </c>
      <c r="AM197" s="224"/>
      <c r="AN197" s="224"/>
      <c r="AO197" s="232">
        <v>66</v>
      </c>
      <c r="AP197" s="232">
        <v>124</v>
      </c>
      <c r="AQ197" s="223"/>
      <c r="AR197" s="236">
        <v>27.6</v>
      </c>
      <c r="AS197" s="222">
        <v>6.00884101969827</v>
      </c>
      <c r="AT197" s="237" t="s">
        <v>55</v>
      </c>
      <c r="AU197" s="229">
        <v>0.37555256373114199</v>
      </c>
      <c r="AV197" s="230">
        <v>-52.652947019093403</v>
      </c>
      <c r="AW197" s="224"/>
      <c r="AX197" s="224"/>
      <c r="AY197" s="232">
        <v>46</v>
      </c>
      <c r="AZ197" s="232">
        <v>61</v>
      </c>
      <c r="BA197" s="223"/>
      <c r="BB197" s="240">
        <v>134</v>
      </c>
      <c r="BC197" s="236">
        <v>29.173358573897399</v>
      </c>
      <c r="BD197" s="237" t="s">
        <v>56</v>
      </c>
      <c r="BE197" s="238">
        <v>0.91166745543429295</v>
      </c>
      <c r="BF197" s="239">
        <v>-26.5058940381867</v>
      </c>
      <c r="BG197" s="224">
        <v>1E-3</v>
      </c>
      <c r="BH197" s="224"/>
      <c r="BI197" s="232">
        <v>13</v>
      </c>
      <c r="BJ197" s="232">
        <v>43</v>
      </c>
      <c r="BK197" s="225"/>
      <c r="BL197" s="241">
        <v>0.8</v>
      </c>
      <c r="BM197" s="238">
        <v>0.81</v>
      </c>
      <c r="BN197" s="242">
        <v>3.7500000000000001E-4</v>
      </c>
      <c r="BO197" s="243">
        <v>0.95</v>
      </c>
      <c r="BP197" s="234">
        <v>1</v>
      </c>
      <c r="BQ197" s="242">
        <v>2.5000000000000001E-3</v>
      </c>
    </row>
    <row r="198" spans="1:69" s="211" customFormat="1" ht="22.35" customHeight="1" x14ac:dyDescent="0.2">
      <c r="A198" s="221" t="s">
        <v>221</v>
      </c>
      <c r="B198" s="221" t="s">
        <v>261</v>
      </c>
      <c r="C198" s="221" t="s">
        <v>264</v>
      </c>
      <c r="D198" s="222">
        <v>1.9563433723333301</v>
      </c>
      <c r="E198" s="223"/>
      <c r="F198" s="224">
        <v>4.2000000000000003E-2</v>
      </c>
      <c r="G198" s="224">
        <v>2.8000000000000001E-2</v>
      </c>
      <c r="H198" s="225"/>
      <c r="I198" s="226">
        <v>5</v>
      </c>
      <c r="J198" s="226">
        <v>5</v>
      </c>
      <c r="K198" s="223"/>
      <c r="L198" s="227">
        <v>303.43943999999999</v>
      </c>
      <c r="M198" s="227">
        <v>1727.5340900000001</v>
      </c>
      <c r="N198" s="227">
        <v>2030.97353</v>
      </c>
      <c r="O198" s="222">
        <v>1038.14778055943</v>
      </c>
      <c r="P198" s="228">
        <v>241.29400000000001</v>
      </c>
      <c r="Q198" s="234">
        <v>4.3024185456722099</v>
      </c>
      <c r="R198" s="235">
        <v>1515.4906518892899</v>
      </c>
      <c r="S198" s="224">
        <v>0.01</v>
      </c>
      <c r="T198" s="224">
        <v>0.01</v>
      </c>
      <c r="U198" s="231">
        <v>0</v>
      </c>
      <c r="V198" s="232">
        <v>0</v>
      </c>
      <c r="W198" s="223"/>
      <c r="X198" s="231">
        <v>1296.9192350000001</v>
      </c>
      <c r="Y198" s="222">
        <v>662.93026742701204</v>
      </c>
      <c r="Z198" s="233">
        <v>573</v>
      </c>
      <c r="AA198" s="234">
        <v>1.1569463654921699</v>
      </c>
      <c r="AB198" s="235">
        <v>72.803885437078193</v>
      </c>
      <c r="AC198" s="224">
        <v>0.02</v>
      </c>
      <c r="AD198" s="224">
        <v>1.6E-2</v>
      </c>
      <c r="AE198" s="232">
        <v>0</v>
      </c>
      <c r="AF198" s="232">
        <v>49</v>
      </c>
      <c r="AG198" s="223"/>
      <c r="AH198" s="236">
        <v>103.8</v>
      </c>
      <c r="AI198" s="222">
        <v>53.0581703948002</v>
      </c>
      <c r="AJ198" s="237" t="s">
        <v>54</v>
      </c>
      <c r="AK198" s="244">
        <v>0.84219318086984396</v>
      </c>
      <c r="AL198" s="227">
        <v>-30.788598643043802</v>
      </c>
      <c r="AM198" s="224"/>
      <c r="AN198" s="224"/>
      <c r="AO198" s="232">
        <v>20</v>
      </c>
      <c r="AP198" s="232">
        <v>45</v>
      </c>
      <c r="AQ198" s="223"/>
      <c r="AR198" s="236">
        <v>3.8</v>
      </c>
      <c r="AS198" s="222">
        <v>1.94239930154374</v>
      </c>
      <c r="AT198" s="237" t="s">
        <v>55</v>
      </c>
      <c r="AU198" s="229">
        <v>0.121399956346484</v>
      </c>
      <c r="AV198" s="230">
        <v>-30.381231401407899</v>
      </c>
      <c r="AW198" s="224"/>
      <c r="AX198" s="224"/>
      <c r="AY198" s="232">
        <v>28</v>
      </c>
      <c r="AZ198" s="232">
        <v>34</v>
      </c>
      <c r="BA198" s="223"/>
      <c r="BB198" s="240">
        <v>63.8</v>
      </c>
      <c r="BC198" s="236">
        <v>32.611861957497602</v>
      </c>
      <c r="BD198" s="237" t="s">
        <v>56</v>
      </c>
      <c r="BE198" s="238">
        <v>1.0191206861718001</v>
      </c>
      <c r="BF198" s="239">
        <v>-4.5624628028158796</v>
      </c>
      <c r="BG198" s="224">
        <v>1.2E-2</v>
      </c>
      <c r="BH198" s="224">
        <v>2E-3</v>
      </c>
      <c r="BI198" s="232">
        <v>0</v>
      </c>
      <c r="BJ198" s="232">
        <v>12</v>
      </c>
      <c r="BK198" s="225"/>
      <c r="BL198" s="241">
        <v>0.8</v>
      </c>
      <c r="BM198" s="238">
        <v>0.83</v>
      </c>
      <c r="BN198" s="242">
        <v>1.1249999999999999E-3</v>
      </c>
      <c r="BO198" s="243">
        <v>0.95</v>
      </c>
      <c r="BP198" s="234">
        <v>1</v>
      </c>
      <c r="BQ198" s="242">
        <v>2.5000000000000001E-3</v>
      </c>
    </row>
    <row r="199" spans="1:69" s="211" customFormat="1" ht="22.35" customHeight="1" x14ac:dyDescent="0.2">
      <c r="A199" s="221" t="s">
        <v>221</v>
      </c>
      <c r="B199" s="221" t="s">
        <v>261</v>
      </c>
      <c r="C199" s="221" t="s">
        <v>265</v>
      </c>
      <c r="D199" s="222">
        <v>2.6404956531111101</v>
      </c>
      <c r="E199" s="223"/>
      <c r="F199" s="224">
        <v>0.01</v>
      </c>
      <c r="G199" s="224">
        <v>0.01</v>
      </c>
      <c r="H199" s="225"/>
      <c r="I199" s="226">
        <v>2</v>
      </c>
      <c r="J199" s="226">
        <v>2</v>
      </c>
      <c r="K199" s="223"/>
      <c r="L199" s="227">
        <v>-450.04138999999998</v>
      </c>
      <c r="M199" s="227">
        <v>1647.8985600000001</v>
      </c>
      <c r="N199" s="227">
        <v>1197.85717</v>
      </c>
      <c r="O199" s="222">
        <v>453.64860517329299</v>
      </c>
      <c r="P199" s="228">
        <v>244.16499999999999</v>
      </c>
      <c r="Q199" s="234">
        <v>1.8579591881444699</v>
      </c>
      <c r="R199" s="235">
        <v>493.826619713073</v>
      </c>
      <c r="S199" s="224">
        <v>0.01</v>
      </c>
      <c r="T199" s="224">
        <v>0.01</v>
      </c>
      <c r="U199" s="231">
        <v>0</v>
      </c>
      <c r="V199" s="232">
        <v>0</v>
      </c>
      <c r="W199" s="223"/>
      <c r="X199" s="231">
        <v>1211.6740950000001</v>
      </c>
      <c r="Y199" s="222">
        <v>458.88130645940203</v>
      </c>
      <c r="Z199" s="233">
        <v>573</v>
      </c>
      <c r="AA199" s="244">
        <v>0.80083997636894</v>
      </c>
      <c r="AB199" s="227">
        <v>-440.52628308207102</v>
      </c>
      <c r="AC199" s="224"/>
      <c r="AD199" s="224"/>
      <c r="AE199" s="232">
        <v>302</v>
      </c>
      <c r="AF199" s="232">
        <v>604</v>
      </c>
      <c r="AG199" s="223"/>
      <c r="AH199" s="236">
        <v>103.7</v>
      </c>
      <c r="AI199" s="222">
        <v>39.2729296402429</v>
      </c>
      <c r="AJ199" s="237" t="s">
        <v>54</v>
      </c>
      <c r="AK199" s="229">
        <v>0.62337983555941201</v>
      </c>
      <c r="AL199" s="230">
        <v>-77.955538951431905</v>
      </c>
      <c r="AM199" s="224"/>
      <c r="AN199" s="224"/>
      <c r="AO199" s="232">
        <v>63</v>
      </c>
      <c r="AP199" s="232">
        <v>96</v>
      </c>
      <c r="AQ199" s="223"/>
      <c r="AR199" s="236">
        <v>11.8</v>
      </c>
      <c r="AS199" s="222">
        <v>4.4688579532774</v>
      </c>
      <c r="AT199" s="237" t="s">
        <v>55</v>
      </c>
      <c r="AU199" s="229">
        <v>0.279303622079837</v>
      </c>
      <c r="AV199" s="230">
        <v>-34.334740051157297</v>
      </c>
      <c r="AW199" s="224"/>
      <c r="AX199" s="224"/>
      <c r="AY199" s="232">
        <v>31</v>
      </c>
      <c r="AZ199" s="232">
        <v>39</v>
      </c>
      <c r="BA199" s="223"/>
      <c r="BB199" s="240">
        <v>75.2</v>
      </c>
      <c r="BC199" s="236">
        <v>28.479501532750898</v>
      </c>
      <c r="BD199" s="237" t="s">
        <v>56</v>
      </c>
      <c r="BE199" s="244">
        <v>0.88998442289846602</v>
      </c>
      <c r="BF199" s="227">
        <v>-17.0694801023146</v>
      </c>
      <c r="BG199" s="224"/>
      <c r="BH199" s="224"/>
      <c r="BI199" s="232">
        <v>10</v>
      </c>
      <c r="BJ199" s="232">
        <v>27</v>
      </c>
      <c r="BK199" s="225"/>
      <c r="BL199" s="241">
        <v>0.8</v>
      </c>
      <c r="BM199" s="244">
        <v>0.74</v>
      </c>
      <c r="BN199" s="242"/>
      <c r="BO199" s="243">
        <v>0.95</v>
      </c>
      <c r="BP199" s="234">
        <v>1</v>
      </c>
      <c r="BQ199" s="242">
        <v>2.5000000000000001E-3</v>
      </c>
    </row>
    <row r="200" spans="1:69" s="211" customFormat="1" ht="22.35" customHeight="1" x14ac:dyDescent="0.2">
      <c r="A200" s="221" t="s">
        <v>221</v>
      </c>
      <c r="B200" s="221" t="s">
        <v>261</v>
      </c>
      <c r="C200" s="221" t="s">
        <v>266</v>
      </c>
      <c r="D200" s="222">
        <v>2.692140728</v>
      </c>
      <c r="E200" s="223"/>
      <c r="F200" s="224">
        <v>4.9000000000000002E-2</v>
      </c>
      <c r="G200" s="224">
        <v>3.1E-2</v>
      </c>
      <c r="H200" s="225"/>
      <c r="I200" s="226">
        <v>6</v>
      </c>
      <c r="J200" s="226">
        <v>5</v>
      </c>
      <c r="K200" s="223"/>
      <c r="L200" s="227">
        <v>946.32518000000005</v>
      </c>
      <c r="M200" s="227">
        <v>245.24688</v>
      </c>
      <c r="N200" s="227">
        <v>1191.57206</v>
      </c>
      <c r="O200" s="222">
        <v>442.61135668239098</v>
      </c>
      <c r="P200" s="228">
        <v>217.55099999999999</v>
      </c>
      <c r="Q200" s="234">
        <v>2.0345176840482999</v>
      </c>
      <c r="R200" s="235">
        <v>552.01178499129605</v>
      </c>
      <c r="S200" s="224">
        <v>0.01</v>
      </c>
      <c r="T200" s="224">
        <v>0.01</v>
      </c>
      <c r="U200" s="231">
        <v>0</v>
      </c>
      <c r="V200" s="232">
        <v>0</v>
      </c>
      <c r="W200" s="223"/>
      <c r="X200" s="231">
        <v>1661.18706</v>
      </c>
      <c r="Y200" s="222">
        <v>617.05060315851404</v>
      </c>
      <c r="Z200" s="233">
        <v>573</v>
      </c>
      <c r="AA200" s="238">
        <v>1.0768771433830999</v>
      </c>
      <c r="AB200" s="239">
        <v>-23.328467761248</v>
      </c>
      <c r="AC200" s="224">
        <v>1.7999999999999999E-2</v>
      </c>
      <c r="AD200" s="224">
        <v>8.0000000000000002E-3</v>
      </c>
      <c r="AE200" s="232">
        <v>0</v>
      </c>
      <c r="AF200" s="232">
        <v>190</v>
      </c>
      <c r="AG200" s="223"/>
      <c r="AH200" s="236">
        <v>155.9</v>
      </c>
      <c r="AI200" s="222">
        <v>57.909305549498001</v>
      </c>
      <c r="AJ200" s="237" t="s">
        <v>54</v>
      </c>
      <c r="AK200" s="238">
        <v>0.91919532618250799</v>
      </c>
      <c r="AL200" s="239">
        <v>-29.308513523487999</v>
      </c>
      <c r="AM200" s="224">
        <v>1E-3</v>
      </c>
      <c r="AN200" s="224"/>
      <c r="AO200" s="232">
        <v>14</v>
      </c>
      <c r="AP200" s="232">
        <v>48</v>
      </c>
      <c r="AQ200" s="223"/>
      <c r="AR200" s="236">
        <v>21.8</v>
      </c>
      <c r="AS200" s="222">
        <v>8.0976450351446907</v>
      </c>
      <c r="AT200" s="237" t="s">
        <v>55</v>
      </c>
      <c r="AU200" s="229">
        <v>0.50610281469654295</v>
      </c>
      <c r="AV200" s="230">
        <v>-25.237082799616001</v>
      </c>
      <c r="AW200" s="224"/>
      <c r="AX200" s="224"/>
      <c r="AY200" s="232">
        <v>22</v>
      </c>
      <c r="AZ200" s="232">
        <v>30</v>
      </c>
      <c r="BA200" s="223"/>
      <c r="BB200" s="240">
        <v>97.4</v>
      </c>
      <c r="BC200" s="236">
        <v>36.179386533169399</v>
      </c>
      <c r="BD200" s="237" t="s">
        <v>56</v>
      </c>
      <c r="BE200" s="234">
        <v>1.13060582916154</v>
      </c>
      <c r="BF200" s="235">
        <v>3.3258344007680001</v>
      </c>
      <c r="BG200" s="224">
        <v>0.02</v>
      </c>
      <c r="BH200" s="224">
        <v>1.2999999999999999E-2</v>
      </c>
      <c r="BI200" s="232">
        <v>0</v>
      </c>
      <c r="BJ200" s="232">
        <v>6</v>
      </c>
      <c r="BK200" s="225"/>
      <c r="BL200" s="241">
        <v>0.8</v>
      </c>
      <c r="BM200" s="238">
        <v>0.81</v>
      </c>
      <c r="BN200" s="242">
        <v>3.7500000000000001E-4</v>
      </c>
      <c r="BO200" s="243">
        <v>0.95</v>
      </c>
      <c r="BP200" s="234">
        <v>1</v>
      </c>
      <c r="BQ200" s="242">
        <v>2.5000000000000001E-3</v>
      </c>
    </row>
    <row r="201" spans="1:69" s="211" customFormat="1" ht="22.35" customHeight="1" x14ac:dyDescent="0.2">
      <c r="A201" s="221" t="s">
        <v>221</v>
      </c>
      <c r="B201" s="221" t="s">
        <v>261</v>
      </c>
      <c r="C201" s="221" t="s">
        <v>267</v>
      </c>
      <c r="D201" s="222">
        <v>3.8745519713333301</v>
      </c>
      <c r="E201" s="223"/>
      <c r="F201" s="224">
        <v>0.03</v>
      </c>
      <c r="G201" s="224">
        <v>2.8000000000000001E-2</v>
      </c>
      <c r="H201" s="225"/>
      <c r="I201" s="226">
        <v>3</v>
      </c>
      <c r="J201" s="226">
        <v>3</v>
      </c>
      <c r="K201" s="223"/>
      <c r="L201" s="227">
        <v>2059.1996300000001</v>
      </c>
      <c r="M201" s="227">
        <v>2347.8413700000001</v>
      </c>
      <c r="N201" s="227">
        <v>4407.0410000000002</v>
      </c>
      <c r="O201" s="222">
        <v>1137.4324135039101</v>
      </c>
      <c r="P201" s="228">
        <v>234.35599999999999</v>
      </c>
      <c r="Q201" s="234">
        <v>4.8534384163576396</v>
      </c>
      <c r="R201" s="235">
        <v>3415.47824404118</v>
      </c>
      <c r="S201" s="224">
        <v>0.01</v>
      </c>
      <c r="T201" s="224">
        <v>0.01</v>
      </c>
      <c r="U201" s="231">
        <v>0</v>
      </c>
      <c r="V201" s="232">
        <v>0</v>
      </c>
      <c r="W201" s="223"/>
      <c r="X201" s="231">
        <v>2008.3856000000001</v>
      </c>
      <c r="Y201" s="222">
        <v>518.352990193305</v>
      </c>
      <c r="Z201" s="233">
        <v>573</v>
      </c>
      <c r="AA201" s="244">
        <v>0.90463000033735697</v>
      </c>
      <c r="AB201" s="227">
        <v>-415.98356129480601</v>
      </c>
      <c r="AC201" s="224"/>
      <c r="AD201" s="224"/>
      <c r="AE201" s="232">
        <v>212</v>
      </c>
      <c r="AF201" s="232">
        <v>656</v>
      </c>
      <c r="AG201" s="223"/>
      <c r="AH201" s="236">
        <v>221</v>
      </c>
      <c r="AI201" s="222">
        <v>57.038852913863003</v>
      </c>
      <c r="AJ201" s="237" t="s">
        <v>54</v>
      </c>
      <c r="AK201" s="244">
        <v>0.90537861768036498</v>
      </c>
      <c r="AL201" s="227">
        <v>-45.553677419847801</v>
      </c>
      <c r="AM201" s="224"/>
      <c r="AN201" s="224"/>
      <c r="AO201" s="232">
        <v>24</v>
      </c>
      <c r="AP201" s="232">
        <v>72</v>
      </c>
      <c r="AQ201" s="223"/>
      <c r="AR201" s="236">
        <v>30.6</v>
      </c>
      <c r="AS201" s="222">
        <v>7.8976873265348804</v>
      </c>
      <c r="AT201" s="237" t="s">
        <v>55</v>
      </c>
      <c r="AU201" s="229">
        <v>0.49360545790843002</v>
      </c>
      <c r="AV201" s="230">
        <v>-37.096172043135901</v>
      </c>
      <c r="AW201" s="224"/>
      <c r="AX201" s="224"/>
      <c r="AY201" s="232">
        <v>32</v>
      </c>
      <c r="AZ201" s="232">
        <v>44</v>
      </c>
      <c r="BA201" s="223"/>
      <c r="BB201" s="240">
        <v>146.19999999999999</v>
      </c>
      <c r="BC201" s="236">
        <v>37.733395004555497</v>
      </c>
      <c r="BD201" s="237" t="s">
        <v>56</v>
      </c>
      <c r="BE201" s="234">
        <v>1.17916859389236</v>
      </c>
      <c r="BF201" s="235">
        <v>10.8076559137281</v>
      </c>
      <c r="BG201" s="224">
        <v>0.02</v>
      </c>
      <c r="BH201" s="224">
        <v>1.7999999999999999E-2</v>
      </c>
      <c r="BI201" s="232">
        <v>0</v>
      </c>
      <c r="BJ201" s="232">
        <v>3</v>
      </c>
      <c r="BK201" s="225"/>
      <c r="BL201" s="241">
        <v>0.8</v>
      </c>
      <c r="BM201" s="244">
        <v>0.73</v>
      </c>
      <c r="BN201" s="242"/>
      <c r="BO201" s="243">
        <v>0.95</v>
      </c>
      <c r="BP201" s="234">
        <v>1</v>
      </c>
      <c r="BQ201" s="242">
        <v>2.5000000000000001E-3</v>
      </c>
    </row>
    <row r="202" spans="1:69" s="211" customFormat="1" ht="22.35" customHeight="1" x14ac:dyDescent="0.2">
      <c r="A202" s="221" t="s">
        <v>221</v>
      </c>
      <c r="B202" s="221" t="s">
        <v>261</v>
      </c>
      <c r="C202" s="221" t="s">
        <v>268</v>
      </c>
      <c r="D202" s="222">
        <v>3.2393056717777799</v>
      </c>
      <c r="E202" s="223"/>
      <c r="F202" s="224">
        <v>4.4999999999999998E-2</v>
      </c>
      <c r="G202" s="224">
        <v>2.8000000000000001E-2</v>
      </c>
      <c r="H202" s="225"/>
      <c r="I202" s="226">
        <v>5</v>
      </c>
      <c r="J202" s="226">
        <v>4</v>
      </c>
      <c r="K202" s="223"/>
      <c r="L202" s="227">
        <v>2424.6127799999999</v>
      </c>
      <c r="M202" s="227">
        <v>122.26648</v>
      </c>
      <c r="N202" s="227">
        <v>2546.8792600000002</v>
      </c>
      <c r="O202" s="222">
        <v>786.24233649498001</v>
      </c>
      <c r="P202" s="228">
        <v>251.035</v>
      </c>
      <c r="Q202" s="234">
        <v>3.1320028541636802</v>
      </c>
      <c r="R202" s="235">
        <v>1658.88768354831</v>
      </c>
      <c r="S202" s="224">
        <v>0.01</v>
      </c>
      <c r="T202" s="224">
        <v>0.01</v>
      </c>
      <c r="U202" s="231">
        <v>0</v>
      </c>
      <c r="V202" s="232">
        <v>0</v>
      </c>
      <c r="W202" s="223"/>
      <c r="X202" s="231">
        <v>1917.5867450000001</v>
      </c>
      <c r="Y202" s="222">
        <v>591.97462027336303</v>
      </c>
      <c r="Z202" s="233">
        <v>573</v>
      </c>
      <c r="AA202" s="238">
        <v>1.0331145205468799</v>
      </c>
      <c r="AB202" s="239">
        <v>-109.298642722105</v>
      </c>
      <c r="AC202" s="224">
        <v>1.4E-2</v>
      </c>
      <c r="AD202" s="224">
        <v>3.0000000000000001E-3</v>
      </c>
      <c r="AE202" s="232">
        <v>0</v>
      </c>
      <c r="AF202" s="232">
        <v>310</v>
      </c>
      <c r="AG202" s="223"/>
      <c r="AH202" s="236">
        <v>186.15</v>
      </c>
      <c r="AI202" s="222">
        <v>57.466018604486401</v>
      </c>
      <c r="AJ202" s="237" t="s">
        <v>54</v>
      </c>
      <c r="AK202" s="238">
        <v>0.91215902546803695</v>
      </c>
      <c r="AL202" s="239">
        <v>-36.701272995624201</v>
      </c>
      <c r="AM202" s="224">
        <v>1E-3</v>
      </c>
      <c r="AN202" s="224"/>
      <c r="AO202" s="232">
        <v>18</v>
      </c>
      <c r="AP202" s="232">
        <v>59</v>
      </c>
      <c r="AQ202" s="223"/>
      <c r="AR202" s="236">
        <v>33.1</v>
      </c>
      <c r="AS202" s="222">
        <v>10.2182391394494</v>
      </c>
      <c r="AT202" s="237" t="s">
        <v>55</v>
      </c>
      <c r="AU202" s="229">
        <v>0.63863994621558495</v>
      </c>
      <c r="AV202" s="230">
        <v>-23.497148697301402</v>
      </c>
      <c r="AW202" s="224"/>
      <c r="AX202" s="224"/>
      <c r="AY202" s="232">
        <v>19</v>
      </c>
      <c r="AZ202" s="232">
        <v>30</v>
      </c>
      <c r="BA202" s="223"/>
      <c r="BB202" s="240">
        <v>118.8</v>
      </c>
      <c r="BC202" s="236">
        <v>36.6745259748213</v>
      </c>
      <c r="BD202" s="237" t="s">
        <v>56</v>
      </c>
      <c r="BE202" s="234">
        <v>1.1460789367131601</v>
      </c>
      <c r="BF202" s="235">
        <v>5.6057026053972399</v>
      </c>
      <c r="BG202" s="224">
        <v>0.02</v>
      </c>
      <c r="BH202" s="224">
        <v>1.4999999999999999E-2</v>
      </c>
      <c r="BI202" s="232">
        <v>0</v>
      </c>
      <c r="BJ202" s="232">
        <v>6</v>
      </c>
      <c r="BK202" s="225"/>
      <c r="BL202" s="241">
        <v>0.8</v>
      </c>
      <c r="BM202" s="244">
        <v>0.74</v>
      </c>
      <c r="BN202" s="242"/>
      <c r="BO202" s="243">
        <v>0.95</v>
      </c>
      <c r="BP202" s="234">
        <v>1</v>
      </c>
      <c r="BQ202" s="242">
        <v>2.5000000000000001E-3</v>
      </c>
    </row>
    <row r="203" spans="1:69" s="211" customFormat="1" ht="22.35" customHeight="1" x14ac:dyDescent="0.2">
      <c r="A203" s="221" t="s">
        <v>221</v>
      </c>
      <c r="B203" s="221" t="s">
        <v>261</v>
      </c>
      <c r="C203" s="221" t="s">
        <v>269</v>
      </c>
      <c r="D203" s="222">
        <v>1.60228521777778</v>
      </c>
      <c r="E203" s="223"/>
      <c r="F203" s="224">
        <v>5.2999999999999999E-2</v>
      </c>
      <c r="G203" s="224">
        <v>0.05</v>
      </c>
      <c r="H203" s="225"/>
      <c r="I203" s="226">
        <v>5</v>
      </c>
      <c r="J203" s="226">
        <v>4</v>
      </c>
      <c r="K203" s="223"/>
      <c r="L203" s="227">
        <v>1407.8508899999999</v>
      </c>
      <c r="M203" s="227">
        <v>711.77932999999996</v>
      </c>
      <c r="N203" s="227">
        <v>2119.63022</v>
      </c>
      <c r="O203" s="222">
        <v>1322.87947019803</v>
      </c>
      <c r="P203" s="228">
        <v>221.102</v>
      </c>
      <c r="Q203" s="234">
        <v>5.9831185163319596</v>
      </c>
      <c r="R203" s="235">
        <v>1732.7690548865601</v>
      </c>
      <c r="S203" s="224">
        <v>0.01</v>
      </c>
      <c r="T203" s="224">
        <v>0.01</v>
      </c>
      <c r="U203" s="231">
        <v>0</v>
      </c>
      <c r="V203" s="232">
        <v>0</v>
      </c>
      <c r="W203" s="223"/>
      <c r="X203" s="231">
        <v>1481.09133</v>
      </c>
      <c r="Y203" s="222">
        <v>924.36185116538604</v>
      </c>
      <c r="Z203" s="233">
        <v>573</v>
      </c>
      <c r="AA203" s="234">
        <v>1.61319694793261</v>
      </c>
      <c r="AB203" s="235">
        <v>478.51583267295899</v>
      </c>
      <c r="AC203" s="224">
        <v>0.02</v>
      </c>
      <c r="AD203" s="224">
        <v>0.02</v>
      </c>
      <c r="AE203" s="232">
        <v>0</v>
      </c>
      <c r="AF203" s="232">
        <v>0</v>
      </c>
      <c r="AG203" s="223"/>
      <c r="AH203" s="236">
        <v>94.7</v>
      </c>
      <c r="AI203" s="222">
        <v>59.103085361631301</v>
      </c>
      <c r="AJ203" s="237" t="s">
        <v>54</v>
      </c>
      <c r="AK203" s="238">
        <v>0.93814421208938603</v>
      </c>
      <c r="AL203" s="239">
        <v>-15.5308138422402</v>
      </c>
      <c r="AM203" s="224">
        <v>3.0000000000000001E-3</v>
      </c>
      <c r="AN203" s="224"/>
      <c r="AO203" s="232">
        <v>7</v>
      </c>
      <c r="AP203" s="232">
        <v>27</v>
      </c>
      <c r="AQ203" s="223"/>
      <c r="AR203" s="236">
        <v>3</v>
      </c>
      <c r="AS203" s="222">
        <v>1.8723258298299299</v>
      </c>
      <c r="AT203" s="237" t="s">
        <v>55</v>
      </c>
      <c r="AU203" s="229">
        <v>0.11702036436437099</v>
      </c>
      <c r="AV203" s="230">
        <v>-24.995127325013399</v>
      </c>
      <c r="AW203" s="224"/>
      <c r="AX203" s="224"/>
      <c r="AY203" s="232">
        <v>23</v>
      </c>
      <c r="AZ203" s="232">
        <v>28</v>
      </c>
      <c r="BA203" s="223"/>
      <c r="BB203" s="240">
        <v>61.6</v>
      </c>
      <c r="BC203" s="236">
        <v>38.445090372507799</v>
      </c>
      <c r="BD203" s="237" t="s">
        <v>56</v>
      </c>
      <c r="BE203" s="234">
        <v>1.2014090741408701</v>
      </c>
      <c r="BF203" s="235">
        <v>5.6097453499732497</v>
      </c>
      <c r="BG203" s="224">
        <v>0.02</v>
      </c>
      <c r="BH203" s="224">
        <v>0.02</v>
      </c>
      <c r="BI203" s="232">
        <v>0</v>
      </c>
      <c r="BJ203" s="232">
        <v>0</v>
      </c>
      <c r="BK203" s="225"/>
      <c r="BL203" s="241">
        <v>0.8</v>
      </c>
      <c r="BM203" s="244">
        <v>0.79</v>
      </c>
      <c r="BN203" s="242"/>
      <c r="BO203" s="243">
        <v>0.95</v>
      </c>
      <c r="BP203" s="234">
        <v>1</v>
      </c>
      <c r="BQ203" s="242">
        <v>2.5000000000000001E-3</v>
      </c>
    </row>
    <row r="204" spans="1:69" s="211" customFormat="1" ht="22.35" customHeight="1" x14ac:dyDescent="0.2">
      <c r="A204" s="221" t="s">
        <v>221</v>
      </c>
      <c r="B204" s="221" t="s">
        <v>261</v>
      </c>
      <c r="C204" s="221" t="s">
        <v>270</v>
      </c>
      <c r="D204" s="222">
        <v>2.8902111342222199</v>
      </c>
      <c r="E204" s="223"/>
      <c r="F204" s="224">
        <v>0.03</v>
      </c>
      <c r="G204" s="224">
        <v>2.4E-2</v>
      </c>
      <c r="H204" s="225"/>
      <c r="I204" s="226">
        <v>4</v>
      </c>
      <c r="J204" s="226">
        <v>4</v>
      </c>
      <c r="K204" s="223"/>
      <c r="L204" s="227">
        <v>1599.75488</v>
      </c>
      <c r="M204" s="227">
        <v>978.95255999999995</v>
      </c>
      <c r="N204" s="227">
        <v>2578.7074400000001</v>
      </c>
      <c r="O204" s="222">
        <v>892.22112857645902</v>
      </c>
      <c r="P204" s="228">
        <v>220.88900000000001</v>
      </c>
      <c r="Q204" s="234">
        <v>4.0392284295572001</v>
      </c>
      <c r="R204" s="235">
        <v>1881.5573348278799</v>
      </c>
      <c r="S204" s="224">
        <v>0.01</v>
      </c>
      <c r="T204" s="224">
        <v>0.01</v>
      </c>
      <c r="U204" s="231">
        <v>0</v>
      </c>
      <c r="V204" s="232">
        <v>0</v>
      </c>
      <c r="W204" s="223"/>
      <c r="X204" s="231">
        <v>1885.0592349999999</v>
      </c>
      <c r="Y204" s="222">
        <v>652.22198222113104</v>
      </c>
      <c r="Z204" s="233">
        <v>573</v>
      </c>
      <c r="AA204" s="234">
        <v>1.13825825867562</v>
      </c>
      <c r="AB204" s="235">
        <v>76.607884939009594</v>
      </c>
      <c r="AC204" s="224">
        <v>0.02</v>
      </c>
      <c r="AD204" s="224">
        <v>1.4E-2</v>
      </c>
      <c r="AE204" s="232">
        <v>0</v>
      </c>
      <c r="AF204" s="232">
        <v>103</v>
      </c>
      <c r="AG204" s="223"/>
      <c r="AH204" s="236">
        <v>115.15</v>
      </c>
      <c r="AI204" s="222">
        <v>39.841379972742999</v>
      </c>
      <c r="AJ204" s="237" t="s">
        <v>54</v>
      </c>
      <c r="AK204" s="229">
        <v>0.63240285671020602</v>
      </c>
      <c r="AL204" s="230">
        <v>-83.684965189951797</v>
      </c>
      <c r="AM204" s="224"/>
      <c r="AN204" s="224"/>
      <c r="AO204" s="232">
        <v>67</v>
      </c>
      <c r="AP204" s="232">
        <v>104</v>
      </c>
      <c r="AQ204" s="223"/>
      <c r="AR204" s="236">
        <v>12.5</v>
      </c>
      <c r="AS204" s="222">
        <v>4.3249435489299799</v>
      </c>
      <c r="AT204" s="237" t="s">
        <v>55</v>
      </c>
      <c r="AU204" s="229">
        <v>0.27030897180812402</v>
      </c>
      <c r="AV204" s="230">
        <v>-37.997768937130601</v>
      </c>
      <c r="AW204" s="224"/>
      <c r="AX204" s="224"/>
      <c r="AY204" s="232">
        <v>34</v>
      </c>
      <c r="AZ204" s="232">
        <v>43</v>
      </c>
      <c r="BA204" s="223"/>
      <c r="BB204" s="240">
        <v>71.8</v>
      </c>
      <c r="BC204" s="236">
        <v>24.8424757450538</v>
      </c>
      <c r="BD204" s="237" t="s">
        <v>56</v>
      </c>
      <c r="BE204" s="244">
        <v>0.77632736703293104</v>
      </c>
      <c r="BF204" s="227">
        <v>-29.195537874261301</v>
      </c>
      <c r="BG204" s="224"/>
      <c r="BH204" s="224"/>
      <c r="BI204" s="232">
        <v>21</v>
      </c>
      <c r="BJ204" s="232">
        <v>40</v>
      </c>
      <c r="BK204" s="225"/>
      <c r="BL204" s="241">
        <v>0.8</v>
      </c>
      <c r="BM204" s="238">
        <v>0.82</v>
      </c>
      <c r="BN204" s="242">
        <v>7.5000000000000002E-4</v>
      </c>
      <c r="BO204" s="243">
        <v>0.95</v>
      </c>
      <c r="BP204" s="234">
        <v>1</v>
      </c>
      <c r="BQ204" s="242">
        <v>2.5000000000000001E-3</v>
      </c>
    </row>
    <row r="205" spans="1:69" s="211" customFormat="1" ht="22.35" customHeight="1" x14ac:dyDescent="0.2">
      <c r="A205" s="221" t="s">
        <v>221</v>
      </c>
      <c r="B205" s="221" t="s">
        <v>261</v>
      </c>
      <c r="C205" s="221" t="s">
        <v>271</v>
      </c>
      <c r="D205" s="222">
        <v>2.6579356497777802</v>
      </c>
      <c r="E205" s="223"/>
      <c r="F205" s="224">
        <v>5.6000000000000001E-2</v>
      </c>
      <c r="G205" s="224">
        <v>4.9000000000000002E-2</v>
      </c>
      <c r="H205" s="225"/>
      <c r="I205" s="226">
        <v>5</v>
      </c>
      <c r="J205" s="226">
        <v>4</v>
      </c>
      <c r="K205" s="223"/>
      <c r="L205" s="227">
        <v>788.83311000000003</v>
      </c>
      <c r="M205" s="227">
        <v>808.05768999999998</v>
      </c>
      <c r="N205" s="227">
        <v>1596.8907999999999</v>
      </c>
      <c r="O205" s="222">
        <v>600.80115187646095</v>
      </c>
      <c r="P205" s="228">
        <v>221.102</v>
      </c>
      <c r="Q205" s="234">
        <v>2.7173031084135899</v>
      </c>
      <c r="R205" s="235">
        <v>955.14982226341397</v>
      </c>
      <c r="S205" s="224">
        <v>0.01</v>
      </c>
      <c r="T205" s="224">
        <v>0.01</v>
      </c>
      <c r="U205" s="231">
        <v>0</v>
      </c>
      <c r="V205" s="232">
        <v>0</v>
      </c>
      <c r="W205" s="223"/>
      <c r="X205" s="231">
        <v>1805.5450249999999</v>
      </c>
      <c r="Y205" s="222">
        <v>679.30351329271502</v>
      </c>
      <c r="Z205" s="233">
        <v>573</v>
      </c>
      <c r="AA205" s="234">
        <v>1.18552096560683</v>
      </c>
      <c r="AB205" s="235">
        <v>142.43216196364699</v>
      </c>
      <c r="AC205" s="224">
        <v>0.02</v>
      </c>
      <c r="AD205" s="224">
        <v>1.9E-2</v>
      </c>
      <c r="AE205" s="232">
        <v>0</v>
      </c>
      <c r="AF205" s="232">
        <v>23</v>
      </c>
      <c r="AG205" s="223"/>
      <c r="AH205" s="236">
        <v>161.1</v>
      </c>
      <c r="AI205" s="222">
        <v>60.610948204659898</v>
      </c>
      <c r="AJ205" s="237" t="s">
        <v>54</v>
      </c>
      <c r="AK205" s="238">
        <v>0.96207854293110995</v>
      </c>
      <c r="AL205" s="239">
        <v>-21.7553409621122</v>
      </c>
      <c r="AM205" s="224">
        <v>6.0000000000000001E-3</v>
      </c>
      <c r="AN205" s="224"/>
      <c r="AO205" s="232">
        <v>7</v>
      </c>
      <c r="AP205" s="232">
        <v>40</v>
      </c>
      <c r="AQ205" s="223"/>
      <c r="AR205" s="236">
        <v>16</v>
      </c>
      <c r="AS205" s="222">
        <v>6.0197093188985598</v>
      </c>
      <c r="AT205" s="237" t="s">
        <v>55</v>
      </c>
      <c r="AU205" s="229">
        <v>0.37623183243115998</v>
      </c>
      <c r="AV205" s="230">
        <v>-30.4394516729174</v>
      </c>
      <c r="AW205" s="224"/>
      <c r="AX205" s="224"/>
      <c r="AY205" s="232">
        <v>27</v>
      </c>
      <c r="AZ205" s="232">
        <v>36</v>
      </c>
      <c r="BA205" s="223"/>
      <c r="BB205" s="240">
        <v>121.4</v>
      </c>
      <c r="BC205" s="236">
        <v>45.6745444571429</v>
      </c>
      <c r="BD205" s="237" t="s">
        <v>56</v>
      </c>
      <c r="BE205" s="234">
        <v>1.4273295142857101</v>
      </c>
      <c r="BF205" s="235">
        <v>28.521096654165301</v>
      </c>
      <c r="BG205" s="224">
        <v>0.02</v>
      </c>
      <c r="BH205" s="224">
        <v>0.02</v>
      </c>
      <c r="BI205" s="232">
        <v>0</v>
      </c>
      <c r="BJ205" s="232">
        <v>0</v>
      </c>
      <c r="BK205" s="225"/>
      <c r="BL205" s="241">
        <v>0.8</v>
      </c>
      <c r="BM205" s="244">
        <v>0.78</v>
      </c>
      <c r="BN205" s="242"/>
      <c r="BO205" s="243">
        <v>0.95</v>
      </c>
      <c r="BP205" s="234">
        <v>1</v>
      </c>
      <c r="BQ205" s="242">
        <v>2.5000000000000001E-3</v>
      </c>
    </row>
    <row r="206" spans="1:69" s="211" customFormat="1" ht="22.35" customHeight="1" x14ac:dyDescent="0.2">
      <c r="A206" s="221" t="s">
        <v>221</v>
      </c>
      <c r="B206" s="221" t="s">
        <v>261</v>
      </c>
      <c r="C206" s="221" t="s">
        <v>272</v>
      </c>
      <c r="D206" s="222">
        <v>1.9523576782222201</v>
      </c>
      <c r="E206" s="223"/>
      <c r="F206" s="224">
        <v>0.01</v>
      </c>
      <c r="G206" s="224">
        <v>0.01</v>
      </c>
      <c r="H206" s="225"/>
      <c r="I206" s="226">
        <v>3</v>
      </c>
      <c r="J206" s="226">
        <v>3</v>
      </c>
      <c r="K206" s="223"/>
      <c r="L206" s="227">
        <v>816.61617999999999</v>
      </c>
      <c r="M206" s="227">
        <v>856.74681999999996</v>
      </c>
      <c r="N206" s="227">
        <v>1673.3630000000001</v>
      </c>
      <c r="O206" s="222">
        <v>857.098583249218</v>
      </c>
      <c r="P206" s="228">
        <v>214.857</v>
      </c>
      <c r="Q206" s="234">
        <v>3.9891582924885798</v>
      </c>
      <c r="R206" s="235">
        <v>1215.2933366725899</v>
      </c>
      <c r="S206" s="224">
        <v>0.01</v>
      </c>
      <c r="T206" s="224">
        <v>0.01</v>
      </c>
      <c r="U206" s="231">
        <v>0</v>
      </c>
      <c r="V206" s="232">
        <v>0</v>
      </c>
      <c r="W206" s="223"/>
      <c r="X206" s="231">
        <v>578.83443499999998</v>
      </c>
      <c r="Y206" s="222">
        <v>296.47970833247899</v>
      </c>
      <c r="Z206" s="233">
        <v>573</v>
      </c>
      <c r="AA206" s="229">
        <v>0.51741659394848005</v>
      </c>
      <c r="AB206" s="230">
        <v>-642.78700198649403</v>
      </c>
      <c r="AC206" s="224"/>
      <c r="AD206" s="224"/>
      <c r="AE206" s="232">
        <v>540</v>
      </c>
      <c r="AF206" s="232">
        <v>764</v>
      </c>
      <c r="AG206" s="223"/>
      <c r="AH206" s="236">
        <v>56</v>
      </c>
      <c r="AI206" s="222">
        <v>28.68326875995</v>
      </c>
      <c r="AJ206" s="237" t="s">
        <v>54</v>
      </c>
      <c r="AK206" s="229">
        <v>0.45528998031666701</v>
      </c>
      <c r="AL206" s="230">
        <v>-78.314398830975804</v>
      </c>
      <c r="AM206" s="224"/>
      <c r="AN206" s="224"/>
      <c r="AO206" s="232">
        <v>67</v>
      </c>
      <c r="AP206" s="232">
        <v>92</v>
      </c>
      <c r="AQ206" s="223"/>
      <c r="AR206" s="236">
        <v>8.6</v>
      </c>
      <c r="AS206" s="222">
        <v>4.4049305595637502</v>
      </c>
      <c r="AT206" s="237" t="s">
        <v>55</v>
      </c>
      <c r="AU206" s="229">
        <v>0.275308159972734</v>
      </c>
      <c r="AV206" s="230">
        <v>-25.511593353898601</v>
      </c>
      <c r="AW206" s="224"/>
      <c r="AX206" s="224"/>
      <c r="AY206" s="232">
        <v>23</v>
      </c>
      <c r="AZ206" s="232">
        <v>29</v>
      </c>
      <c r="BA206" s="223"/>
      <c r="BB206" s="240">
        <v>35.6</v>
      </c>
      <c r="BC206" s="236">
        <v>18.234363711682501</v>
      </c>
      <c r="BD206" s="237" t="s">
        <v>56</v>
      </c>
      <c r="BE206" s="229">
        <v>0.56982386599007795</v>
      </c>
      <c r="BF206" s="230">
        <v>-32.623186707797302</v>
      </c>
      <c r="BG206" s="224"/>
      <c r="BH206" s="224"/>
      <c r="BI206" s="232">
        <v>27</v>
      </c>
      <c r="BJ206" s="232">
        <v>40</v>
      </c>
      <c r="BK206" s="225"/>
      <c r="BL206" s="241">
        <v>0.8</v>
      </c>
      <c r="BM206" s="238">
        <v>0.83</v>
      </c>
      <c r="BN206" s="242">
        <v>1.1249999999999999E-3</v>
      </c>
      <c r="BO206" s="243">
        <v>0.95</v>
      </c>
      <c r="BP206" s="234">
        <v>1</v>
      </c>
      <c r="BQ206" s="242">
        <v>2.5000000000000001E-3</v>
      </c>
    </row>
    <row r="207" spans="1:69" s="211" customFormat="1" ht="22.35" customHeight="1" x14ac:dyDescent="0.2">
      <c r="A207" s="221" t="s">
        <v>221</v>
      </c>
      <c r="B207" s="221" t="s">
        <v>261</v>
      </c>
      <c r="C207" s="221" t="s">
        <v>273</v>
      </c>
      <c r="D207" s="222">
        <v>9.0627591208888898</v>
      </c>
      <c r="E207" s="223"/>
      <c r="F207" s="224">
        <v>5.3999999999999999E-2</v>
      </c>
      <c r="G207" s="224">
        <v>4.1000000000000002E-2</v>
      </c>
      <c r="H207" s="225"/>
      <c r="I207" s="226">
        <v>5</v>
      </c>
      <c r="J207" s="226">
        <v>4</v>
      </c>
      <c r="K207" s="223"/>
      <c r="L207" s="227">
        <v>4781.7114000000001</v>
      </c>
      <c r="M207" s="227">
        <v>2718.9924799999999</v>
      </c>
      <c r="N207" s="227">
        <v>7500.70388</v>
      </c>
      <c r="O207" s="222">
        <v>827.64021198704404</v>
      </c>
      <c r="P207" s="228">
        <v>241.29400000000001</v>
      </c>
      <c r="Q207" s="234">
        <v>3.4300074265710898</v>
      </c>
      <c r="R207" s="235">
        <v>5112.7298559471901</v>
      </c>
      <c r="S207" s="224">
        <v>0.01</v>
      </c>
      <c r="T207" s="224">
        <v>0.01</v>
      </c>
      <c r="U207" s="231">
        <v>0</v>
      </c>
      <c r="V207" s="232">
        <v>0</v>
      </c>
      <c r="W207" s="223"/>
      <c r="X207" s="231">
        <v>5755.2518449999998</v>
      </c>
      <c r="Y207" s="222">
        <v>635.04411495773195</v>
      </c>
      <c r="Z207" s="233">
        <v>573</v>
      </c>
      <c r="AA207" s="234">
        <v>1.1082794327360099</v>
      </c>
      <c r="AB207" s="235">
        <v>84.538458913887595</v>
      </c>
      <c r="AC207" s="224">
        <v>0.02</v>
      </c>
      <c r="AD207" s="224">
        <v>1.0999999999999999E-2</v>
      </c>
      <c r="AE207" s="232">
        <v>0</v>
      </c>
      <c r="AF207" s="232">
        <v>477</v>
      </c>
      <c r="AG207" s="223"/>
      <c r="AH207" s="236">
        <v>539.6</v>
      </c>
      <c r="AI207" s="222">
        <v>59.540366548667002</v>
      </c>
      <c r="AJ207" s="237" t="s">
        <v>54</v>
      </c>
      <c r="AK207" s="238">
        <v>0.94508518331217495</v>
      </c>
      <c r="AL207" s="239">
        <v>-83.881576480672194</v>
      </c>
      <c r="AM207" s="224">
        <v>4.0000000000000001E-3</v>
      </c>
      <c r="AN207" s="224"/>
      <c r="AO207" s="232">
        <v>32</v>
      </c>
      <c r="AP207" s="232">
        <v>146</v>
      </c>
      <c r="AQ207" s="223"/>
      <c r="AR207" s="236">
        <v>124.4</v>
      </c>
      <c r="AS207" s="222">
        <v>13.726504074599999</v>
      </c>
      <c r="AT207" s="237" t="s">
        <v>55</v>
      </c>
      <c r="AU207" s="244">
        <v>0.85790650466250196</v>
      </c>
      <c r="AV207" s="227">
        <v>-33.944527360170703</v>
      </c>
      <c r="AW207" s="224"/>
      <c r="AX207" s="224"/>
      <c r="AY207" s="232">
        <v>21</v>
      </c>
      <c r="AZ207" s="232">
        <v>50</v>
      </c>
      <c r="BA207" s="223"/>
      <c r="BB207" s="240">
        <v>376.8</v>
      </c>
      <c r="BC207" s="236">
        <v>41.576742245251602</v>
      </c>
      <c r="BD207" s="237" t="s">
        <v>56</v>
      </c>
      <c r="BE207" s="234">
        <v>1.2992731951641101</v>
      </c>
      <c r="BF207" s="235">
        <v>60.110945279658601</v>
      </c>
      <c r="BG207" s="224">
        <v>0.02</v>
      </c>
      <c r="BH207" s="224">
        <v>0.02</v>
      </c>
      <c r="BI207" s="232">
        <v>0</v>
      </c>
      <c r="BJ207" s="232">
        <v>0</v>
      </c>
      <c r="BK207" s="225"/>
      <c r="BL207" s="241">
        <v>0.8</v>
      </c>
      <c r="BM207" s="244">
        <v>0.77</v>
      </c>
      <c r="BN207" s="242"/>
      <c r="BO207" s="243">
        <v>0.95</v>
      </c>
      <c r="BP207" s="234">
        <v>1</v>
      </c>
      <c r="BQ207" s="242">
        <v>2.5000000000000001E-3</v>
      </c>
    </row>
    <row r="208" spans="1:69" s="211" customFormat="1" ht="22.35" customHeight="1" x14ac:dyDescent="0.2">
      <c r="A208" s="221" t="s">
        <v>221</v>
      </c>
      <c r="B208" s="221" t="s">
        <v>261</v>
      </c>
      <c r="C208" s="221" t="s">
        <v>274</v>
      </c>
      <c r="D208" s="222">
        <v>3.7574485252222201</v>
      </c>
      <c r="E208" s="223"/>
      <c r="F208" s="224">
        <v>4.4999999999999998E-2</v>
      </c>
      <c r="G208" s="224">
        <v>3.4000000000000002E-2</v>
      </c>
      <c r="H208" s="225"/>
      <c r="I208" s="226">
        <v>5</v>
      </c>
      <c r="J208" s="226">
        <v>5</v>
      </c>
      <c r="K208" s="223"/>
      <c r="L208" s="227">
        <v>1983.7904699999999</v>
      </c>
      <c r="M208" s="227">
        <v>1246.5414000000001</v>
      </c>
      <c r="N208" s="227">
        <v>3230.33187</v>
      </c>
      <c r="O208" s="222">
        <v>859.71420455026805</v>
      </c>
      <c r="P208" s="228">
        <v>224.04499999999999</v>
      </c>
      <c r="Q208" s="234">
        <v>3.8372389678424801</v>
      </c>
      <c r="R208" s="235">
        <v>2311.0452601219099</v>
      </c>
      <c r="S208" s="224">
        <v>0.01</v>
      </c>
      <c r="T208" s="224">
        <v>0.01</v>
      </c>
      <c r="U208" s="231">
        <v>0</v>
      </c>
      <c r="V208" s="232">
        <v>0</v>
      </c>
      <c r="W208" s="223"/>
      <c r="X208" s="231">
        <v>2880.3030549999999</v>
      </c>
      <c r="Y208" s="222">
        <v>766.55822046947503</v>
      </c>
      <c r="Z208" s="233">
        <v>573</v>
      </c>
      <c r="AA208" s="234">
        <v>1.3377979414825001</v>
      </c>
      <c r="AB208" s="235">
        <v>529.20739359205402</v>
      </c>
      <c r="AC208" s="224">
        <v>0.02</v>
      </c>
      <c r="AD208" s="224">
        <v>0.02</v>
      </c>
      <c r="AE208" s="232">
        <v>0</v>
      </c>
      <c r="AF208" s="232">
        <v>0</v>
      </c>
      <c r="AG208" s="223"/>
      <c r="AH208" s="236">
        <v>188.4</v>
      </c>
      <c r="AI208" s="222">
        <v>50.140407442802598</v>
      </c>
      <c r="AJ208" s="237" t="s">
        <v>54</v>
      </c>
      <c r="AK208" s="244">
        <v>0.79587948321908897</v>
      </c>
      <c r="AL208" s="227">
        <v>-70.097428741187798</v>
      </c>
      <c r="AM208" s="224"/>
      <c r="AN208" s="224"/>
      <c r="AO208" s="232">
        <v>49</v>
      </c>
      <c r="AP208" s="232">
        <v>96</v>
      </c>
      <c r="AQ208" s="223"/>
      <c r="AR208" s="236">
        <v>31.4</v>
      </c>
      <c r="AS208" s="222">
        <v>8.3567345738004306</v>
      </c>
      <c r="AT208" s="237" t="s">
        <v>55</v>
      </c>
      <c r="AU208" s="229">
        <v>0.52229591086252702</v>
      </c>
      <c r="AV208" s="230">
        <v>-34.250140632682601</v>
      </c>
      <c r="AW208" s="224"/>
      <c r="AX208" s="224"/>
      <c r="AY208" s="232">
        <v>29</v>
      </c>
      <c r="AZ208" s="232">
        <v>41</v>
      </c>
      <c r="BA208" s="223"/>
      <c r="BB208" s="240">
        <v>125.4</v>
      </c>
      <c r="BC208" s="236">
        <v>33.373710686451403</v>
      </c>
      <c r="BD208" s="237" t="s">
        <v>56</v>
      </c>
      <c r="BE208" s="238">
        <v>1.0429284589516099</v>
      </c>
      <c r="BF208" s="239">
        <v>-5.9002812653652397</v>
      </c>
      <c r="BG208" s="224">
        <v>1.4999999999999999E-2</v>
      </c>
      <c r="BH208" s="224">
        <v>4.0000000000000001E-3</v>
      </c>
      <c r="BI208" s="232">
        <v>0</v>
      </c>
      <c r="BJ208" s="232">
        <v>19</v>
      </c>
      <c r="BK208" s="225"/>
      <c r="BL208" s="241">
        <v>0.8</v>
      </c>
      <c r="BM208" s="238">
        <v>0.81</v>
      </c>
      <c r="BN208" s="242">
        <v>3.7500000000000001E-4</v>
      </c>
      <c r="BO208" s="243">
        <v>0.95</v>
      </c>
      <c r="BP208" s="234">
        <v>1</v>
      </c>
      <c r="BQ208" s="242">
        <v>2.5000000000000001E-3</v>
      </c>
    </row>
    <row r="209" spans="1:69" s="211" customFormat="1" ht="22.35" customHeight="1" x14ac:dyDescent="0.2">
      <c r="A209" s="221" t="s">
        <v>221</v>
      </c>
      <c r="B209" s="221" t="s">
        <v>261</v>
      </c>
      <c r="C209" s="221" t="s">
        <v>275</v>
      </c>
      <c r="D209" s="222">
        <v>2.624758167</v>
      </c>
      <c r="E209" s="223"/>
      <c r="F209" s="224">
        <v>5.0999999999999997E-2</v>
      </c>
      <c r="G209" s="224">
        <v>3.3000000000000002E-2</v>
      </c>
      <c r="H209" s="225"/>
      <c r="I209" s="226">
        <v>5</v>
      </c>
      <c r="J209" s="226">
        <v>4</v>
      </c>
      <c r="K209" s="223"/>
      <c r="L209" s="227">
        <v>1598.05528</v>
      </c>
      <c r="M209" s="227">
        <v>465.10442999999998</v>
      </c>
      <c r="N209" s="227">
        <v>2063.1597099999999</v>
      </c>
      <c r="O209" s="222">
        <v>786.03801902181101</v>
      </c>
      <c r="P209" s="228">
        <v>262.75900000000001</v>
      </c>
      <c r="Q209" s="234">
        <v>2.9914789560845101</v>
      </c>
      <c r="R209" s="235">
        <v>1310.03042632659</v>
      </c>
      <c r="S209" s="224">
        <v>0.01</v>
      </c>
      <c r="T209" s="224">
        <v>0.01</v>
      </c>
      <c r="U209" s="231">
        <v>0</v>
      </c>
      <c r="V209" s="232">
        <v>0</v>
      </c>
      <c r="W209" s="223"/>
      <c r="X209" s="231">
        <v>1476.2084600000001</v>
      </c>
      <c r="Y209" s="222">
        <v>562.41694132425596</v>
      </c>
      <c r="Z209" s="233">
        <v>573</v>
      </c>
      <c r="AA209" s="238">
        <v>0.98153043861126699</v>
      </c>
      <c r="AB209" s="239">
        <v>-166.144721222572</v>
      </c>
      <c r="AC209" s="224">
        <v>8.0000000000000002E-3</v>
      </c>
      <c r="AD209" s="224"/>
      <c r="AE209" s="232">
        <v>28</v>
      </c>
      <c r="AF209" s="232">
        <v>329</v>
      </c>
      <c r="AG209" s="223"/>
      <c r="AH209" s="236">
        <v>170.35</v>
      </c>
      <c r="AI209" s="222">
        <v>64.901217240407206</v>
      </c>
      <c r="AJ209" s="237" t="s">
        <v>54</v>
      </c>
      <c r="AK209" s="238">
        <v>1.0301780514350301</v>
      </c>
      <c r="AL209" s="239">
        <v>-10.222862856932</v>
      </c>
      <c r="AM209" s="224">
        <v>1.2999999999999999E-2</v>
      </c>
      <c r="AN209" s="224">
        <v>3.0000000000000001E-3</v>
      </c>
      <c r="AO209" s="232">
        <v>0</v>
      </c>
      <c r="AP209" s="232">
        <v>29</v>
      </c>
      <c r="AQ209" s="223"/>
      <c r="AR209" s="236">
        <v>6.6</v>
      </c>
      <c r="AS209" s="222">
        <v>2.5145173688681401</v>
      </c>
      <c r="AT209" s="237" t="s">
        <v>55</v>
      </c>
      <c r="AU209" s="229">
        <v>0.15715733555425901</v>
      </c>
      <c r="AV209" s="230">
        <v>-39.259774693823999</v>
      </c>
      <c r="AW209" s="224"/>
      <c r="AX209" s="224"/>
      <c r="AY209" s="232">
        <v>36</v>
      </c>
      <c r="AZ209" s="232">
        <v>44</v>
      </c>
      <c r="BA209" s="223"/>
      <c r="BB209" s="240">
        <v>106</v>
      </c>
      <c r="BC209" s="236">
        <v>40.384672893942799</v>
      </c>
      <c r="BD209" s="237" t="s">
        <v>56</v>
      </c>
      <c r="BE209" s="234">
        <v>1.26202102793571</v>
      </c>
      <c r="BF209" s="235">
        <v>14.280450612352</v>
      </c>
      <c r="BG209" s="224">
        <v>0.02</v>
      </c>
      <c r="BH209" s="224">
        <v>0.02</v>
      </c>
      <c r="BI209" s="232">
        <v>0</v>
      </c>
      <c r="BJ209" s="232">
        <v>0</v>
      </c>
      <c r="BK209" s="225"/>
      <c r="BL209" s="241">
        <v>0.8</v>
      </c>
      <c r="BM209" s="244">
        <v>0.75</v>
      </c>
      <c r="BN209" s="242"/>
      <c r="BO209" s="243">
        <v>0.95</v>
      </c>
      <c r="BP209" s="234">
        <v>1</v>
      </c>
      <c r="BQ209" s="242">
        <v>2.5000000000000001E-3</v>
      </c>
    </row>
    <row r="210" spans="1:69" s="211" customFormat="1" ht="22.35" customHeight="1" x14ac:dyDescent="0.2">
      <c r="A210" s="221" t="s">
        <v>276</v>
      </c>
      <c r="B210" s="221" t="s">
        <v>277</v>
      </c>
      <c r="C210" s="221" t="s">
        <v>278</v>
      </c>
      <c r="D210" s="222">
        <v>3.8480691394444402</v>
      </c>
      <c r="E210" s="223"/>
      <c r="F210" s="224">
        <v>5.3999999999999999E-2</v>
      </c>
      <c r="G210" s="224">
        <v>0.05</v>
      </c>
      <c r="H210" s="225"/>
      <c r="I210" s="226">
        <v>5</v>
      </c>
      <c r="J210" s="226">
        <v>4</v>
      </c>
      <c r="K210" s="223"/>
      <c r="L210" s="227">
        <v>4395.6217200000001</v>
      </c>
      <c r="M210" s="227">
        <v>627.09063000000003</v>
      </c>
      <c r="N210" s="227">
        <v>5022.7123499999998</v>
      </c>
      <c r="O210" s="222">
        <v>1305.2552248905599</v>
      </c>
      <c r="P210" s="228">
        <v>287.5</v>
      </c>
      <c r="Q210" s="234">
        <v>4.5400181735323804</v>
      </c>
      <c r="R210" s="235">
        <v>3814.6110436714198</v>
      </c>
      <c r="S210" s="224">
        <v>0.01</v>
      </c>
      <c r="T210" s="224">
        <v>0.01</v>
      </c>
      <c r="U210" s="231">
        <v>0</v>
      </c>
      <c r="V210" s="232">
        <v>0</v>
      </c>
      <c r="W210" s="223"/>
      <c r="X210" s="231">
        <v>3546.1872600000002</v>
      </c>
      <c r="Y210" s="222">
        <v>921.54977769239702</v>
      </c>
      <c r="Z210" s="233">
        <v>573</v>
      </c>
      <c r="AA210" s="234">
        <v>1.6082893153444999</v>
      </c>
      <c r="AB210" s="235">
        <v>1138.3888303433801</v>
      </c>
      <c r="AC210" s="224">
        <v>0.02</v>
      </c>
      <c r="AD210" s="224">
        <v>0.02</v>
      </c>
      <c r="AE210" s="232">
        <v>0</v>
      </c>
      <c r="AF210" s="232">
        <v>0</v>
      </c>
      <c r="AG210" s="223"/>
      <c r="AH210" s="236">
        <v>229.25</v>
      </c>
      <c r="AI210" s="222">
        <v>59.575332898799601</v>
      </c>
      <c r="AJ210" s="237" t="s">
        <v>54</v>
      </c>
      <c r="AK210" s="238">
        <v>0.94564020474285004</v>
      </c>
      <c r="AL210" s="239">
        <v>-35.481764517219702</v>
      </c>
      <c r="AM210" s="224">
        <v>4.0000000000000001E-3</v>
      </c>
      <c r="AN210" s="224"/>
      <c r="AO210" s="232">
        <v>14</v>
      </c>
      <c r="AP210" s="232">
        <v>62</v>
      </c>
      <c r="AQ210" s="223"/>
      <c r="AR210" s="236">
        <v>41.7</v>
      </c>
      <c r="AS210" s="222">
        <v>10.836603628701999</v>
      </c>
      <c r="AT210" s="237" t="s">
        <v>55</v>
      </c>
      <c r="AU210" s="229">
        <v>0.67728772679387705</v>
      </c>
      <c r="AV210" s="230">
        <v>-25.5334640043733</v>
      </c>
      <c r="AW210" s="224"/>
      <c r="AX210" s="224"/>
      <c r="AY210" s="232">
        <v>20</v>
      </c>
      <c r="AZ210" s="232">
        <v>33</v>
      </c>
      <c r="BA210" s="223"/>
      <c r="BB210" s="240">
        <v>184.6</v>
      </c>
      <c r="BC210" s="236">
        <v>47.972111027779299</v>
      </c>
      <c r="BD210" s="237" t="s">
        <v>56</v>
      </c>
      <c r="BE210" s="234">
        <v>1.4991284696181</v>
      </c>
      <c r="BF210" s="235">
        <v>50.133071991253502</v>
      </c>
      <c r="BG210" s="224">
        <v>0.02</v>
      </c>
      <c r="BH210" s="224">
        <v>0.02</v>
      </c>
      <c r="BI210" s="232">
        <v>0</v>
      </c>
      <c r="BJ210" s="232">
        <v>0</v>
      </c>
      <c r="BK210" s="225"/>
      <c r="BL210" s="241">
        <v>0.8</v>
      </c>
      <c r="BM210" s="244">
        <v>0.78</v>
      </c>
      <c r="BN210" s="242"/>
      <c r="BO210" s="243">
        <v>0.95</v>
      </c>
      <c r="BP210" s="234">
        <v>1</v>
      </c>
      <c r="BQ210" s="242">
        <v>2.5000000000000001E-3</v>
      </c>
    </row>
    <row r="211" spans="1:69" s="211" customFormat="1" ht="22.35" customHeight="1" x14ac:dyDescent="0.2">
      <c r="A211" s="221" t="s">
        <v>276</v>
      </c>
      <c r="B211" s="221" t="s">
        <v>277</v>
      </c>
      <c r="C211" s="221" t="s">
        <v>279</v>
      </c>
      <c r="D211" s="222">
        <v>2.98956710155556</v>
      </c>
      <c r="E211" s="223"/>
      <c r="F211" s="224">
        <v>0.02</v>
      </c>
      <c r="G211" s="224">
        <v>0.01</v>
      </c>
      <c r="H211" s="225"/>
      <c r="I211" s="226">
        <v>5</v>
      </c>
      <c r="J211" s="226">
        <v>3</v>
      </c>
      <c r="K211" s="223"/>
      <c r="L211" s="227">
        <v>1721.72011</v>
      </c>
      <c r="M211" s="227">
        <v>1170.0201300000001</v>
      </c>
      <c r="N211" s="227">
        <v>2891.7402400000001</v>
      </c>
      <c r="O211" s="222">
        <v>967.27724843350904</v>
      </c>
      <c r="P211" s="228">
        <v>222.37200000000001</v>
      </c>
      <c r="Q211" s="234">
        <v>4.34981584207324</v>
      </c>
      <c r="R211" s="235">
        <v>2165.7829910662299</v>
      </c>
      <c r="S211" s="224">
        <v>0.01</v>
      </c>
      <c r="T211" s="224">
        <v>0.01</v>
      </c>
      <c r="U211" s="231">
        <v>0</v>
      </c>
      <c r="V211" s="232">
        <v>0</v>
      </c>
      <c r="W211" s="223"/>
      <c r="X211" s="231">
        <v>1648.582445</v>
      </c>
      <c r="Y211" s="222">
        <v>551.44520560926605</v>
      </c>
      <c r="Z211" s="233">
        <v>573</v>
      </c>
      <c r="AA211" s="238">
        <v>0.96238255778231296</v>
      </c>
      <c r="AB211" s="239">
        <v>-222.03752351693899</v>
      </c>
      <c r="AC211" s="224">
        <v>6.0000000000000001E-3</v>
      </c>
      <c r="AD211" s="224"/>
      <c r="AE211" s="232">
        <v>65</v>
      </c>
      <c r="AF211" s="232">
        <v>408</v>
      </c>
      <c r="AG211" s="223"/>
      <c r="AH211" s="236">
        <v>126.05</v>
      </c>
      <c r="AI211" s="222">
        <v>42.163295125375399</v>
      </c>
      <c r="AJ211" s="237" t="s">
        <v>54</v>
      </c>
      <c r="AK211" s="229">
        <v>0.66925865278373597</v>
      </c>
      <c r="AL211" s="230">
        <v>-79.620258318616393</v>
      </c>
      <c r="AM211" s="224"/>
      <c r="AN211" s="224"/>
      <c r="AO211" s="232">
        <v>63</v>
      </c>
      <c r="AP211" s="232">
        <v>100</v>
      </c>
      <c r="AQ211" s="223"/>
      <c r="AR211" s="236">
        <v>5</v>
      </c>
      <c r="AS211" s="222">
        <v>1.6724829482497201</v>
      </c>
      <c r="AT211" s="237" t="s">
        <v>55</v>
      </c>
      <c r="AU211" s="229">
        <v>0.10453018426560801</v>
      </c>
      <c r="AV211" s="230">
        <v>-47.233716398378803</v>
      </c>
      <c r="AW211" s="224"/>
      <c r="AX211" s="224"/>
      <c r="AY211" s="232">
        <v>43</v>
      </c>
      <c r="AZ211" s="232">
        <v>53</v>
      </c>
      <c r="BA211" s="223"/>
      <c r="BB211" s="240">
        <v>90.8</v>
      </c>
      <c r="BC211" s="236">
        <v>30.372290340214899</v>
      </c>
      <c r="BD211" s="237" t="s">
        <v>56</v>
      </c>
      <c r="BE211" s="238">
        <v>0.94913407313171505</v>
      </c>
      <c r="BF211" s="239">
        <v>-13.667432796757501</v>
      </c>
      <c r="BG211" s="224">
        <v>4.0000000000000001E-3</v>
      </c>
      <c r="BH211" s="224"/>
      <c r="BI211" s="232">
        <v>5</v>
      </c>
      <c r="BJ211" s="232">
        <v>24</v>
      </c>
      <c r="BK211" s="225"/>
      <c r="BL211" s="241">
        <v>0.8</v>
      </c>
      <c r="BM211" s="238">
        <v>0.81</v>
      </c>
      <c r="BN211" s="242">
        <v>3.7500000000000001E-4</v>
      </c>
      <c r="BO211" s="243">
        <v>0.95</v>
      </c>
      <c r="BP211" s="234">
        <v>1</v>
      </c>
      <c r="BQ211" s="242">
        <v>2.5000000000000001E-3</v>
      </c>
    </row>
    <row r="212" spans="1:69" s="211" customFormat="1" ht="22.35" customHeight="1" x14ac:dyDescent="0.2">
      <c r="A212" s="221" t="s">
        <v>276</v>
      </c>
      <c r="B212" s="221" t="s">
        <v>277</v>
      </c>
      <c r="C212" s="221" t="s">
        <v>280</v>
      </c>
      <c r="D212" s="222">
        <v>3.33559711066667</v>
      </c>
      <c r="E212" s="223"/>
      <c r="F212" s="224">
        <v>0.03</v>
      </c>
      <c r="G212" s="224">
        <v>0.03</v>
      </c>
      <c r="H212" s="225"/>
      <c r="I212" s="226">
        <v>3</v>
      </c>
      <c r="J212" s="226">
        <v>3</v>
      </c>
      <c r="K212" s="223"/>
      <c r="L212" s="227">
        <v>1652.8897300000001</v>
      </c>
      <c r="M212" s="227">
        <v>-227.21252000000001</v>
      </c>
      <c r="N212" s="227">
        <v>1425.6772100000001</v>
      </c>
      <c r="O212" s="222">
        <v>427.41289271444901</v>
      </c>
      <c r="P212" s="228">
        <v>230.685</v>
      </c>
      <c r="Q212" s="234">
        <v>1.85279880666038</v>
      </c>
      <c r="R212" s="235">
        <v>585.41354633423805</v>
      </c>
      <c r="S212" s="224">
        <v>0.01</v>
      </c>
      <c r="T212" s="224">
        <v>0.01</v>
      </c>
      <c r="U212" s="231">
        <v>0</v>
      </c>
      <c r="V212" s="232">
        <v>0</v>
      </c>
      <c r="W212" s="223"/>
      <c r="X212" s="231">
        <v>2666.5910600000002</v>
      </c>
      <c r="Y212" s="222">
        <v>799.43439556075305</v>
      </c>
      <c r="Z212" s="233">
        <v>573</v>
      </c>
      <c r="AA212" s="234">
        <v>1.39517346520201</v>
      </c>
      <c r="AB212" s="235">
        <v>579.45457830209398</v>
      </c>
      <c r="AC212" s="224">
        <v>0.02</v>
      </c>
      <c r="AD212" s="224">
        <v>0.02</v>
      </c>
      <c r="AE212" s="232">
        <v>0</v>
      </c>
      <c r="AF212" s="232">
        <v>0</v>
      </c>
      <c r="AG212" s="223"/>
      <c r="AH212" s="236">
        <v>127.5</v>
      </c>
      <c r="AI212" s="222">
        <v>38.224040784864798</v>
      </c>
      <c r="AJ212" s="237" t="s">
        <v>54</v>
      </c>
      <c r="AK212" s="229">
        <v>0.60673080610896601</v>
      </c>
      <c r="AL212" s="230">
        <v>-101.975738825424</v>
      </c>
      <c r="AM212" s="224"/>
      <c r="AN212" s="224"/>
      <c r="AO212" s="232">
        <v>83</v>
      </c>
      <c r="AP212" s="232">
        <v>125</v>
      </c>
      <c r="AQ212" s="223"/>
      <c r="AR212" s="236">
        <v>11</v>
      </c>
      <c r="AS212" s="222">
        <v>3.2977603814393199</v>
      </c>
      <c r="AT212" s="237" t="s">
        <v>55</v>
      </c>
      <c r="AU212" s="229">
        <v>0.206110023839957</v>
      </c>
      <c r="AV212" s="230">
        <v>-47.279552717568102</v>
      </c>
      <c r="AW212" s="224"/>
      <c r="AX212" s="224"/>
      <c r="AY212" s="232">
        <v>43</v>
      </c>
      <c r="AZ212" s="232">
        <v>54</v>
      </c>
      <c r="BA212" s="223"/>
      <c r="BB212" s="240">
        <v>91.2</v>
      </c>
      <c r="BC212" s="236">
        <v>27.341431526115102</v>
      </c>
      <c r="BD212" s="237" t="s">
        <v>56</v>
      </c>
      <c r="BE212" s="244">
        <v>0.85441973519109604</v>
      </c>
      <c r="BF212" s="227">
        <v>-25.359105435136101</v>
      </c>
      <c r="BG212" s="224"/>
      <c r="BH212" s="224"/>
      <c r="BI212" s="232">
        <v>16</v>
      </c>
      <c r="BJ212" s="232">
        <v>37</v>
      </c>
      <c r="BK212" s="225"/>
      <c r="BL212" s="241">
        <v>0.8</v>
      </c>
      <c r="BM212" s="244">
        <v>0.75</v>
      </c>
      <c r="BN212" s="242"/>
      <c r="BO212" s="243">
        <v>0.95</v>
      </c>
      <c r="BP212" s="234">
        <v>1</v>
      </c>
      <c r="BQ212" s="242">
        <v>2.5000000000000001E-3</v>
      </c>
    </row>
    <row r="213" spans="1:69" s="211" customFormat="1" ht="22.35" customHeight="1" x14ac:dyDescent="0.2">
      <c r="A213" s="221" t="s">
        <v>276</v>
      </c>
      <c r="B213" s="221" t="s">
        <v>277</v>
      </c>
      <c r="C213" s="221" t="s">
        <v>281</v>
      </c>
      <c r="D213" s="222">
        <v>3.7485562538888901</v>
      </c>
      <c r="E213" s="223"/>
      <c r="F213" s="224">
        <v>3.5999999999999997E-2</v>
      </c>
      <c r="G213" s="224">
        <v>1.7999999999999999E-2</v>
      </c>
      <c r="H213" s="225"/>
      <c r="I213" s="226">
        <v>4</v>
      </c>
      <c r="J213" s="226">
        <v>3</v>
      </c>
      <c r="K213" s="223"/>
      <c r="L213" s="227">
        <v>1573.6742999999999</v>
      </c>
      <c r="M213" s="227">
        <v>1516.6746499999999</v>
      </c>
      <c r="N213" s="227">
        <v>3090.3489500000001</v>
      </c>
      <c r="O213" s="222">
        <v>824.410450501833</v>
      </c>
      <c r="P213" s="228">
        <v>260.827</v>
      </c>
      <c r="Q213" s="234">
        <v>3.1607557902434702</v>
      </c>
      <c r="R213" s="235">
        <v>2022.6735972198801</v>
      </c>
      <c r="S213" s="224">
        <v>0.01</v>
      </c>
      <c r="T213" s="224">
        <v>0.01</v>
      </c>
      <c r="U213" s="231">
        <v>0</v>
      </c>
      <c r="V213" s="232">
        <v>0</v>
      </c>
      <c r="W213" s="223"/>
      <c r="X213" s="231">
        <v>1895.234385</v>
      </c>
      <c r="Y213" s="222">
        <v>505.59048781349202</v>
      </c>
      <c r="Z213" s="233">
        <v>573</v>
      </c>
      <c r="AA213" s="244">
        <v>0.88235687227485504</v>
      </c>
      <c r="AB213" s="227">
        <v>-450.29723995834098</v>
      </c>
      <c r="AC213" s="224"/>
      <c r="AD213" s="224"/>
      <c r="AE213" s="232">
        <v>253</v>
      </c>
      <c r="AF213" s="232">
        <v>683</v>
      </c>
      <c r="AG213" s="223"/>
      <c r="AH213" s="236">
        <v>230.7</v>
      </c>
      <c r="AI213" s="222">
        <v>61.543694258466402</v>
      </c>
      <c r="AJ213" s="237" t="s">
        <v>54</v>
      </c>
      <c r="AK213" s="238">
        <v>0.976884035848673</v>
      </c>
      <c r="AL213" s="239">
        <v>-27.185676042540099</v>
      </c>
      <c r="AM213" s="224">
        <v>7.0000000000000001E-3</v>
      </c>
      <c r="AN213" s="224"/>
      <c r="AO213" s="232">
        <v>6</v>
      </c>
      <c r="AP213" s="232">
        <v>53</v>
      </c>
      <c r="AQ213" s="223"/>
      <c r="AR213" s="236">
        <v>26</v>
      </c>
      <c r="AS213" s="222">
        <v>6.9360036875601496</v>
      </c>
      <c r="AT213" s="237" t="s">
        <v>55</v>
      </c>
      <c r="AU213" s="229">
        <v>0.43350023047250902</v>
      </c>
      <c r="AV213" s="230">
        <v>-39.494774867946703</v>
      </c>
      <c r="AW213" s="224"/>
      <c r="AX213" s="224"/>
      <c r="AY213" s="232">
        <v>34</v>
      </c>
      <c r="AZ213" s="232">
        <v>46</v>
      </c>
      <c r="BA213" s="223"/>
      <c r="BB213" s="240">
        <v>130</v>
      </c>
      <c r="BC213" s="236">
        <v>34.680018437800697</v>
      </c>
      <c r="BD213" s="237" t="s">
        <v>56</v>
      </c>
      <c r="BE213" s="238">
        <v>1.08375057618127</v>
      </c>
      <c r="BF213" s="239">
        <v>-0.98954973589337702</v>
      </c>
      <c r="BG213" s="224">
        <v>1.9E-2</v>
      </c>
      <c r="BH213" s="224">
        <v>8.0000000000000002E-3</v>
      </c>
      <c r="BI213" s="232">
        <v>0</v>
      </c>
      <c r="BJ213" s="232">
        <v>14</v>
      </c>
      <c r="BK213" s="225"/>
      <c r="BL213" s="241">
        <v>0.8</v>
      </c>
      <c r="BM213" s="244">
        <v>0.79</v>
      </c>
      <c r="BN213" s="242"/>
      <c r="BO213" s="243">
        <v>0.95</v>
      </c>
      <c r="BP213" s="234">
        <v>1</v>
      </c>
      <c r="BQ213" s="242">
        <v>2.5000000000000001E-3</v>
      </c>
    </row>
    <row r="214" spans="1:69" s="211" customFormat="1" ht="22.35" customHeight="1" x14ac:dyDescent="0.2">
      <c r="A214" s="221" t="s">
        <v>276</v>
      </c>
      <c r="B214" s="221" t="s">
        <v>277</v>
      </c>
      <c r="C214" s="221" t="s">
        <v>282</v>
      </c>
      <c r="D214" s="222">
        <v>3.10896044855556</v>
      </c>
      <c r="E214" s="223"/>
      <c r="F214" s="224">
        <v>2.5000000000000001E-2</v>
      </c>
      <c r="G214" s="224">
        <v>1.4999999999999999E-2</v>
      </c>
      <c r="H214" s="225"/>
      <c r="I214" s="226">
        <v>4</v>
      </c>
      <c r="J214" s="226">
        <v>4</v>
      </c>
      <c r="K214" s="223"/>
      <c r="L214" s="227">
        <v>2186.4463599999999</v>
      </c>
      <c r="M214" s="227">
        <v>2292.45813</v>
      </c>
      <c r="N214" s="227">
        <v>4478.9044899999999</v>
      </c>
      <c r="O214" s="222">
        <v>1440.64376633705</v>
      </c>
      <c r="P214" s="228">
        <v>237.98699999999999</v>
      </c>
      <c r="Q214" s="234">
        <v>6.0534557195857301</v>
      </c>
      <c r="R214" s="235">
        <v>3670.94224006473</v>
      </c>
      <c r="S214" s="224">
        <v>0.01</v>
      </c>
      <c r="T214" s="224">
        <v>0.01</v>
      </c>
      <c r="U214" s="231">
        <v>0</v>
      </c>
      <c r="V214" s="232">
        <v>0</v>
      </c>
      <c r="W214" s="223"/>
      <c r="X214" s="231">
        <v>1863.8450849999999</v>
      </c>
      <c r="Y214" s="222">
        <v>599.507493209171</v>
      </c>
      <c r="Z214" s="233">
        <v>573</v>
      </c>
      <c r="AA214" s="238">
        <v>1.046260895653</v>
      </c>
      <c r="AB214" s="239">
        <v>-81.481211028390803</v>
      </c>
      <c r="AC214" s="224">
        <v>1.4999999999999999E-2</v>
      </c>
      <c r="AD214" s="224">
        <v>5.0000000000000001E-3</v>
      </c>
      <c r="AE214" s="232">
        <v>0</v>
      </c>
      <c r="AF214" s="232">
        <v>274</v>
      </c>
      <c r="AG214" s="223"/>
      <c r="AH214" s="236">
        <v>82.5</v>
      </c>
      <c r="AI214" s="222">
        <v>26.536201204595599</v>
      </c>
      <c r="AJ214" s="237" t="s">
        <v>54</v>
      </c>
      <c r="AK214" s="229">
        <v>0.421209542930089</v>
      </c>
      <c r="AL214" s="230">
        <v>-131.38404301882801</v>
      </c>
      <c r="AM214" s="224"/>
      <c r="AN214" s="224"/>
      <c r="AO214" s="232">
        <v>114</v>
      </c>
      <c r="AP214" s="232">
        <v>153</v>
      </c>
      <c r="AQ214" s="223"/>
      <c r="AR214" s="236">
        <v>5.8</v>
      </c>
      <c r="AS214" s="222">
        <v>1.8655753574139899</v>
      </c>
      <c r="AT214" s="237" t="s">
        <v>55</v>
      </c>
      <c r="AU214" s="229">
        <v>0.116598459838374</v>
      </c>
      <c r="AV214" s="230">
        <v>-48.519756957162798</v>
      </c>
      <c r="AW214" s="224"/>
      <c r="AX214" s="224"/>
      <c r="AY214" s="232">
        <v>44</v>
      </c>
      <c r="AZ214" s="232">
        <v>54</v>
      </c>
      <c r="BA214" s="223"/>
      <c r="BB214" s="240">
        <v>62.6</v>
      </c>
      <c r="BC214" s="236">
        <v>20.1353478231234</v>
      </c>
      <c r="BD214" s="237" t="s">
        <v>56</v>
      </c>
      <c r="BE214" s="229">
        <v>0.62922961947260803</v>
      </c>
      <c r="BF214" s="230">
        <v>-46.039513914325497</v>
      </c>
      <c r="BG214" s="224"/>
      <c r="BH214" s="224"/>
      <c r="BI214" s="232">
        <v>37</v>
      </c>
      <c r="BJ214" s="232">
        <v>57</v>
      </c>
      <c r="BK214" s="225"/>
      <c r="BL214" s="241">
        <v>0.8</v>
      </c>
      <c r="BM214" s="238">
        <v>0.88</v>
      </c>
      <c r="BN214" s="242">
        <v>3.0000000000000001E-3</v>
      </c>
      <c r="BO214" s="243">
        <v>0.95</v>
      </c>
      <c r="BP214" s="234">
        <v>1</v>
      </c>
      <c r="BQ214" s="242">
        <v>2.5000000000000001E-3</v>
      </c>
    </row>
    <row r="215" spans="1:69" s="211" customFormat="1" ht="22.35" customHeight="1" x14ac:dyDescent="0.2">
      <c r="A215" s="221" t="s">
        <v>276</v>
      </c>
      <c r="B215" s="221" t="s">
        <v>277</v>
      </c>
      <c r="C215" s="221" t="s">
        <v>283</v>
      </c>
      <c r="D215" s="222">
        <v>3.74723678633333</v>
      </c>
      <c r="E215" s="223"/>
      <c r="F215" s="224">
        <v>3.1E-2</v>
      </c>
      <c r="G215" s="224">
        <v>0.03</v>
      </c>
      <c r="H215" s="225"/>
      <c r="I215" s="226">
        <v>5</v>
      </c>
      <c r="J215" s="226">
        <v>4</v>
      </c>
      <c r="K215" s="223"/>
      <c r="L215" s="227">
        <v>1372.8374699999999</v>
      </c>
      <c r="M215" s="227">
        <v>4666.2677400000002</v>
      </c>
      <c r="N215" s="227">
        <v>6039.1052099999997</v>
      </c>
      <c r="O215" s="222">
        <v>1611.61558619018</v>
      </c>
      <c r="P215" s="228">
        <v>287.5</v>
      </c>
      <c r="Q215" s="234">
        <v>5.6056194302267102</v>
      </c>
      <c r="R215" s="235">
        <v>4862.6602209306502</v>
      </c>
      <c r="S215" s="224">
        <v>0.01</v>
      </c>
      <c r="T215" s="224">
        <v>0.01</v>
      </c>
      <c r="U215" s="231">
        <v>0</v>
      </c>
      <c r="V215" s="232">
        <v>0</v>
      </c>
      <c r="W215" s="223"/>
      <c r="X215" s="231">
        <v>1956.2163</v>
      </c>
      <c r="Y215" s="222">
        <v>522.04235054869696</v>
      </c>
      <c r="Z215" s="233">
        <v>573</v>
      </c>
      <c r="AA215" s="238">
        <v>0.91106867460505703</v>
      </c>
      <c r="AB215" s="239">
        <v>-388.48971299734598</v>
      </c>
      <c r="AC215" s="224">
        <v>1E-3</v>
      </c>
      <c r="AD215" s="224"/>
      <c r="AE215" s="232">
        <v>191</v>
      </c>
      <c r="AF215" s="232">
        <v>621</v>
      </c>
      <c r="AG215" s="223"/>
      <c r="AH215" s="236">
        <v>132.44999999999999</v>
      </c>
      <c r="AI215" s="222">
        <v>35.346044979880297</v>
      </c>
      <c r="AJ215" s="237" t="s">
        <v>54</v>
      </c>
      <c r="AK215" s="229">
        <v>0.56104833301397306</v>
      </c>
      <c r="AL215" s="230">
        <v>-125.344901952588</v>
      </c>
      <c r="AM215" s="224"/>
      <c r="AN215" s="224"/>
      <c r="AO215" s="232">
        <v>104</v>
      </c>
      <c r="AP215" s="232">
        <v>151</v>
      </c>
      <c r="AQ215" s="223"/>
      <c r="AR215" s="236">
        <v>30.2</v>
      </c>
      <c r="AS215" s="222">
        <v>8.0592718640421595</v>
      </c>
      <c r="AT215" s="237" t="s">
        <v>55</v>
      </c>
      <c r="AU215" s="229">
        <v>0.50370449150263497</v>
      </c>
      <c r="AV215" s="230">
        <v>-35.271721130815898</v>
      </c>
      <c r="AW215" s="224"/>
      <c r="AX215" s="224"/>
      <c r="AY215" s="232">
        <v>30</v>
      </c>
      <c r="AZ215" s="232">
        <v>42</v>
      </c>
      <c r="BA215" s="223"/>
      <c r="BB215" s="240">
        <v>147</v>
      </c>
      <c r="BC215" s="236">
        <v>39.228906093185302</v>
      </c>
      <c r="BD215" s="237" t="s">
        <v>56</v>
      </c>
      <c r="BE215" s="234">
        <v>1.22590331541204</v>
      </c>
      <c r="BF215" s="235">
        <v>16.056557738368099</v>
      </c>
      <c r="BG215" s="224">
        <v>0.02</v>
      </c>
      <c r="BH215" s="224">
        <v>0.02</v>
      </c>
      <c r="BI215" s="232">
        <v>0</v>
      </c>
      <c r="BJ215" s="232">
        <v>0</v>
      </c>
      <c r="BK215" s="225"/>
      <c r="BL215" s="241">
        <v>0.8</v>
      </c>
      <c r="BM215" s="238">
        <v>0.84</v>
      </c>
      <c r="BN215" s="242">
        <v>1.5E-3</v>
      </c>
      <c r="BO215" s="243">
        <v>0.95</v>
      </c>
      <c r="BP215" s="234">
        <v>1</v>
      </c>
      <c r="BQ215" s="242">
        <v>2.5000000000000001E-3</v>
      </c>
    </row>
    <row r="216" spans="1:69" s="211" customFormat="1" ht="22.35" customHeight="1" x14ac:dyDescent="0.2">
      <c r="A216" s="221" t="s">
        <v>276</v>
      </c>
      <c r="B216" s="221" t="s">
        <v>277</v>
      </c>
      <c r="C216" s="221" t="s">
        <v>284</v>
      </c>
      <c r="D216" s="222">
        <v>4.8968438782222199</v>
      </c>
      <c r="E216" s="223"/>
      <c r="F216" s="224">
        <v>4.3999999999999997E-2</v>
      </c>
      <c r="G216" s="224">
        <v>3.3000000000000002E-2</v>
      </c>
      <c r="H216" s="225"/>
      <c r="I216" s="226">
        <v>4</v>
      </c>
      <c r="J216" s="226">
        <v>4</v>
      </c>
      <c r="K216" s="223"/>
      <c r="L216" s="227">
        <v>4595.4805900000001</v>
      </c>
      <c r="M216" s="227">
        <v>4011.1355899999999</v>
      </c>
      <c r="N216" s="227">
        <v>8606.6161800000009</v>
      </c>
      <c r="O216" s="222">
        <v>1757.5843531128901</v>
      </c>
      <c r="P216" s="228">
        <v>287.5</v>
      </c>
      <c r="Q216" s="234">
        <v>6.1133368803926604</v>
      </c>
      <c r="R216" s="235">
        <v>7069.2520444321299</v>
      </c>
      <c r="S216" s="224">
        <v>0.01</v>
      </c>
      <c r="T216" s="224">
        <v>0.01</v>
      </c>
      <c r="U216" s="231">
        <v>0</v>
      </c>
      <c r="V216" s="232">
        <v>0</v>
      </c>
      <c r="W216" s="223"/>
      <c r="X216" s="231">
        <v>2907.1039700000001</v>
      </c>
      <c r="Y216" s="222">
        <v>593.66891048513696</v>
      </c>
      <c r="Z216" s="233">
        <v>573</v>
      </c>
      <c r="AA216" s="238">
        <v>1.03607139700722</v>
      </c>
      <c r="AB216" s="239">
        <v>-156.92959410569401</v>
      </c>
      <c r="AC216" s="224">
        <v>1.4E-2</v>
      </c>
      <c r="AD216" s="224">
        <v>4.0000000000000001E-3</v>
      </c>
      <c r="AE216" s="232">
        <v>0</v>
      </c>
      <c r="AF216" s="232">
        <v>460</v>
      </c>
      <c r="AG216" s="223"/>
      <c r="AH216" s="236">
        <v>201.35</v>
      </c>
      <c r="AI216" s="222">
        <v>41.118321312113999</v>
      </c>
      <c r="AJ216" s="237" t="s">
        <v>54</v>
      </c>
      <c r="AK216" s="229">
        <v>0.65267176685895301</v>
      </c>
      <c r="AL216" s="230">
        <v>-135.533271446176</v>
      </c>
      <c r="AM216" s="224"/>
      <c r="AN216" s="224"/>
      <c r="AO216" s="232">
        <v>108</v>
      </c>
      <c r="AP216" s="232">
        <v>169</v>
      </c>
      <c r="AQ216" s="223"/>
      <c r="AR216" s="236">
        <v>52.3</v>
      </c>
      <c r="AS216" s="222">
        <v>10.680348669598001</v>
      </c>
      <c r="AT216" s="237" t="s">
        <v>55</v>
      </c>
      <c r="AU216" s="229">
        <v>0.66752179184987703</v>
      </c>
      <c r="AV216" s="230">
        <v>-33.257656240298601</v>
      </c>
      <c r="AW216" s="224"/>
      <c r="AX216" s="224"/>
      <c r="AY216" s="232">
        <v>27</v>
      </c>
      <c r="AZ216" s="232">
        <v>42</v>
      </c>
      <c r="BA216" s="223"/>
      <c r="BB216" s="240">
        <v>187.2</v>
      </c>
      <c r="BC216" s="236">
        <v>38.228704989459899</v>
      </c>
      <c r="BD216" s="237" t="s">
        <v>56</v>
      </c>
      <c r="BE216" s="234">
        <v>1.1946470309206201</v>
      </c>
      <c r="BF216" s="235">
        <v>16.084687519402799</v>
      </c>
      <c r="BG216" s="224">
        <v>0.02</v>
      </c>
      <c r="BH216" s="224">
        <v>1.9E-2</v>
      </c>
      <c r="BI216" s="232">
        <v>0</v>
      </c>
      <c r="BJ216" s="232">
        <v>1</v>
      </c>
      <c r="BK216" s="225"/>
      <c r="BL216" s="241">
        <v>0.8</v>
      </c>
      <c r="BM216" s="244">
        <v>0.74</v>
      </c>
      <c r="BN216" s="242"/>
      <c r="BO216" s="243">
        <v>0.95</v>
      </c>
      <c r="BP216" s="234">
        <v>1</v>
      </c>
      <c r="BQ216" s="242">
        <v>2.5000000000000001E-3</v>
      </c>
    </row>
    <row r="217" spans="1:69" s="211" customFormat="1" ht="22.35" customHeight="1" x14ac:dyDescent="0.2">
      <c r="A217" s="221" t="s">
        <v>276</v>
      </c>
      <c r="B217" s="221" t="s">
        <v>277</v>
      </c>
      <c r="C217" s="221" t="s">
        <v>285</v>
      </c>
      <c r="D217" s="222">
        <v>2.87505723911111</v>
      </c>
      <c r="E217" s="223"/>
      <c r="F217" s="224">
        <v>2.9000000000000001E-2</v>
      </c>
      <c r="G217" s="224">
        <v>1.7999999999999999E-2</v>
      </c>
      <c r="H217" s="225"/>
      <c r="I217" s="226">
        <v>3</v>
      </c>
      <c r="J217" s="226">
        <v>3</v>
      </c>
      <c r="K217" s="223"/>
      <c r="L217" s="227">
        <v>738.97694000000001</v>
      </c>
      <c r="M217" s="227">
        <v>1419.8886500000001</v>
      </c>
      <c r="N217" s="227">
        <v>2158.8655899999999</v>
      </c>
      <c r="O217" s="222">
        <v>750.89482067754</v>
      </c>
      <c r="P217" s="228">
        <v>287.5</v>
      </c>
      <c r="Q217" s="234">
        <v>2.6118080719218799</v>
      </c>
      <c r="R217" s="235">
        <v>1256.24136978107</v>
      </c>
      <c r="S217" s="224">
        <v>0.01</v>
      </c>
      <c r="T217" s="224">
        <v>0.01</v>
      </c>
      <c r="U217" s="231">
        <v>0</v>
      </c>
      <c r="V217" s="232">
        <v>0</v>
      </c>
      <c r="W217" s="223"/>
      <c r="X217" s="231">
        <v>1776.6657250000001</v>
      </c>
      <c r="Y217" s="222">
        <v>617.95838386483604</v>
      </c>
      <c r="Z217" s="233">
        <v>573</v>
      </c>
      <c r="AA217" s="238">
        <v>1.07846140290547</v>
      </c>
      <c r="AB217" s="239">
        <v>-22.3035904276473</v>
      </c>
      <c r="AC217" s="224">
        <v>1.9E-2</v>
      </c>
      <c r="AD217" s="224">
        <v>8.0000000000000002E-3</v>
      </c>
      <c r="AE217" s="232">
        <v>0</v>
      </c>
      <c r="AF217" s="232">
        <v>201</v>
      </c>
      <c r="AG217" s="223"/>
      <c r="AH217" s="236">
        <v>111.55</v>
      </c>
      <c r="AI217" s="222">
        <v>38.799227536244899</v>
      </c>
      <c r="AJ217" s="237" t="s">
        <v>54</v>
      </c>
      <c r="AK217" s="229">
        <v>0.61586075454356903</v>
      </c>
      <c r="AL217" s="230">
        <v>-86.242437821888004</v>
      </c>
      <c r="AM217" s="224"/>
      <c r="AN217" s="224"/>
      <c r="AO217" s="232">
        <v>70</v>
      </c>
      <c r="AP217" s="232">
        <v>106</v>
      </c>
      <c r="AQ217" s="223"/>
      <c r="AR217" s="236">
        <v>22.6</v>
      </c>
      <c r="AS217" s="222">
        <v>7.8607130642683503</v>
      </c>
      <c r="AT217" s="237" t="s">
        <v>55</v>
      </c>
      <c r="AU217" s="229">
        <v>0.491294566516772</v>
      </c>
      <c r="AV217" s="230">
        <v>-27.633000081749302</v>
      </c>
      <c r="AW217" s="224"/>
      <c r="AX217" s="224"/>
      <c r="AY217" s="232">
        <v>24</v>
      </c>
      <c r="AZ217" s="232">
        <v>33</v>
      </c>
      <c r="BA217" s="223"/>
      <c r="BB217" s="240">
        <v>69</v>
      </c>
      <c r="BC217" s="236">
        <v>23.999522187368001</v>
      </c>
      <c r="BD217" s="237" t="s">
        <v>56</v>
      </c>
      <c r="BE217" s="244">
        <v>0.74998506835524903</v>
      </c>
      <c r="BF217" s="227">
        <v>-31.466000163498599</v>
      </c>
      <c r="BG217" s="224"/>
      <c r="BH217" s="224"/>
      <c r="BI217" s="232">
        <v>24</v>
      </c>
      <c r="BJ217" s="232">
        <v>42</v>
      </c>
      <c r="BK217" s="225"/>
      <c r="BL217" s="241">
        <v>0.8</v>
      </c>
      <c r="BM217" s="244">
        <v>0.73</v>
      </c>
      <c r="BN217" s="242"/>
      <c r="BO217" s="243">
        <v>0.95</v>
      </c>
      <c r="BP217" s="234">
        <v>1</v>
      </c>
      <c r="BQ217" s="242">
        <v>2.5000000000000001E-3</v>
      </c>
    </row>
    <row r="218" spans="1:69" s="211" customFormat="1" ht="22.35" customHeight="1" x14ac:dyDescent="0.2">
      <c r="A218" s="221" t="s">
        <v>276</v>
      </c>
      <c r="B218" s="221" t="s">
        <v>277</v>
      </c>
      <c r="C218" s="221" t="s">
        <v>286</v>
      </c>
      <c r="D218" s="222">
        <v>2.5461804328888902</v>
      </c>
      <c r="E218" s="223"/>
      <c r="F218" s="224">
        <v>3.5999999999999997E-2</v>
      </c>
      <c r="G218" s="224">
        <v>0.03</v>
      </c>
      <c r="H218" s="225"/>
      <c r="I218" s="226">
        <v>5</v>
      </c>
      <c r="J218" s="226">
        <v>4</v>
      </c>
      <c r="K218" s="223"/>
      <c r="L218" s="227">
        <v>3312.1167399999999</v>
      </c>
      <c r="M218" s="227">
        <v>2216.3510799999999</v>
      </c>
      <c r="N218" s="227">
        <v>5528.4678199999998</v>
      </c>
      <c r="O218" s="222">
        <v>2171.2788884043898</v>
      </c>
      <c r="P218" s="228">
        <v>271.947</v>
      </c>
      <c r="Q218" s="234">
        <v>7.9841987166778496</v>
      </c>
      <c r="R218" s="235">
        <v>4772.3384858403397</v>
      </c>
      <c r="S218" s="224">
        <v>0.01</v>
      </c>
      <c r="T218" s="224">
        <v>0.01</v>
      </c>
      <c r="U218" s="231">
        <v>0</v>
      </c>
      <c r="V218" s="232">
        <v>0</v>
      </c>
      <c r="W218" s="223"/>
      <c r="X218" s="231">
        <v>2344.707375</v>
      </c>
      <c r="Y218" s="222">
        <v>920.872434927835</v>
      </c>
      <c r="Z218" s="233">
        <v>573</v>
      </c>
      <c r="AA218" s="234">
        <v>1.6071072162789399</v>
      </c>
      <c r="AB218" s="235">
        <v>751.521539254495</v>
      </c>
      <c r="AC218" s="224">
        <v>0.02</v>
      </c>
      <c r="AD218" s="224">
        <v>0.02</v>
      </c>
      <c r="AE218" s="232">
        <v>0</v>
      </c>
      <c r="AF218" s="232">
        <v>0</v>
      </c>
      <c r="AG218" s="223"/>
      <c r="AH218" s="236">
        <v>132.35</v>
      </c>
      <c r="AI218" s="222">
        <v>51.979819768639103</v>
      </c>
      <c r="AJ218" s="237" t="s">
        <v>54</v>
      </c>
      <c r="AK218" s="244">
        <v>0.82507650426411305</v>
      </c>
      <c r="AL218" s="227">
        <v>-42.817029061024101</v>
      </c>
      <c r="AM218" s="224"/>
      <c r="AN218" s="224"/>
      <c r="AO218" s="232">
        <v>29</v>
      </c>
      <c r="AP218" s="232">
        <v>61</v>
      </c>
      <c r="AQ218" s="223"/>
      <c r="AR218" s="236">
        <v>17.8</v>
      </c>
      <c r="AS218" s="222">
        <v>6.9908635578524896</v>
      </c>
      <c r="AT218" s="237" t="s">
        <v>55</v>
      </c>
      <c r="AU218" s="229">
        <v>0.43692897236578099</v>
      </c>
      <c r="AV218" s="230">
        <v>-26.6868645234347</v>
      </c>
      <c r="AW218" s="224"/>
      <c r="AX218" s="224"/>
      <c r="AY218" s="232">
        <v>23</v>
      </c>
      <c r="AZ218" s="232">
        <v>32</v>
      </c>
      <c r="BA218" s="223"/>
      <c r="BB218" s="240">
        <v>78.599999999999994</v>
      </c>
      <c r="BC218" s="236">
        <v>30.869768294786802</v>
      </c>
      <c r="BD218" s="237" t="s">
        <v>56</v>
      </c>
      <c r="BE218" s="238">
        <v>0.964680259212088</v>
      </c>
      <c r="BF218" s="239">
        <v>-10.3737290468694</v>
      </c>
      <c r="BG218" s="224">
        <v>6.0000000000000001E-3</v>
      </c>
      <c r="BH218" s="224"/>
      <c r="BI218" s="232">
        <v>3</v>
      </c>
      <c r="BJ218" s="232">
        <v>20</v>
      </c>
      <c r="BK218" s="225"/>
      <c r="BL218" s="241">
        <v>0.8</v>
      </c>
      <c r="BM218" s="238">
        <v>0.82</v>
      </c>
      <c r="BN218" s="242">
        <v>7.5000000000000002E-4</v>
      </c>
      <c r="BO218" s="243">
        <v>0.95</v>
      </c>
      <c r="BP218" s="234">
        <v>1</v>
      </c>
      <c r="BQ218" s="242">
        <v>2.5000000000000001E-3</v>
      </c>
    </row>
    <row r="219" spans="1:69" s="211" customFormat="1" ht="22.35" customHeight="1" x14ac:dyDescent="0.2">
      <c r="A219" s="221" t="s">
        <v>276</v>
      </c>
      <c r="B219" s="221" t="s">
        <v>277</v>
      </c>
      <c r="C219" s="221" t="s">
        <v>287</v>
      </c>
      <c r="D219" s="222">
        <v>3.79118941177778</v>
      </c>
      <c r="E219" s="223"/>
      <c r="F219" s="224">
        <v>0.03</v>
      </c>
      <c r="G219" s="224">
        <v>0.03</v>
      </c>
      <c r="H219" s="225"/>
      <c r="I219" s="226">
        <v>3</v>
      </c>
      <c r="J219" s="226">
        <v>3</v>
      </c>
      <c r="K219" s="223"/>
      <c r="L219" s="227">
        <v>3186.43624</v>
      </c>
      <c r="M219" s="227">
        <v>2688.56493</v>
      </c>
      <c r="N219" s="227">
        <v>5875.0011699999995</v>
      </c>
      <c r="O219" s="222">
        <v>1549.6459110559399</v>
      </c>
      <c r="P219" s="228">
        <v>272.346</v>
      </c>
      <c r="Q219" s="234">
        <v>5.6899896126836396</v>
      </c>
      <c r="R219" s="235">
        <v>4747.4944934782898</v>
      </c>
      <c r="S219" s="224">
        <v>0.01</v>
      </c>
      <c r="T219" s="224">
        <v>0.01</v>
      </c>
      <c r="U219" s="231">
        <v>0</v>
      </c>
      <c r="V219" s="232">
        <v>0</v>
      </c>
      <c r="W219" s="223"/>
      <c r="X219" s="231">
        <v>1585.8655349999999</v>
      </c>
      <c r="Y219" s="222">
        <v>418.30290253325802</v>
      </c>
      <c r="Z219" s="233">
        <v>573</v>
      </c>
      <c r="AA219" s="244">
        <v>0.73002251751004898</v>
      </c>
      <c r="AB219" s="227">
        <v>-786.342338979945</v>
      </c>
      <c r="AC219" s="224"/>
      <c r="AD219" s="224"/>
      <c r="AE219" s="232">
        <v>587</v>
      </c>
      <c r="AF219" s="232">
        <v>1021</v>
      </c>
      <c r="AG219" s="223"/>
      <c r="AH219" s="236">
        <v>86.4</v>
      </c>
      <c r="AI219" s="222">
        <v>22.789681710860499</v>
      </c>
      <c r="AJ219" s="237" t="s">
        <v>54</v>
      </c>
      <c r="AK219" s="229">
        <v>0.36174097953746798</v>
      </c>
      <c r="AL219" s="230">
        <v>-174.41866677266401</v>
      </c>
      <c r="AM219" s="224"/>
      <c r="AN219" s="224"/>
      <c r="AO219" s="232">
        <v>153</v>
      </c>
      <c r="AP219" s="232">
        <v>201</v>
      </c>
      <c r="AQ219" s="223"/>
      <c r="AR219" s="236">
        <v>31</v>
      </c>
      <c r="AS219" s="222">
        <v>8.1768533916281907</v>
      </c>
      <c r="AT219" s="237" t="s">
        <v>55</v>
      </c>
      <c r="AU219" s="229">
        <v>0.51105333697676203</v>
      </c>
      <c r="AV219" s="230">
        <v>-35.239661402581397</v>
      </c>
      <c r="AW219" s="224"/>
      <c r="AX219" s="224"/>
      <c r="AY219" s="232">
        <v>30</v>
      </c>
      <c r="AZ219" s="232">
        <v>42</v>
      </c>
      <c r="BA219" s="223"/>
      <c r="BB219" s="240">
        <v>179.4</v>
      </c>
      <c r="BC219" s="236">
        <v>47.320241885745098</v>
      </c>
      <c r="BD219" s="237" t="s">
        <v>56</v>
      </c>
      <c r="BE219" s="234">
        <v>1.4787575589295301</v>
      </c>
      <c r="BF219" s="235">
        <v>46.920677194837303</v>
      </c>
      <c r="BG219" s="224">
        <v>0.02</v>
      </c>
      <c r="BH219" s="224">
        <v>0.02</v>
      </c>
      <c r="BI219" s="232">
        <v>0</v>
      </c>
      <c r="BJ219" s="232">
        <v>0</v>
      </c>
      <c r="BK219" s="225"/>
      <c r="BL219" s="241">
        <v>0.8</v>
      </c>
      <c r="BM219" s="244">
        <v>0.75</v>
      </c>
      <c r="BN219" s="242"/>
      <c r="BO219" s="243">
        <v>0.95</v>
      </c>
      <c r="BP219" s="234">
        <v>1</v>
      </c>
      <c r="BQ219" s="242">
        <v>2.5000000000000001E-3</v>
      </c>
    </row>
    <row r="220" spans="1:69" s="211" customFormat="1" ht="22.35" customHeight="1" x14ac:dyDescent="0.2">
      <c r="A220" s="221" t="s">
        <v>276</v>
      </c>
      <c r="B220" s="221" t="s">
        <v>277</v>
      </c>
      <c r="C220" s="221" t="s">
        <v>288</v>
      </c>
      <c r="D220" s="222">
        <v>4.0983728111111102</v>
      </c>
      <c r="E220" s="223"/>
      <c r="F220" s="224">
        <v>0.03</v>
      </c>
      <c r="G220" s="224">
        <v>0.02</v>
      </c>
      <c r="H220" s="225"/>
      <c r="I220" s="226">
        <v>3</v>
      </c>
      <c r="J220" s="226">
        <v>3</v>
      </c>
      <c r="K220" s="223"/>
      <c r="L220" s="227">
        <v>2130.9472000000001</v>
      </c>
      <c r="M220" s="227">
        <v>2150.4437400000002</v>
      </c>
      <c r="N220" s="227">
        <v>4281.3909400000002</v>
      </c>
      <c r="O220" s="222">
        <v>1044.6562910022999</v>
      </c>
      <c r="P220" s="228">
        <v>276.21300000000002</v>
      </c>
      <c r="Q220" s="234">
        <v>3.7820677918935699</v>
      </c>
      <c r="R220" s="235">
        <v>3045.22089659123</v>
      </c>
      <c r="S220" s="224">
        <v>0.01</v>
      </c>
      <c r="T220" s="224">
        <v>0.01</v>
      </c>
      <c r="U220" s="231">
        <v>0</v>
      </c>
      <c r="V220" s="232">
        <v>0</v>
      </c>
      <c r="W220" s="223"/>
      <c r="X220" s="231">
        <v>1867.4395549999999</v>
      </c>
      <c r="Y220" s="222">
        <v>455.65389999103502</v>
      </c>
      <c r="Z220" s="233">
        <v>573</v>
      </c>
      <c r="AA220" s="244">
        <v>0.79520750434735599</v>
      </c>
      <c r="AB220" s="227">
        <v>-696.97788687719901</v>
      </c>
      <c r="AC220" s="224"/>
      <c r="AD220" s="224"/>
      <c r="AE220" s="232">
        <v>481</v>
      </c>
      <c r="AF220" s="232">
        <v>951</v>
      </c>
      <c r="AG220" s="223"/>
      <c r="AH220" s="236">
        <v>145.94999999999999</v>
      </c>
      <c r="AI220" s="222">
        <v>35.611694378880003</v>
      </c>
      <c r="AJ220" s="237" t="s">
        <v>54</v>
      </c>
      <c r="AK220" s="229">
        <v>0.565264990140952</v>
      </c>
      <c r="AL220" s="230">
        <v>-136.00165591320001</v>
      </c>
      <c r="AM220" s="224"/>
      <c r="AN220" s="224"/>
      <c r="AO220" s="232">
        <v>113</v>
      </c>
      <c r="AP220" s="232">
        <v>164</v>
      </c>
      <c r="AQ220" s="223"/>
      <c r="AR220" s="236">
        <v>25.8</v>
      </c>
      <c r="AS220" s="222">
        <v>6.2951813290517498</v>
      </c>
      <c r="AT220" s="237" t="s">
        <v>55</v>
      </c>
      <c r="AU220" s="229">
        <v>0.39344883306573403</v>
      </c>
      <c r="AV220" s="230">
        <v>-45.806769755733299</v>
      </c>
      <c r="AW220" s="224"/>
      <c r="AX220" s="224"/>
      <c r="AY220" s="232">
        <v>40</v>
      </c>
      <c r="AZ220" s="232">
        <v>53</v>
      </c>
      <c r="BA220" s="223"/>
      <c r="BB220" s="240">
        <v>143.80000000000001</v>
      </c>
      <c r="BC220" s="236">
        <v>35.087095934792302</v>
      </c>
      <c r="BD220" s="237" t="s">
        <v>56</v>
      </c>
      <c r="BE220" s="234">
        <v>1.0964717479622601</v>
      </c>
      <c r="BF220" s="235">
        <v>0.58646048853338995</v>
      </c>
      <c r="BG220" s="224">
        <v>0.02</v>
      </c>
      <c r="BH220" s="224">
        <v>0.01</v>
      </c>
      <c r="BI220" s="232">
        <v>0</v>
      </c>
      <c r="BJ220" s="232">
        <v>14</v>
      </c>
      <c r="BK220" s="225"/>
      <c r="BL220" s="241">
        <v>0.8</v>
      </c>
      <c r="BM220" s="244">
        <v>0.77</v>
      </c>
      <c r="BN220" s="242"/>
      <c r="BO220" s="243">
        <v>0.95</v>
      </c>
      <c r="BP220" s="234">
        <v>1</v>
      </c>
      <c r="BQ220" s="242">
        <v>2.5000000000000001E-3</v>
      </c>
    </row>
    <row r="221" spans="1:69" s="211" customFormat="1" ht="22.35" customHeight="1" x14ac:dyDescent="0.2">
      <c r="A221" s="221" t="s">
        <v>276</v>
      </c>
      <c r="B221" s="221" t="s">
        <v>277</v>
      </c>
      <c r="C221" s="221" t="s">
        <v>289</v>
      </c>
      <c r="D221" s="222">
        <v>3.0671238162222201</v>
      </c>
      <c r="E221" s="223"/>
      <c r="F221" s="224">
        <v>1.4999999999999999E-2</v>
      </c>
      <c r="G221" s="224">
        <v>0.01</v>
      </c>
      <c r="H221" s="225"/>
      <c r="I221" s="226">
        <v>4</v>
      </c>
      <c r="J221" s="226">
        <v>3</v>
      </c>
      <c r="K221" s="223"/>
      <c r="L221" s="227">
        <v>611.30375000000004</v>
      </c>
      <c r="M221" s="227">
        <v>985.12477000000001</v>
      </c>
      <c r="N221" s="227">
        <v>1596.4285199999999</v>
      </c>
      <c r="O221" s="222">
        <v>520.49692665042801</v>
      </c>
      <c r="P221" s="228">
        <v>259.01299999999998</v>
      </c>
      <c r="Q221" s="234">
        <v>2.00953977850698</v>
      </c>
      <c r="R221" s="235">
        <v>728.91648441580696</v>
      </c>
      <c r="S221" s="224">
        <v>0.01</v>
      </c>
      <c r="T221" s="224">
        <v>0.01</v>
      </c>
      <c r="U221" s="231">
        <v>0</v>
      </c>
      <c r="V221" s="232">
        <v>0</v>
      </c>
      <c r="W221" s="223"/>
      <c r="X221" s="231">
        <v>1081.3149000000001</v>
      </c>
      <c r="Y221" s="222">
        <v>352.55012995590602</v>
      </c>
      <c r="Z221" s="233">
        <v>573</v>
      </c>
      <c r="AA221" s="229">
        <v>0.61527073290734102</v>
      </c>
      <c r="AB221" s="230">
        <v>-837.83354579130298</v>
      </c>
      <c r="AC221" s="224"/>
      <c r="AD221" s="224"/>
      <c r="AE221" s="232">
        <v>677</v>
      </c>
      <c r="AF221" s="232">
        <v>1028</v>
      </c>
      <c r="AG221" s="223"/>
      <c r="AH221" s="236">
        <v>101.25</v>
      </c>
      <c r="AI221" s="222">
        <v>33.011383324169003</v>
      </c>
      <c r="AJ221" s="237" t="s">
        <v>54</v>
      </c>
      <c r="AK221" s="229">
        <v>0.523990211494747</v>
      </c>
      <c r="AL221" s="230">
        <v>-109.755850060824</v>
      </c>
      <c r="AM221" s="224"/>
      <c r="AN221" s="224"/>
      <c r="AO221" s="232">
        <v>92</v>
      </c>
      <c r="AP221" s="232">
        <v>131</v>
      </c>
      <c r="AQ221" s="223"/>
      <c r="AR221" s="236">
        <v>16.600000000000001</v>
      </c>
      <c r="AS221" s="222">
        <v>5.4122366733946299</v>
      </c>
      <c r="AT221" s="237" t="s">
        <v>55</v>
      </c>
      <c r="AU221" s="229">
        <v>0.33826479208716398</v>
      </c>
      <c r="AV221" s="230">
        <v>-36.9887873170346</v>
      </c>
      <c r="AW221" s="224"/>
      <c r="AX221" s="224"/>
      <c r="AY221" s="232">
        <v>33</v>
      </c>
      <c r="AZ221" s="232">
        <v>43</v>
      </c>
      <c r="BA221" s="223"/>
      <c r="BB221" s="240">
        <v>93.8</v>
      </c>
      <c r="BC221" s="236">
        <v>30.582397588217798</v>
      </c>
      <c r="BD221" s="237" t="s">
        <v>56</v>
      </c>
      <c r="BE221" s="238">
        <v>0.95569992463180697</v>
      </c>
      <c r="BF221" s="239">
        <v>-13.377574634069299</v>
      </c>
      <c r="BG221" s="224">
        <v>5.0000000000000001E-3</v>
      </c>
      <c r="BH221" s="224"/>
      <c r="BI221" s="232">
        <v>5</v>
      </c>
      <c r="BJ221" s="232">
        <v>24</v>
      </c>
      <c r="BK221" s="225"/>
      <c r="BL221" s="241">
        <v>0.8</v>
      </c>
      <c r="BM221" s="238">
        <v>0.81</v>
      </c>
      <c r="BN221" s="242">
        <v>3.7500000000000001E-4</v>
      </c>
      <c r="BO221" s="243">
        <v>0.95</v>
      </c>
      <c r="BP221" s="234">
        <v>1</v>
      </c>
      <c r="BQ221" s="242">
        <v>2.5000000000000001E-3</v>
      </c>
    </row>
    <row r="222" spans="1:69" s="211" customFormat="1" ht="22.35" customHeight="1" x14ac:dyDescent="0.2">
      <c r="A222" s="221" t="s">
        <v>276</v>
      </c>
      <c r="B222" s="221" t="s">
        <v>277</v>
      </c>
      <c r="C222" s="221" t="s">
        <v>290</v>
      </c>
      <c r="D222" s="222">
        <v>7.3002462538888899</v>
      </c>
      <c r="E222" s="223"/>
      <c r="F222" s="224">
        <v>2.3E-2</v>
      </c>
      <c r="G222" s="224">
        <v>1.2E-2</v>
      </c>
      <c r="H222" s="225"/>
      <c r="I222" s="226">
        <v>3</v>
      </c>
      <c r="J222" s="226">
        <v>3</v>
      </c>
      <c r="K222" s="223"/>
      <c r="L222" s="227">
        <v>4496.5194600000004</v>
      </c>
      <c r="M222" s="227">
        <v>2444.5513599999999</v>
      </c>
      <c r="N222" s="227">
        <v>6941.0708199999999</v>
      </c>
      <c r="O222" s="222">
        <v>950.79954546772296</v>
      </c>
      <c r="P222" s="228">
        <v>287.5</v>
      </c>
      <c r="Q222" s="234">
        <v>3.3071288538007702</v>
      </c>
      <c r="R222" s="235">
        <v>4649.1585085915804</v>
      </c>
      <c r="S222" s="224">
        <v>0.01</v>
      </c>
      <c r="T222" s="224">
        <v>0.01</v>
      </c>
      <c r="U222" s="231">
        <v>0</v>
      </c>
      <c r="V222" s="232">
        <v>0</v>
      </c>
      <c r="W222" s="223"/>
      <c r="X222" s="231">
        <v>3106.0787049999999</v>
      </c>
      <c r="Y222" s="222">
        <v>425.47588080955097</v>
      </c>
      <c r="Z222" s="233">
        <v>573</v>
      </c>
      <c r="AA222" s="244">
        <v>0.74254080420515001</v>
      </c>
      <c r="AB222" s="227">
        <v>-1461.8021799983401</v>
      </c>
      <c r="AC222" s="224"/>
      <c r="AD222" s="224"/>
      <c r="AE222" s="232">
        <v>1077</v>
      </c>
      <c r="AF222" s="232">
        <v>1914</v>
      </c>
      <c r="AG222" s="223"/>
      <c r="AH222" s="236">
        <v>248.4</v>
      </c>
      <c r="AI222" s="222">
        <v>34.026249438870103</v>
      </c>
      <c r="AJ222" s="237" t="s">
        <v>54</v>
      </c>
      <c r="AK222" s="229">
        <v>0.540099197442382</v>
      </c>
      <c r="AL222" s="230">
        <v>-253.82774128253999</v>
      </c>
      <c r="AM222" s="224"/>
      <c r="AN222" s="224"/>
      <c r="AO222" s="232">
        <v>212</v>
      </c>
      <c r="AP222" s="232">
        <v>304</v>
      </c>
      <c r="AQ222" s="223"/>
      <c r="AR222" s="236">
        <v>58.8</v>
      </c>
      <c r="AS222" s="222">
        <v>8.0545228140320404</v>
      </c>
      <c r="AT222" s="237" t="s">
        <v>55</v>
      </c>
      <c r="AU222" s="229">
        <v>0.50340767587700297</v>
      </c>
      <c r="AV222" s="230">
        <v>-68.749902547946704</v>
      </c>
      <c r="AW222" s="224"/>
      <c r="AX222" s="224"/>
      <c r="AY222" s="232">
        <v>59</v>
      </c>
      <c r="AZ222" s="232">
        <v>82</v>
      </c>
      <c r="BA222" s="223"/>
      <c r="BB222" s="240">
        <v>239.4</v>
      </c>
      <c r="BC222" s="236">
        <v>32.793414314273299</v>
      </c>
      <c r="BD222" s="237" t="s">
        <v>56</v>
      </c>
      <c r="BE222" s="238">
        <v>1.0247941973210399</v>
      </c>
      <c r="BF222" s="239">
        <v>-15.6998050958933</v>
      </c>
      <c r="BG222" s="224">
        <v>1.2999999999999999E-2</v>
      </c>
      <c r="BH222" s="224">
        <v>2E-3</v>
      </c>
      <c r="BI222" s="232">
        <v>0</v>
      </c>
      <c r="BJ222" s="232">
        <v>41</v>
      </c>
      <c r="BK222" s="225"/>
      <c r="BL222" s="241">
        <v>0.8</v>
      </c>
      <c r="BM222" s="229">
        <v>0.65</v>
      </c>
      <c r="BN222" s="242"/>
      <c r="BO222" s="243">
        <v>0.95</v>
      </c>
      <c r="BP222" s="234">
        <v>1</v>
      </c>
      <c r="BQ222" s="242">
        <v>2.5000000000000001E-3</v>
      </c>
    </row>
    <row r="223" spans="1:69" s="211" customFormat="1" ht="22.35" customHeight="1" x14ac:dyDescent="0.2">
      <c r="A223" s="221" t="s">
        <v>276</v>
      </c>
      <c r="B223" s="221" t="s">
        <v>277</v>
      </c>
      <c r="C223" s="221" t="s">
        <v>291</v>
      </c>
      <c r="D223" s="222">
        <v>2.9612506945555599</v>
      </c>
      <c r="E223" s="223"/>
      <c r="F223" s="224">
        <v>5.7000000000000002E-2</v>
      </c>
      <c r="G223" s="224">
        <v>4.5999999999999999E-2</v>
      </c>
      <c r="H223" s="225"/>
      <c r="I223" s="226">
        <v>6</v>
      </c>
      <c r="J223" s="226">
        <v>6</v>
      </c>
      <c r="K223" s="223"/>
      <c r="L223" s="227">
        <v>1364.66688</v>
      </c>
      <c r="M223" s="227">
        <v>647.40656000000001</v>
      </c>
      <c r="N223" s="227">
        <v>2012.0734399999999</v>
      </c>
      <c r="O223" s="222">
        <v>679.46744384030796</v>
      </c>
      <c r="P223" s="228">
        <v>273.31099999999998</v>
      </c>
      <c r="Q223" s="234">
        <v>2.48605963111733</v>
      </c>
      <c r="R223" s="235">
        <v>1128.27155167099</v>
      </c>
      <c r="S223" s="224">
        <v>0.01</v>
      </c>
      <c r="T223" s="224">
        <v>0.01</v>
      </c>
      <c r="U223" s="231">
        <v>0</v>
      </c>
      <c r="V223" s="232">
        <v>0</v>
      </c>
      <c r="W223" s="223"/>
      <c r="X223" s="231">
        <v>1803.7364399999999</v>
      </c>
      <c r="Y223" s="222">
        <v>609.11304919785505</v>
      </c>
      <c r="Z223" s="233">
        <v>573</v>
      </c>
      <c r="AA223" s="238">
        <v>1.0630245186699001</v>
      </c>
      <c r="AB223" s="239">
        <v>-49.165499594526899</v>
      </c>
      <c r="AC223" s="224">
        <v>1.7000000000000001E-2</v>
      </c>
      <c r="AD223" s="224">
        <v>6.0000000000000001E-3</v>
      </c>
      <c r="AE223" s="232">
        <v>0</v>
      </c>
      <c r="AF223" s="232">
        <v>233</v>
      </c>
      <c r="AG223" s="223"/>
      <c r="AH223" s="236">
        <v>146.15</v>
      </c>
      <c r="AI223" s="222">
        <v>49.354146296598898</v>
      </c>
      <c r="AJ223" s="237" t="s">
        <v>54</v>
      </c>
      <c r="AK223" s="244">
        <v>0.78339914756506202</v>
      </c>
      <c r="AL223" s="227">
        <v>-57.572202782644297</v>
      </c>
      <c r="AM223" s="224"/>
      <c r="AN223" s="224"/>
      <c r="AO223" s="232">
        <v>41</v>
      </c>
      <c r="AP223" s="232">
        <v>78</v>
      </c>
      <c r="AQ223" s="223"/>
      <c r="AR223" s="236">
        <v>69</v>
      </c>
      <c r="AS223" s="222">
        <v>23.300965408589299</v>
      </c>
      <c r="AT223" s="237" t="s">
        <v>55</v>
      </c>
      <c r="AU223" s="234">
        <v>1.4563103380368301</v>
      </c>
      <c r="AV223" s="235">
        <v>17.2610278647253</v>
      </c>
      <c r="AW223" s="224">
        <v>0.01</v>
      </c>
      <c r="AX223" s="224">
        <v>0.01</v>
      </c>
      <c r="AY223" s="232">
        <v>0</v>
      </c>
      <c r="AZ223" s="232">
        <v>0</v>
      </c>
      <c r="BA223" s="223"/>
      <c r="BB223" s="240">
        <v>225.4</v>
      </c>
      <c r="BC223" s="236">
        <v>76.116487001391704</v>
      </c>
      <c r="BD223" s="237" t="s">
        <v>56</v>
      </c>
      <c r="BE223" s="234">
        <v>2.3786402187934899</v>
      </c>
      <c r="BF223" s="235">
        <v>121.922055729451</v>
      </c>
      <c r="BG223" s="224">
        <v>0.02</v>
      </c>
      <c r="BH223" s="224">
        <v>0.02</v>
      </c>
      <c r="BI223" s="232">
        <v>0</v>
      </c>
      <c r="BJ223" s="232">
        <v>0</v>
      </c>
      <c r="BK223" s="225"/>
      <c r="BL223" s="241">
        <v>0.8</v>
      </c>
      <c r="BM223" s="238">
        <v>0.81</v>
      </c>
      <c r="BN223" s="242">
        <v>3.7500000000000001E-4</v>
      </c>
      <c r="BO223" s="243">
        <v>0.95</v>
      </c>
      <c r="BP223" s="234">
        <v>1</v>
      </c>
      <c r="BQ223" s="242">
        <v>2.5000000000000001E-3</v>
      </c>
    </row>
    <row r="224" spans="1:69" s="211" customFormat="1" ht="22.35" customHeight="1" x14ac:dyDescent="0.2">
      <c r="A224" s="221" t="s">
        <v>276</v>
      </c>
      <c r="B224" s="221" t="s">
        <v>277</v>
      </c>
      <c r="C224" s="221" t="s">
        <v>292</v>
      </c>
      <c r="D224" s="222">
        <v>3.1521611030000001</v>
      </c>
      <c r="E224" s="223"/>
      <c r="F224" s="224">
        <v>3.2000000000000001E-2</v>
      </c>
      <c r="G224" s="224">
        <v>0.03</v>
      </c>
      <c r="H224" s="225"/>
      <c r="I224" s="226">
        <v>4</v>
      </c>
      <c r="J224" s="226">
        <v>3</v>
      </c>
      <c r="K224" s="223"/>
      <c r="L224" s="227">
        <v>1560.8911900000001</v>
      </c>
      <c r="M224" s="227">
        <v>1123.7683500000001</v>
      </c>
      <c r="N224" s="227">
        <v>2684.6595400000001</v>
      </c>
      <c r="O224" s="222">
        <v>851.68855660484303</v>
      </c>
      <c r="P224" s="228">
        <v>216.041</v>
      </c>
      <c r="Q224" s="234">
        <v>3.9422542786084298</v>
      </c>
      <c r="R224" s="235">
        <v>1941.01186775628</v>
      </c>
      <c r="S224" s="224">
        <v>0.01</v>
      </c>
      <c r="T224" s="224">
        <v>0.01</v>
      </c>
      <c r="U224" s="231">
        <v>0</v>
      </c>
      <c r="V224" s="232">
        <v>0</v>
      </c>
      <c r="W224" s="223"/>
      <c r="X224" s="231">
        <v>1582.9987149999999</v>
      </c>
      <c r="Y224" s="222">
        <v>502.19473665017199</v>
      </c>
      <c r="Z224" s="233">
        <v>573</v>
      </c>
      <c r="AA224" s="244">
        <v>0.87643060497412195</v>
      </c>
      <c r="AB224" s="227">
        <v>-389.35892172474797</v>
      </c>
      <c r="AC224" s="224"/>
      <c r="AD224" s="224"/>
      <c r="AE224" s="232">
        <v>224</v>
      </c>
      <c r="AF224" s="232">
        <v>585</v>
      </c>
      <c r="AG224" s="223"/>
      <c r="AH224" s="236">
        <v>185.05</v>
      </c>
      <c r="AI224" s="222">
        <v>58.7057558142833</v>
      </c>
      <c r="AJ224" s="237" t="s">
        <v>54</v>
      </c>
      <c r="AK224" s="238">
        <v>0.93183739387751297</v>
      </c>
      <c r="AL224" s="239">
        <v>-31.806075241988001</v>
      </c>
      <c r="AM224" s="224">
        <v>2E-3</v>
      </c>
      <c r="AN224" s="224"/>
      <c r="AO224" s="232">
        <v>14</v>
      </c>
      <c r="AP224" s="232">
        <v>54</v>
      </c>
      <c r="AQ224" s="223"/>
      <c r="AR224" s="236">
        <v>8</v>
      </c>
      <c r="AS224" s="222">
        <v>2.5379413483613402</v>
      </c>
      <c r="AT224" s="237" t="s">
        <v>55</v>
      </c>
      <c r="AU224" s="229">
        <v>0.15862133427258401</v>
      </c>
      <c r="AV224" s="230">
        <v>-47.074558791615999</v>
      </c>
      <c r="AW224" s="224"/>
      <c r="AX224" s="224"/>
      <c r="AY224" s="232">
        <v>43</v>
      </c>
      <c r="AZ224" s="232">
        <v>53</v>
      </c>
      <c r="BA224" s="223"/>
      <c r="BB224" s="240">
        <v>129.6</v>
      </c>
      <c r="BC224" s="236">
        <v>41.114649843453797</v>
      </c>
      <c r="BD224" s="237" t="s">
        <v>56</v>
      </c>
      <c r="BE224" s="234">
        <v>1.2848328076079301</v>
      </c>
      <c r="BF224" s="235">
        <v>19.450882416768</v>
      </c>
      <c r="BG224" s="224">
        <v>0.02</v>
      </c>
      <c r="BH224" s="224">
        <v>0.02</v>
      </c>
      <c r="BI224" s="232">
        <v>0</v>
      </c>
      <c r="BJ224" s="232">
        <v>0</v>
      </c>
      <c r="BK224" s="225"/>
      <c r="BL224" s="241">
        <v>0.8</v>
      </c>
      <c r="BM224" s="244">
        <v>0.72</v>
      </c>
      <c r="BN224" s="242"/>
      <c r="BO224" s="243">
        <v>0.95</v>
      </c>
      <c r="BP224" s="234">
        <v>1</v>
      </c>
      <c r="BQ224" s="242">
        <v>2.5000000000000001E-3</v>
      </c>
    </row>
    <row r="225" spans="1:69" s="211" customFormat="1" ht="22.35" customHeight="1" x14ac:dyDescent="0.2">
      <c r="A225" s="221" t="s">
        <v>276</v>
      </c>
      <c r="B225" s="221" t="s">
        <v>277</v>
      </c>
      <c r="C225" s="221" t="s">
        <v>293</v>
      </c>
      <c r="D225" s="222">
        <v>7.7095109328888896</v>
      </c>
      <c r="E225" s="223"/>
      <c r="F225" s="224">
        <v>5.1999999999999998E-2</v>
      </c>
      <c r="G225" s="224">
        <v>3.4500000000000003E-2</v>
      </c>
      <c r="H225" s="225"/>
      <c r="I225" s="226">
        <v>5</v>
      </c>
      <c r="J225" s="226">
        <v>5</v>
      </c>
      <c r="K225" s="223"/>
      <c r="L225" s="227">
        <v>3662.8444199999999</v>
      </c>
      <c r="M225" s="227">
        <v>857.21752000000004</v>
      </c>
      <c r="N225" s="227">
        <v>4520.0619399999996</v>
      </c>
      <c r="O225" s="222">
        <v>586.29684546101998</v>
      </c>
      <c r="P225" s="228">
        <v>287.5</v>
      </c>
      <c r="Q225" s="234">
        <v>2.0392933755165901</v>
      </c>
      <c r="R225" s="235">
        <v>2099.6609826195299</v>
      </c>
      <c r="S225" s="224">
        <v>0.01</v>
      </c>
      <c r="T225" s="224">
        <v>0.01</v>
      </c>
      <c r="U225" s="231">
        <v>0</v>
      </c>
      <c r="V225" s="232">
        <v>0</v>
      </c>
      <c r="W225" s="223"/>
      <c r="X225" s="231">
        <v>4701.7310500000003</v>
      </c>
      <c r="Y225" s="222">
        <v>609.86113009352403</v>
      </c>
      <c r="Z225" s="233">
        <v>573</v>
      </c>
      <c r="AA225" s="238">
        <v>1.0643300699712499</v>
      </c>
      <c r="AB225" s="239">
        <v>-122.233292883505</v>
      </c>
      <c r="AC225" s="224">
        <v>1.7000000000000001E-2</v>
      </c>
      <c r="AD225" s="224">
        <v>6.0000000000000001E-3</v>
      </c>
      <c r="AE225" s="232">
        <v>0</v>
      </c>
      <c r="AF225" s="232">
        <v>600</v>
      </c>
      <c r="AG225" s="223"/>
      <c r="AH225" s="236">
        <v>246.1</v>
      </c>
      <c r="AI225" s="222">
        <v>31.921609832620302</v>
      </c>
      <c r="AJ225" s="237" t="s">
        <v>54</v>
      </c>
      <c r="AK225" s="229">
        <v>0.506692219565402</v>
      </c>
      <c r="AL225" s="230">
        <v>-284.28351413902402</v>
      </c>
      <c r="AM225" s="224"/>
      <c r="AN225" s="224"/>
      <c r="AO225" s="232">
        <v>240</v>
      </c>
      <c r="AP225" s="232">
        <v>337</v>
      </c>
      <c r="AQ225" s="223"/>
      <c r="AR225" s="236">
        <v>123.5</v>
      </c>
      <c r="AS225" s="222">
        <v>16.019174377605101</v>
      </c>
      <c r="AT225" s="237" t="s">
        <v>55</v>
      </c>
      <c r="AU225" s="238">
        <v>1.0011983986003199</v>
      </c>
      <c r="AV225" s="239">
        <v>-11.2005750194347</v>
      </c>
      <c r="AW225" s="224">
        <v>5.0000000000000001E-3</v>
      </c>
      <c r="AX225" s="224">
        <v>5.0000000000000001E-4</v>
      </c>
      <c r="AY225" s="232">
        <v>0</v>
      </c>
      <c r="AZ225" s="232">
        <v>25</v>
      </c>
      <c r="BA225" s="223"/>
      <c r="BB225" s="240">
        <v>290.39999999999998</v>
      </c>
      <c r="BC225" s="236">
        <v>37.667759022319999</v>
      </c>
      <c r="BD225" s="237" t="s">
        <v>56</v>
      </c>
      <c r="BE225" s="234">
        <v>1.1771174694475</v>
      </c>
      <c r="BF225" s="235">
        <v>20.998849961130599</v>
      </c>
      <c r="BG225" s="224">
        <v>0.02</v>
      </c>
      <c r="BH225" s="224">
        <v>1.7999999999999999E-2</v>
      </c>
      <c r="BI225" s="232">
        <v>0</v>
      </c>
      <c r="BJ225" s="232">
        <v>6</v>
      </c>
      <c r="BK225" s="225"/>
      <c r="BL225" s="241">
        <v>0.8</v>
      </c>
      <c r="BM225" s="244">
        <v>0.78</v>
      </c>
      <c r="BN225" s="242"/>
      <c r="BO225" s="243">
        <v>0.95</v>
      </c>
      <c r="BP225" s="234">
        <v>1</v>
      </c>
      <c r="BQ225" s="242">
        <v>2.5000000000000001E-3</v>
      </c>
    </row>
    <row r="226" spans="1:69" s="211" customFormat="1" ht="22.35" customHeight="1" x14ac:dyDescent="0.2">
      <c r="A226" s="221" t="s">
        <v>276</v>
      </c>
      <c r="B226" s="221" t="s">
        <v>277</v>
      </c>
      <c r="C226" s="221" t="s">
        <v>294</v>
      </c>
      <c r="D226" s="222">
        <v>2.83696294222222</v>
      </c>
      <c r="E226" s="223"/>
      <c r="F226" s="224">
        <v>2.4E-2</v>
      </c>
      <c r="G226" s="224">
        <v>1.4E-2</v>
      </c>
      <c r="H226" s="225"/>
      <c r="I226" s="226">
        <v>4</v>
      </c>
      <c r="J226" s="226">
        <v>4</v>
      </c>
      <c r="K226" s="223"/>
      <c r="L226" s="227">
        <v>551.51557000000003</v>
      </c>
      <c r="M226" s="227">
        <v>2008.1950300000001</v>
      </c>
      <c r="N226" s="227">
        <v>2559.7105999999999</v>
      </c>
      <c r="O226" s="222">
        <v>902.27142621572398</v>
      </c>
      <c r="P226" s="228">
        <v>287.5</v>
      </c>
      <c r="Q226" s="234">
        <v>3.13833539553295</v>
      </c>
      <c r="R226" s="235">
        <v>1669.0460842893301</v>
      </c>
      <c r="S226" s="224">
        <v>0.01</v>
      </c>
      <c r="T226" s="224">
        <v>0.01</v>
      </c>
      <c r="U226" s="231">
        <v>0</v>
      </c>
      <c r="V226" s="232">
        <v>0</v>
      </c>
      <c r="W226" s="223"/>
      <c r="X226" s="231">
        <v>1692.8295149999999</v>
      </c>
      <c r="Y226" s="222">
        <v>596.70483875760101</v>
      </c>
      <c r="Z226" s="233">
        <v>573</v>
      </c>
      <c r="AA226" s="238">
        <v>1.0413697011476499</v>
      </c>
      <c r="AB226" s="239">
        <v>-82.303589355518397</v>
      </c>
      <c r="AC226" s="224">
        <v>1.4E-2</v>
      </c>
      <c r="AD226" s="224">
        <v>4.0000000000000001E-3</v>
      </c>
      <c r="AE226" s="232">
        <v>0</v>
      </c>
      <c r="AF226" s="232">
        <v>258</v>
      </c>
      <c r="AG226" s="223"/>
      <c r="AH226" s="236">
        <v>114.5</v>
      </c>
      <c r="AI226" s="222">
        <v>40.360061915476003</v>
      </c>
      <c r="AJ226" s="237" t="s">
        <v>54</v>
      </c>
      <c r="AK226" s="229">
        <v>0.640635903420255</v>
      </c>
      <c r="AL226" s="230">
        <v>-80.671702573119802</v>
      </c>
      <c r="AM226" s="224"/>
      <c r="AN226" s="224"/>
      <c r="AO226" s="232">
        <v>65</v>
      </c>
      <c r="AP226" s="232">
        <v>100</v>
      </c>
      <c r="AQ226" s="223"/>
      <c r="AR226" s="236">
        <v>6.6</v>
      </c>
      <c r="AS226" s="222">
        <v>2.3264315165252598</v>
      </c>
      <c r="AT226" s="237" t="s">
        <v>55</v>
      </c>
      <c r="AU226" s="229">
        <v>0.14540196978282899</v>
      </c>
      <c r="AV226" s="230">
        <v>-42.967416526506597</v>
      </c>
      <c r="AW226" s="224"/>
      <c r="AX226" s="224"/>
      <c r="AY226" s="232">
        <v>39</v>
      </c>
      <c r="AZ226" s="232">
        <v>48</v>
      </c>
      <c r="BA226" s="223"/>
      <c r="BB226" s="240">
        <v>71.400000000000006</v>
      </c>
      <c r="BC226" s="236">
        <v>25.1677591333187</v>
      </c>
      <c r="BD226" s="237" t="s">
        <v>56</v>
      </c>
      <c r="BE226" s="244">
        <v>0.78649247291620905</v>
      </c>
      <c r="BF226" s="227">
        <v>-27.734833053013201</v>
      </c>
      <c r="BG226" s="224"/>
      <c r="BH226" s="224"/>
      <c r="BI226" s="232">
        <v>20</v>
      </c>
      <c r="BJ226" s="232">
        <v>38</v>
      </c>
      <c r="BK226" s="225"/>
      <c r="BL226" s="241">
        <v>0.8</v>
      </c>
      <c r="BM226" s="238">
        <v>0.86</v>
      </c>
      <c r="BN226" s="242">
        <v>2.2499999999999998E-3</v>
      </c>
      <c r="BO226" s="243">
        <v>0.95</v>
      </c>
      <c r="BP226" s="234">
        <v>1</v>
      </c>
      <c r="BQ226" s="242">
        <v>2.5000000000000001E-3</v>
      </c>
    </row>
    <row r="227" spans="1:69" s="211" customFormat="1" ht="22.35" customHeight="1" x14ac:dyDescent="0.2">
      <c r="A227" s="221" t="s">
        <v>276</v>
      </c>
      <c r="B227" s="221" t="s">
        <v>277</v>
      </c>
      <c r="C227" s="221" t="s">
        <v>295</v>
      </c>
      <c r="D227" s="222">
        <v>2.9777762321111099</v>
      </c>
      <c r="E227" s="223"/>
      <c r="F227" s="224">
        <v>4.9000000000000002E-2</v>
      </c>
      <c r="G227" s="224">
        <v>3.9E-2</v>
      </c>
      <c r="H227" s="225"/>
      <c r="I227" s="226">
        <v>5</v>
      </c>
      <c r="J227" s="226">
        <v>5</v>
      </c>
      <c r="K227" s="223"/>
      <c r="L227" s="227">
        <v>2254.32008</v>
      </c>
      <c r="M227" s="227">
        <v>822.82327999999995</v>
      </c>
      <c r="N227" s="227">
        <v>3077.14336</v>
      </c>
      <c r="O227" s="222">
        <v>1033.36957519419</v>
      </c>
      <c r="P227" s="228">
        <v>252.76900000000001</v>
      </c>
      <c r="Q227" s="234">
        <v>4.0881974260854399</v>
      </c>
      <c r="R227" s="235">
        <v>2255.2064037073701</v>
      </c>
      <c r="S227" s="224">
        <v>0.01</v>
      </c>
      <c r="T227" s="224">
        <v>0.01</v>
      </c>
      <c r="U227" s="231">
        <v>0</v>
      </c>
      <c r="V227" s="232">
        <v>0</v>
      </c>
      <c r="W227" s="223"/>
      <c r="X227" s="231">
        <v>2274.2442599999999</v>
      </c>
      <c r="Y227" s="222">
        <v>763.73914046176105</v>
      </c>
      <c r="Z227" s="233">
        <v>573</v>
      </c>
      <c r="AA227" s="234">
        <v>1.3328780810851</v>
      </c>
      <c r="AB227" s="235">
        <v>411.00202714836502</v>
      </c>
      <c r="AC227" s="224">
        <v>0.02</v>
      </c>
      <c r="AD227" s="224">
        <v>0.02</v>
      </c>
      <c r="AE227" s="232">
        <v>0</v>
      </c>
      <c r="AF227" s="232">
        <v>0</v>
      </c>
      <c r="AG227" s="223"/>
      <c r="AH227" s="236">
        <v>133.15</v>
      </c>
      <c r="AI227" s="222">
        <v>44.714575448673799</v>
      </c>
      <c r="AJ227" s="237" t="s">
        <v>54</v>
      </c>
      <c r="AK227" s="229">
        <v>0.70975516585196596</v>
      </c>
      <c r="AL227" s="230">
        <v>-71.709093664315901</v>
      </c>
      <c r="AM227" s="224"/>
      <c r="AN227" s="224"/>
      <c r="AO227" s="232">
        <v>55</v>
      </c>
      <c r="AP227" s="232">
        <v>92</v>
      </c>
      <c r="AQ227" s="223"/>
      <c r="AR227" s="236">
        <v>11.3</v>
      </c>
      <c r="AS227" s="222">
        <v>3.7947780891476901</v>
      </c>
      <c r="AT227" s="237" t="s">
        <v>55</v>
      </c>
      <c r="AU227" s="229">
        <v>0.23717363057173099</v>
      </c>
      <c r="AV227" s="230">
        <v>-40.727706327445297</v>
      </c>
      <c r="AW227" s="224"/>
      <c r="AX227" s="224"/>
      <c r="AY227" s="232">
        <v>37</v>
      </c>
      <c r="AZ227" s="232">
        <v>46</v>
      </c>
      <c r="BA227" s="223"/>
      <c r="BB227" s="240">
        <v>103.4</v>
      </c>
      <c r="BC227" s="236">
        <v>34.723898621050502</v>
      </c>
      <c r="BD227" s="237" t="s">
        <v>56</v>
      </c>
      <c r="BE227" s="238">
        <v>1.08512183190783</v>
      </c>
      <c r="BF227" s="239">
        <v>-0.65541265489062495</v>
      </c>
      <c r="BG227" s="224">
        <v>1.9E-2</v>
      </c>
      <c r="BH227" s="224">
        <v>8.9999999999999993E-3</v>
      </c>
      <c r="BI227" s="232">
        <v>0</v>
      </c>
      <c r="BJ227" s="232">
        <v>11</v>
      </c>
      <c r="BK227" s="225"/>
      <c r="BL227" s="241">
        <v>0.8</v>
      </c>
      <c r="BM227" s="238">
        <v>0.81</v>
      </c>
      <c r="BN227" s="242">
        <v>3.7500000000000001E-4</v>
      </c>
      <c r="BO227" s="243">
        <v>0.95</v>
      </c>
      <c r="BP227" s="234">
        <v>1</v>
      </c>
      <c r="BQ227" s="242">
        <v>2.5000000000000001E-3</v>
      </c>
    </row>
    <row r="228" spans="1:69" s="211" customFormat="1" ht="22.35" customHeight="1" x14ac:dyDescent="0.2">
      <c r="A228" s="221" t="s">
        <v>276</v>
      </c>
      <c r="B228" s="221" t="s">
        <v>277</v>
      </c>
      <c r="C228" s="221" t="s">
        <v>296</v>
      </c>
      <c r="D228" s="222">
        <v>3.3124110478888902</v>
      </c>
      <c r="E228" s="223"/>
      <c r="F228" s="224">
        <v>1.2E-2</v>
      </c>
      <c r="G228" s="224">
        <v>0.01</v>
      </c>
      <c r="H228" s="225"/>
      <c r="I228" s="226">
        <v>4</v>
      </c>
      <c r="J228" s="226">
        <v>3</v>
      </c>
      <c r="K228" s="223"/>
      <c r="L228" s="227">
        <v>1735.43983</v>
      </c>
      <c r="M228" s="227">
        <v>506.97185000000002</v>
      </c>
      <c r="N228" s="227">
        <v>2242.4116800000002</v>
      </c>
      <c r="O228" s="222">
        <v>676.97264849698104</v>
      </c>
      <c r="P228" s="228">
        <v>266.572</v>
      </c>
      <c r="Q228" s="234">
        <v>2.5395489717486499</v>
      </c>
      <c r="R228" s="235">
        <v>1278.18000665924</v>
      </c>
      <c r="S228" s="224">
        <v>0.01</v>
      </c>
      <c r="T228" s="224">
        <v>0.01</v>
      </c>
      <c r="U228" s="231">
        <v>0</v>
      </c>
      <c r="V228" s="232">
        <v>0</v>
      </c>
      <c r="W228" s="223"/>
      <c r="X228" s="231">
        <v>1546.6676649999999</v>
      </c>
      <c r="Y228" s="222">
        <v>466.93107909591799</v>
      </c>
      <c r="Z228" s="233">
        <v>573</v>
      </c>
      <c r="AA228" s="244">
        <v>0.81488844519357395</v>
      </c>
      <c r="AB228" s="227">
        <v>-525.96092624084497</v>
      </c>
      <c r="AC228" s="224"/>
      <c r="AD228" s="224"/>
      <c r="AE228" s="232">
        <v>352</v>
      </c>
      <c r="AF228" s="232">
        <v>731</v>
      </c>
      <c r="AG228" s="223"/>
      <c r="AH228" s="236">
        <v>151.85</v>
      </c>
      <c r="AI228" s="222">
        <v>45.842740470503799</v>
      </c>
      <c r="AJ228" s="237" t="s">
        <v>54</v>
      </c>
      <c r="AK228" s="244">
        <v>0.72766254715085499</v>
      </c>
      <c r="AL228" s="227">
        <v>-76.030630450564104</v>
      </c>
      <c r="AM228" s="224"/>
      <c r="AN228" s="224"/>
      <c r="AO228" s="232">
        <v>57</v>
      </c>
      <c r="AP228" s="232">
        <v>99</v>
      </c>
      <c r="AQ228" s="223"/>
      <c r="AR228" s="236">
        <v>27.8</v>
      </c>
      <c r="AS228" s="222">
        <v>8.3926782027000808</v>
      </c>
      <c r="AT228" s="237" t="s">
        <v>55</v>
      </c>
      <c r="AU228" s="229">
        <v>0.52454238766875505</v>
      </c>
      <c r="AV228" s="230">
        <v>-30.074445828714701</v>
      </c>
      <c r="AW228" s="224"/>
      <c r="AX228" s="224"/>
      <c r="AY228" s="232">
        <v>26</v>
      </c>
      <c r="AZ228" s="232">
        <v>36</v>
      </c>
      <c r="BA228" s="223"/>
      <c r="BB228" s="240">
        <v>98.8</v>
      </c>
      <c r="BC228" s="236">
        <v>29.8272160585168</v>
      </c>
      <c r="BD228" s="237" t="s">
        <v>56</v>
      </c>
      <c r="BE228" s="238">
        <v>0.93210050182865101</v>
      </c>
      <c r="BF228" s="239">
        <v>-16.9488916574294</v>
      </c>
      <c r="BG228" s="224">
        <v>2E-3</v>
      </c>
      <c r="BH228" s="224"/>
      <c r="BI228" s="232">
        <v>8</v>
      </c>
      <c r="BJ228" s="232">
        <v>29</v>
      </c>
      <c r="BK228" s="225"/>
      <c r="BL228" s="241">
        <v>0.8</v>
      </c>
      <c r="BM228" s="238">
        <v>0.83</v>
      </c>
      <c r="BN228" s="242">
        <v>1.1249999999999999E-3</v>
      </c>
      <c r="BO228" s="243">
        <v>0.95</v>
      </c>
      <c r="BP228" s="234">
        <v>1</v>
      </c>
      <c r="BQ228" s="242">
        <v>2.5000000000000001E-3</v>
      </c>
    </row>
    <row r="229" spans="1:69" s="211" customFormat="1" ht="22.35" customHeight="1" x14ac:dyDescent="0.2">
      <c r="A229" s="221" t="s">
        <v>276</v>
      </c>
      <c r="B229" s="221" t="s">
        <v>277</v>
      </c>
      <c r="C229" s="221" t="s">
        <v>297</v>
      </c>
      <c r="D229" s="222">
        <v>3.82718426455556</v>
      </c>
      <c r="E229" s="223"/>
      <c r="F229" s="224">
        <v>0.01</v>
      </c>
      <c r="G229" s="224">
        <v>0.01</v>
      </c>
      <c r="H229" s="225"/>
      <c r="I229" s="226">
        <v>2</v>
      </c>
      <c r="J229" s="226">
        <v>2</v>
      </c>
      <c r="K229" s="223"/>
      <c r="L229" s="227">
        <v>1955.7683099999999</v>
      </c>
      <c r="M229" s="227">
        <v>1799.4212600000001</v>
      </c>
      <c r="N229" s="227">
        <v>3755.18957</v>
      </c>
      <c r="O229" s="222">
        <v>981.18859987424298</v>
      </c>
      <c r="P229" s="228">
        <v>255.06700000000001</v>
      </c>
      <c r="Q229" s="234">
        <v>3.8467877062663698</v>
      </c>
      <c r="R229" s="235">
        <v>2689.19182758233</v>
      </c>
      <c r="S229" s="224">
        <v>0.01</v>
      </c>
      <c r="T229" s="224">
        <v>0.01</v>
      </c>
      <c r="U229" s="231">
        <v>0</v>
      </c>
      <c r="V229" s="232">
        <v>0</v>
      </c>
      <c r="W229" s="223"/>
      <c r="X229" s="231">
        <v>1741.99458</v>
      </c>
      <c r="Y229" s="222">
        <v>455.16349869354798</v>
      </c>
      <c r="Z229" s="233">
        <v>573</v>
      </c>
      <c r="AA229" s="244">
        <v>0.79435165566064203</v>
      </c>
      <c r="AB229" s="227">
        <v>-652.73584928064702</v>
      </c>
      <c r="AC229" s="224"/>
      <c r="AD229" s="224"/>
      <c r="AE229" s="232">
        <v>451</v>
      </c>
      <c r="AF229" s="232">
        <v>890</v>
      </c>
      <c r="AG229" s="223"/>
      <c r="AH229" s="236">
        <v>108.8</v>
      </c>
      <c r="AI229" s="222">
        <v>28.428210527416201</v>
      </c>
      <c r="AJ229" s="237" t="s">
        <v>54</v>
      </c>
      <c r="AK229" s="229">
        <v>0.45124143694311503</v>
      </c>
      <c r="AL229" s="230">
        <v>-154.494968664364</v>
      </c>
      <c r="AM229" s="224"/>
      <c r="AN229" s="224"/>
      <c r="AO229" s="232">
        <v>133</v>
      </c>
      <c r="AP229" s="232">
        <v>181</v>
      </c>
      <c r="AQ229" s="223"/>
      <c r="AR229" s="236">
        <v>9</v>
      </c>
      <c r="AS229" s="222">
        <v>2.3515982973046499</v>
      </c>
      <c r="AT229" s="237" t="s">
        <v>55</v>
      </c>
      <c r="AU229" s="229">
        <v>0.14697489358154101</v>
      </c>
      <c r="AV229" s="230">
        <v>-57.868563470314797</v>
      </c>
      <c r="AW229" s="224"/>
      <c r="AX229" s="224"/>
      <c r="AY229" s="232">
        <v>53</v>
      </c>
      <c r="AZ229" s="232">
        <v>65</v>
      </c>
      <c r="BA229" s="223"/>
      <c r="BB229" s="240">
        <v>97.6</v>
      </c>
      <c r="BC229" s="236">
        <v>25.5017770907704</v>
      </c>
      <c r="BD229" s="237" t="s">
        <v>56</v>
      </c>
      <c r="BE229" s="244">
        <v>0.79693053408657599</v>
      </c>
      <c r="BF229" s="227">
        <v>-36.1371269406295</v>
      </c>
      <c r="BG229" s="224"/>
      <c r="BH229" s="224"/>
      <c r="BI229" s="232">
        <v>25</v>
      </c>
      <c r="BJ229" s="232">
        <v>50</v>
      </c>
      <c r="BK229" s="225"/>
      <c r="BL229" s="241">
        <v>0.8</v>
      </c>
      <c r="BM229" s="244">
        <v>0.78</v>
      </c>
      <c r="BN229" s="242"/>
      <c r="BO229" s="243">
        <v>0.95</v>
      </c>
      <c r="BP229" s="234">
        <v>1</v>
      </c>
      <c r="BQ229" s="242">
        <v>2.5000000000000001E-3</v>
      </c>
    </row>
    <row r="230" spans="1:69" s="211" customFormat="1" ht="22.35" customHeight="1" x14ac:dyDescent="0.2">
      <c r="A230" s="221" t="s">
        <v>276</v>
      </c>
      <c r="B230" s="221" t="s">
        <v>277</v>
      </c>
      <c r="C230" s="221" t="s">
        <v>298</v>
      </c>
      <c r="D230" s="222">
        <v>6.0225891787777801</v>
      </c>
      <c r="E230" s="223"/>
      <c r="F230" s="224">
        <v>0.04</v>
      </c>
      <c r="G230" s="224">
        <v>3.1E-2</v>
      </c>
      <c r="H230" s="225"/>
      <c r="I230" s="226">
        <v>5</v>
      </c>
      <c r="J230" s="226">
        <v>5</v>
      </c>
      <c r="K230" s="223"/>
      <c r="L230" s="227">
        <v>3584.4030400000001</v>
      </c>
      <c r="M230" s="227">
        <v>3702.6094699999999</v>
      </c>
      <c r="N230" s="227">
        <v>7287.0125099999996</v>
      </c>
      <c r="O230" s="222">
        <v>1209.94680090048</v>
      </c>
      <c r="P230" s="228">
        <v>287.5</v>
      </c>
      <c r="Q230" s="234">
        <v>4.2085106118277604</v>
      </c>
      <c r="R230" s="235">
        <v>5396.22063732272</v>
      </c>
      <c r="S230" s="224">
        <v>0.01</v>
      </c>
      <c r="T230" s="224">
        <v>0.01</v>
      </c>
      <c r="U230" s="231">
        <v>0</v>
      </c>
      <c r="V230" s="232">
        <v>0</v>
      </c>
      <c r="W230" s="223"/>
      <c r="X230" s="231">
        <v>3469.2968850000002</v>
      </c>
      <c r="Y230" s="222">
        <v>576.04740785325396</v>
      </c>
      <c r="Z230" s="233">
        <v>573</v>
      </c>
      <c r="AA230" s="238">
        <v>1.0053183383128299</v>
      </c>
      <c r="AB230" s="239">
        <v>-299.133525588118</v>
      </c>
      <c r="AC230" s="224">
        <v>0.01</v>
      </c>
      <c r="AD230" s="224">
        <v>1E-3</v>
      </c>
      <c r="AE230" s="232">
        <v>0</v>
      </c>
      <c r="AF230" s="232">
        <v>672</v>
      </c>
      <c r="AG230" s="223"/>
      <c r="AH230" s="236">
        <v>317.35000000000002</v>
      </c>
      <c r="AI230" s="222">
        <v>52.6932836658141</v>
      </c>
      <c r="AJ230" s="237" t="s">
        <v>54</v>
      </c>
      <c r="AK230" s="244">
        <v>0.83640132802879597</v>
      </c>
      <c r="AL230" s="227">
        <v>-96.980045143196094</v>
      </c>
      <c r="AM230" s="224"/>
      <c r="AN230" s="224"/>
      <c r="AO230" s="232">
        <v>63</v>
      </c>
      <c r="AP230" s="232">
        <v>138</v>
      </c>
      <c r="AQ230" s="223"/>
      <c r="AR230" s="236">
        <v>47.7</v>
      </c>
      <c r="AS230" s="222">
        <v>7.9201816003130103</v>
      </c>
      <c r="AT230" s="237" t="s">
        <v>55</v>
      </c>
      <c r="AU230" s="229">
        <v>0.49501135001956298</v>
      </c>
      <c r="AV230" s="230">
        <v>-57.526678131605401</v>
      </c>
      <c r="AW230" s="224"/>
      <c r="AX230" s="224"/>
      <c r="AY230" s="232">
        <v>49</v>
      </c>
      <c r="AZ230" s="232">
        <v>68</v>
      </c>
      <c r="BA230" s="223"/>
      <c r="BB230" s="240">
        <v>238.2</v>
      </c>
      <c r="BC230" s="236">
        <v>39.551095538669998</v>
      </c>
      <c r="BD230" s="237" t="s">
        <v>56</v>
      </c>
      <c r="BE230" s="234">
        <v>1.2359717355834401</v>
      </c>
      <c r="BF230" s="235">
        <v>27.746643736789299</v>
      </c>
      <c r="BG230" s="224">
        <v>0.02</v>
      </c>
      <c r="BH230" s="224">
        <v>0.02</v>
      </c>
      <c r="BI230" s="232">
        <v>0</v>
      </c>
      <c r="BJ230" s="232">
        <v>0</v>
      </c>
      <c r="BK230" s="225"/>
      <c r="BL230" s="241">
        <v>0.8</v>
      </c>
      <c r="BM230" s="238">
        <v>0.82</v>
      </c>
      <c r="BN230" s="242">
        <v>7.5000000000000002E-4</v>
      </c>
      <c r="BO230" s="243">
        <v>0.95</v>
      </c>
      <c r="BP230" s="234">
        <v>1</v>
      </c>
      <c r="BQ230" s="242">
        <v>2.5000000000000001E-3</v>
      </c>
    </row>
    <row r="231" spans="1:69" s="211" customFormat="1" ht="22.35" customHeight="1" x14ac:dyDescent="0.2">
      <c r="A231" s="221" t="s">
        <v>276</v>
      </c>
      <c r="B231" s="221" t="s">
        <v>277</v>
      </c>
      <c r="C231" s="221" t="s">
        <v>299</v>
      </c>
      <c r="D231" s="222">
        <v>5.7046753833333304</v>
      </c>
      <c r="E231" s="223"/>
      <c r="F231" s="224">
        <v>0.03</v>
      </c>
      <c r="G231" s="224">
        <v>0.03</v>
      </c>
      <c r="H231" s="225"/>
      <c r="I231" s="226">
        <v>3</v>
      </c>
      <c r="J231" s="226">
        <v>3</v>
      </c>
      <c r="K231" s="223"/>
      <c r="L231" s="227">
        <v>3471.5504000000001</v>
      </c>
      <c r="M231" s="227">
        <v>1983.55485</v>
      </c>
      <c r="N231" s="227">
        <v>5455.1052499999996</v>
      </c>
      <c r="O231" s="222">
        <v>956.25165034587701</v>
      </c>
      <c r="P231" s="228">
        <v>221.803</v>
      </c>
      <c r="Q231" s="234">
        <v>4.3112656291658702</v>
      </c>
      <c r="R231" s="235">
        <v>4073.3822374579599</v>
      </c>
      <c r="S231" s="224">
        <v>0.01</v>
      </c>
      <c r="T231" s="224">
        <v>0.01</v>
      </c>
      <c r="U231" s="231">
        <v>0</v>
      </c>
      <c r="V231" s="232">
        <v>0</v>
      </c>
      <c r="W231" s="223"/>
      <c r="X231" s="231">
        <v>2874.0169350000001</v>
      </c>
      <c r="Y231" s="222">
        <v>503.80025888881801</v>
      </c>
      <c r="Z231" s="233">
        <v>573</v>
      </c>
      <c r="AA231" s="244">
        <v>0.87923256350579004</v>
      </c>
      <c r="AB231" s="227">
        <v>-695.48972715779803</v>
      </c>
      <c r="AC231" s="224"/>
      <c r="AD231" s="224"/>
      <c r="AE231" s="232">
        <v>395</v>
      </c>
      <c r="AF231" s="232">
        <v>1049</v>
      </c>
      <c r="AG231" s="223"/>
      <c r="AH231" s="236">
        <v>272.64999999999998</v>
      </c>
      <c r="AI231" s="222">
        <v>47.794130547124396</v>
      </c>
      <c r="AJ231" s="237" t="s">
        <v>54</v>
      </c>
      <c r="AK231" s="244">
        <v>0.75863699281149799</v>
      </c>
      <c r="AL231" s="227">
        <v>-119.8088476718</v>
      </c>
      <c r="AM231" s="224"/>
      <c r="AN231" s="224"/>
      <c r="AO231" s="232">
        <v>87</v>
      </c>
      <c r="AP231" s="232">
        <v>159</v>
      </c>
      <c r="AQ231" s="223"/>
      <c r="AR231" s="236">
        <v>21.6</v>
      </c>
      <c r="AS231" s="222">
        <v>3.7863679435829298</v>
      </c>
      <c r="AT231" s="237" t="s">
        <v>55</v>
      </c>
      <c r="AU231" s="229">
        <v>0.236647996473933</v>
      </c>
      <c r="AV231" s="230">
        <v>-78.072088297600004</v>
      </c>
      <c r="AW231" s="224"/>
      <c r="AX231" s="224"/>
      <c r="AY231" s="232">
        <v>70</v>
      </c>
      <c r="AZ231" s="232">
        <v>88</v>
      </c>
      <c r="BA231" s="223"/>
      <c r="BB231" s="240">
        <v>246.6</v>
      </c>
      <c r="BC231" s="236">
        <v>43.227700689238397</v>
      </c>
      <c r="BD231" s="237" t="s">
        <v>56</v>
      </c>
      <c r="BE231" s="234">
        <v>1.3508656465386999</v>
      </c>
      <c r="BF231" s="235">
        <v>47.255823404800097</v>
      </c>
      <c r="BG231" s="224">
        <v>0.02</v>
      </c>
      <c r="BH231" s="224">
        <v>0.02</v>
      </c>
      <c r="BI231" s="232">
        <v>0</v>
      </c>
      <c r="BJ231" s="232">
        <v>0</v>
      </c>
      <c r="BK231" s="225"/>
      <c r="BL231" s="241">
        <v>0.8</v>
      </c>
      <c r="BM231" s="244">
        <v>0.78</v>
      </c>
      <c r="BN231" s="242"/>
      <c r="BO231" s="243">
        <v>0.95</v>
      </c>
      <c r="BP231" s="234">
        <v>1</v>
      </c>
      <c r="BQ231" s="242">
        <v>2.5000000000000001E-3</v>
      </c>
    </row>
    <row r="232" spans="1:69" s="211" customFormat="1" ht="22.35" customHeight="1" x14ac:dyDescent="0.2">
      <c r="A232" s="221" t="s">
        <v>276</v>
      </c>
      <c r="B232" s="221" t="s">
        <v>300</v>
      </c>
      <c r="C232" s="221" t="s">
        <v>301</v>
      </c>
      <c r="D232" s="222">
        <v>2.4562906796666701</v>
      </c>
      <c r="E232" s="223"/>
      <c r="F232" s="224">
        <v>6.5000000000000002E-2</v>
      </c>
      <c r="G232" s="224">
        <v>5.3999999999999999E-2</v>
      </c>
      <c r="H232" s="225"/>
      <c r="I232" s="226">
        <v>6</v>
      </c>
      <c r="J232" s="226">
        <v>6</v>
      </c>
      <c r="K232" s="223"/>
      <c r="L232" s="227">
        <v>453.65481999999997</v>
      </c>
      <c r="M232" s="227">
        <v>447.72095000000002</v>
      </c>
      <c r="N232" s="227">
        <v>901.37576999999999</v>
      </c>
      <c r="O232" s="222">
        <v>366.96624608058301</v>
      </c>
      <c r="P232" s="228">
        <v>232.92099999999999</v>
      </c>
      <c r="Q232" s="234">
        <v>1.5754966107846999</v>
      </c>
      <c r="R232" s="235">
        <v>276.61889391268397</v>
      </c>
      <c r="S232" s="224">
        <v>0.01</v>
      </c>
      <c r="T232" s="224">
        <v>0.01</v>
      </c>
      <c r="U232" s="231">
        <v>0</v>
      </c>
      <c r="V232" s="232">
        <v>0</v>
      </c>
      <c r="W232" s="223"/>
      <c r="X232" s="231">
        <v>1977.1755900000001</v>
      </c>
      <c r="Y232" s="222">
        <v>804.94365197376203</v>
      </c>
      <c r="Z232" s="233">
        <v>573</v>
      </c>
      <c r="AA232" s="234">
        <v>1.4047882233399001</v>
      </c>
      <c r="AB232" s="235">
        <v>440.23521108169001</v>
      </c>
      <c r="AC232" s="224">
        <v>0.02</v>
      </c>
      <c r="AD232" s="224">
        <v>0.02</v>
      </c>
      <c r="AE232" s="232">
        <v>0</v>
      </c>
      <c r="AF232" s="232">
        <v>0</v>
      </c>
      <c r="AG232" s="223"/>
      <c r="AH232" s="236">
        <v>161.69999999999999</v>
      </c>
      <c r="AI232" s="222">
        <v>65.830970796153295</v>
      </c>
      <c r="AJ232" s="237" t="s">
        <v>54</v>
      </c>
      <c r="AK232" s="238">
        <v>1.0449360443833899</v>
      </c>
      <c r="AL232" s="239">
        <v>-7.2829735983482404</v>
      </c>
      <c r="AM232" s="224">
        <v>1.4999999999999999E-2</v>
      </c>
      <c r="AN232" s="224">
        <v>4.0000000000000001E-3</v>
      </c>
      <c r="AO232" s="232">
        <v>0</v>
      </c>
      <c r="AP232" s="232">
        <v>24</v>
      </c>
      <c r="AQ232" s="223"/>
      <c r="AR232" s="236">
        <v>9</v>
      </c>
      <c r="AS232" s="222">
        <v>3.6640614543313599</v>
      </c>
      <c r="AT232" s="237" t="s">
        <v>55</v>
      </c>
      <c r="AU232" s="229">
        <v>0.22900384089570999</v>
      </c>
      <c r="AV232" s="230">
        <v>-33.916310755136102</v>
      </c>
      <c r="AW232" s="224"/>
      <c r="AX232" s="224"/>
      <c r="AY232" s="232">
        <v>31</v>
      </c>
      <c r="AZ232" s="232">
        <v>39</v>
      </c>
      <c r="BA232" s="223"/>
      <c r="BB232" s="240">
        <v>94.6</v>
      </c>
      <c r="BC232" s="236">
        <v>38.513357064416198</v>
      </c>
      <c r="BD232" s="237" t="s">
        <v>56</v>
      </c>
      <c r="BE232" s="234">
        <v>1.20354240826301</v>
      </c>
      <c r="BF232" s="235">
        <v>8.7673784897278697</v>
      </c>
      <c r="BG232" s="224">
        <v>0.02</v>
      </c>
      <c r="BH232" s="224">
        <v>0.02</v>
      </c>
      <c r="BI232" s="232">
        <v>0</v>
      </c>
      <c r="BJ232" s="232">
        <v>0</v>
      </c>
      <c r="BK232" s="225"/>
      <c r="BL232" s="241">
        <v>0.8</v>
      </c>
      <c r="BM232" s="238">
        <v>0.85</v>
      </c>
      <c r="BN232" s="242">
        <v>1.8749999999999999E-3</v>
      </c>
      <c r="BO232" s="243">
        <v>0.95</v>
      </c>
      <c r="BP232" s="234">
        <v>1</v>
      </c>
      <c r="BQ232" s="242">
        <v>2.5000000000000001E-3</v>
      </c>
    </row>
    <row r="233" spans="1:69" s="211" customFormat="1" ht="22.35" customHeight="1" x14ac:dyDescent="0.2">
      <c r="A233" s="221" t="s">
        <v>276</v>
      </c>
      <c r="B233" s="221" t="s">
        <v>300</v>
      </c>
      <c r="C233" s="221" t="s">
        <v>302</v>
      </c>
      <c r="D233" s="222">
        <v>3.3263409928888898</v>
      </c>
      <c r="E233" s="223"/>
      <c r="F233" s="224">
        <v>4.3999999999999997E-2</v>
      </c>
      <c r="G233" s="224">
        <v>3.4000000000000002E-2</v>
      </c>
      <c r="H233" s="225"/>
      <c r="I233" s="226">
        <v>4</v>
      </c>
      <c r="J233" s="226">
        <v>4</v>
      </c>
      <c r="K233" s="223"/>
      <c r="L233" s="227">
        <v>995.75178000000005</v>
      </c>
      <c r="M233" s="227">
        <v>1645.41383</v>
      </c>
      <c r="N233" s="227">
        <v>2641.16561</v>
      </c>
      <c r="O233" s="222">
        <v>794.01529056892605</v>
      </c>
      <c r="P233" s="228">
        <v>222.845</v>
      </c>
      <c r="Q233" s="234">
        <v>3.5630832667052199</v>
      </c>
      <c r="R233" s="235">
        <v>1831.71137325213</v>
      </c>
      <c r="S233" s="224">
        <v>0.01</v>
      </c>
      <c r="T233" s="224">
        <v>0.01</v>
      </c>
      <c r="U233" s="231">
        <v>0</v>
      </c>
      <c r="V233" s="232">
        <v>0</v>
      </c>
      <c r="W233" s="223"/>
      <c r="X233" s="231">
        <v>1976.5462</v>
      </c>
      <c r="Y233" s="222">
        <v>594.210336290084</v>
      </c>
      <c r="Z233" s="233">
        <v>573</v>
      </c>
      <c r="AA233" s="238">
        <v>1.0370162936999701</v>
      </c>
      <c r="AB233" s="239">
        <v>-104.79858070646399</v>
      </c>
      <c r="AC233" s="224">
        <v>1.4E-2</v>
      </c>
      <c r="AD233" s="224">
        <v>4.0000000000000001E-3</v>
      </c>
      <c r="AE233" s="232">
        <v>0</v>
      </c>
      <c r="AF233" s="232">
        <v>311</v>
      </c>
      <c r="AG233" s="223"/>
      <c r="AH233" s="236">
        <v>187.65</v>
      </c>
      <c r="AI233" s="222">
        <v>56.413338380268698</v>
      </c>
      <c r="AJ233" s="237" t="s">
        <v>54</v>
      </c>
      <c r="AK233" s="244">
        <v>0.89544981555982095</v>
      </c>
      <c r="AL233" s="227">
        <v>-41.188954946784101</v>
      </c>
      <c r="AM233" s="224"/>
      <c r="AN233" s="224"/>
      <c r="AO233" s="232">
        <v>22</v>
      </c>
      <c r="AP233" s="232">
        <v>64</v>
      </c>
      <c r="AQ233" s="223"/>
      <c r="AR233" s="236">
        <v>29.2</v>
      </c>
      <c r="AS233" s="222">
        <v>8.7784144988214603</v>
      </c>
      <c r="AT233" s="237" t="s">
        <v>55</v>
      </c>
      <c r="AU233" s="229">
        <v>0.54865090617634105</v>
      </c>
      <c r="AV233" s="230">
        <v>-28.917829827754701</v>
      </c>
      <c r="AW233" s="224"/>
      <c r="AX233" s="224"/>
      <c r="AY233" s="232">
        <v>25</v>
      </c>
      <c r="AZ233" s="232">
        <v>35</v>
      </c>
      <c r="BA233" s="223"/>
      <c r="BB233" s="240">
        <v>156.6</v>
      </c>
      <c r="BC233" s="236">
        <v>47.078757209432901</v>
      </c>
      <c r="BD233" s="237" t="s">
        <v>56</v>
      </c>
      <c r="BE233" s="234">
        <v>1.4712111627947799</v>
      </c>
      <c r="BF233" s="235">
        <v>40.3643403444906</v>
      </c>
      <c r="BG233" s="224">
        <v>0.02</v>
      </c>
      <c r="BH233" s="224">
        <v>0.02</v>
      </c>
      <c r="BI233" s="232">
        <v>0</v>
      </c>
      <c r="BJ233" s="232">
        <v>0</v>
      </c>
      <c r="BK233" s="225"/>
      <c r="BL233" s="241">
        <v>0.8</v>
      </c>
      <c r="BM233" s="244">
        <v>0.72</v>
      </c>
      <c r="BN233" s="242"/>
      <c r="BO233" s="243">
        <v>0.95</v>
      </c>
      <c r="BP233" s="234">
        <v>1</v>
      </c>
      <c r="BQ233" s="242">
        <v>2.5000000000000001E-3</v>
      </c>
    </row>
    <row r="234" spans="1:69" s="211" customFormat="1" ht="22.35" customHeight="1" x14ac:dyDescent="0.2">
      <c r="A234" s="221" t="s">
        <v>276</v>
      </c>
      <c r="B234" s="221" t="s">
        <v>300</v>
      </c>
      <c r="C234" s="221" t="s">
        <v>303</v>
      </c>
      <c r="D234" s="222">
        <v>2.2747145523333301</v>
      </c>
      <c r="E234" s="223"/>
      <c r="F234" s="224">
        <v>3.7999999999999999E-2</v>
      </c>
      <c r="G234" s="224">
        <v>0.03</v>
      </c>
      <c r="H234" s="225"/>
      <c r="I234" s="226">
        <v>5</v>
      </c>
      <c r="J234" s="226">
        <v>4</v>
      </c>
      <c r="K234" s="223"/>
      <c r="L234" s="227">
        <v>1235.28027</v>
      </c>
      <c r="M234" s="227">
        <v>752.79495999999995</v>
      </c>
      <c r="N234" s="227">
        <v>1988.0752299999999</v>
      </c>
      <c r="O234" s="222">
        <v>873.98888267571499</v>
      </c>
      <c r="P234" s="228">
        <v>212.5</v>
      </c>
      <c r="Q234" s="234">
        <v>4.1128888596504201</v>
      </c>
      <c r="R234" s="235">
        <v>1460.2277181310501</v>
      </c>
      <c r="S234" s="224">
        <v>0.01</v>
      </c>
      <c r="T234" s="224">
        <v>0.01</v>
      </c>
      <c r="U234" s="231">
        <v>0</v>
      </c>
      <c r="V234" s="232">
        <v>0</v>
      </c>
      <c r="W234" s="223"/>
      <c r="X234" s="231">
        <v>1650.2878949999999</v>
      </c>
      <c r="Y234" s="222">
        <v>725.49230113606302</v>
      </c>
      <c r="Z234" s="233">
        <v>573</v>
      </c>
      <c r="AA234" s="234">
        <v>1.2661296703945299</v>
      </c>
      <c r="AB234" s="235">
        <v>226.96260417219801</v>
      </c>
      <c r="AC234" s="224">
        <v>0.02</v>
      </c>
      <c r="AD234" s="224">
        <v>0.02</v>
      </c>
      <c r="AE234" s="232">
        <v>0</v>
      </c>
      <c r="AF234" s="232">
        <v>0</v>
      </c>
      <c r="AG234" s="223"/>
      <c r="AH234" s="236">
        <v>118.3</v>
      </c>
      <c r="AI234" s="222">
        <v>52.006525336838997</v>
      </c>
      <c r="AJ234" s="237" t="s">
        <v>54</v>
      </c>
      <c r="AK234" s="244">
        <v>0.82550040217204801</v>
      </c>
      <c r="AL234" s="227">
        <v>-38.191262342323803</v>
      </c>
      <c r="AM234" s="224"/>
      <c r="AN234" s="224"/>
      <c r="AO234" s="232">
        <v>26</v>
      </c>
      <c r="AP234" s="232">
        <v>54</v>
      </c>
      <c r="AQ234" s="223"/>
      <c r="AR234" s="236">
        <v>19.600000000000001</v>
      </c>
      <c r="AS234" s="222">
        <v>8.6164657362810306</v>
      </c>
      <c r="AT234" s="237" t="s">
        <v>55</v>
      </c>
      <c r="AU234" s="229">
        <v>0.53852910851756397</v>
      </c>
      <c r="AV234" s="230">
        <v>-20.143812658367899</v>
      </c>
      <c r="AW234" s="224"/>
      <c r="AX234" s="224"/>
      <c r="AY234" s="232">
        <v>17</v>
      </c>
      <c r="AZ234" s="232">
        <v>25</v>
      </c>
      <c r="BA234" s="223"/>
      <c r="BB234" s="240">
        <v>71.599999999999994</v>
      </c>
      <c r="BC234" s="236">
        <v>31.4764768733531</v>
      </c>
      <c r="BD234" s="237" t="s">
        <v>56</v>
      </c>
      <c r="BE234" s="238">
        <v>0.98363990229228504</v>
      </c>
      <c r="BF234" s="239">
        <v>-7.8876253167358801</v>
      </c>
      <c r="BG234" s="224">
        <v>8.0000000000000002E-3</v>
      </c>
      <c r="BH234" s="224"/>
      <c r="BI234" s="232">
        <v>2</v>
      </c>
      <c r="BJ234" s="232">
        <v>16</v>
      </c>
      <c r="BK234" s="225"/>
      <c r="BL234" s="241">
        <v>0.8</v>
      </c>
      <c r="BM234" s="238">
        <v>0.82</v>
      </c>
      <c r="BN234" s="242">
        <v>7.5000000000000002E-4</v>
      </c>
      <c r="BO234" s="243">
        <v>0.95</v>
      </c>
      <c r="BP234" s="234">
        <v>1</v>
      </c>
      <c r="BQ234" s="242">
        <v>2.5000000000000001E-3</v>
      </c>
    </row>
    <row r="235" spans="1:69" s="211" customFormat="1" ht="22.35" customHeight="1" x14ac:dyDescent="0.2">
      <c r="A235" s="221" t="s">
        <v>276</v>
      </c>
      <c r="B235" s="221" t="s">
        <v>300</v>
      </c>
      <c r="C235" s="221" t="s">
        <v>304</v>
      </c>
      <c r="D235" s="222">
        <v>2.9376340330000001</v>
      </c>
      <c r="E235" s="223"/>
      <c r="F235" s="224">
        <v>7.0000000000000007E-2</v>
      </c>
      <c r="G235" s="224">
        <v>5.1999999999999998E-2</v>
      </c>
      <c r="H235" s="225"/>
      <c r="I235" s="226">
        <v>5</v>
      </c>
      <c r="J235" s="226">
        <v>5</v>
      </c>
      <c r="K235" s="223"/>
      <c r="L235" s="227">
        <v>1175.88912</v>
      </c>
      <c r="M235" s="227">
        <v>1691.4520399999999</v>
      </c>
      <c r="N235" s="227">
        <v>2867.3411599999999</v>
      </c>
      <c r="O235" s="222">
        <v>976.07160313015095</v>
      </c>
      <c r="P235" s="228">
        <v>229.05500000000001</v>
      </c>
      <c r="Q235" s="234">
        <v>4.2612979552079198</v>
      </c>
      <c r="R235" s="235">
        <v>2132.55645833573</v>
      </c>
      <c r="S235" s="224">
        <v>0.01</v>
      </c>
      <c r="T235" s="224">
        <v>0.01</v>
      </c>
      <c r="U235" s="231">
        <v>0</v>
      </c>
      <c r="V235" s="232">
        <v>0</v>
      </c>
      <c r="W235" s="223"/>
      <c r="X235" s="231">
        <v>1858.7038700000001</v>
      </c>
      <c r="Y235" s="222">
        <v>632.72138364418197</v>
      </c>
      <c r="Z235" s="233">
        <v>573</v>
      </c>
      <c r="AA235" s="234">
        <v>1.10422580042615</v>
      </c>
      <c r="AB235" s="235">
        <v>20.579253407371901</v>
      </c>
      <c r="AC235" s="224">
        <v>0.02</v>
      </c>
      <c r="AD235" s="224">
        <v>0.01</v>
      </c>
      <c r="AE235" s="232">
        <v>0</v>
      </c>
      <c r="AF235" s="232">
        <v>162</v>
      </c>
      <c r="AG235" s="223"/>
      <c r="AH235" s="236">
        <v>207.5</v>
      </c>
      <c r="AI235" s="222">
        <v>70.635074917107602</v>
      </c>
      <c r="AJ235" s="237" t="s">
        <v>54</v>
      </c>
      <c r="AK235" s="234">
        <v>1.12119166535091</v>
      </c>
      <c r="AL235" s="235">
        <v>5.4025290657319802</v>
      </c>
      <c r="AM235" s="224">
        <v>0.02</v>
      </c>
      <c r="AN235" s="224">
        <v>1.2E-2</v>
      </c>
      <c r="AO235" s="232">
        <v>0</v>
      </c>
      <c r="AP235" s="232">
        <v>15</v>
      </c>
      <c r="AQ235" s="223"/>
      <c r="AR235" s="236">
        <v>25.1</v>
      </c>
      <c r="AS235" s="222">
        <v>8.5442909899730193</v>
      </c>
      <c r="AT235" s="237" t="s">
        <v>55</v>
      </c>
      <c r="AU235" s="229">
        <v>0.53401818687331404</v>
      </c>
      <c r="AV235" s="230">
        <v>-26.226341824576</v>
      </c>
      <c r="AW235" s="224"/>
      <c r="AX235" s="224"/>
      <c r="AY235" s="232">
        <v>22</v>
      </c>
      <c r="AZ235" s="232">
        <v>32</v>
      </c>
      <c r="BA235" s="223"/>
      <c r="BB235" s="240">
        <v>123.6</v>
      </c>
      <c r="BC235" s="236">
        <v>42.074675950624098</v>
      </c>
      <c r="BD235" s="237" t="s">
        <v>56</v>
      </c>
      <c r="BE235" s="234">
        <v>1.3148336234569999</v>
      </c>
      <c r="BF235" s="235">
        <v>20.947316350847998</v>
      </c>
      <c r="BG235" s="224">
        <v>0.02</v>
      </c>
      <c r="BH235" s="224">
        <v>0.02</v>
      </c>
      <c r="BI235" s="232">
        <v>0</v>
      </c>
      <c r="BJ235" s="232">
        <v>0</v>
      </c>
      <c r="BK235" s="225"/>
      <c r="BL235" s="241">
        <v>0.8</v>
      </c>
      <c r="BM235" s="244">
        <v>0.76</v>
      </c>
      <c r="BN235" s="242"/>
      <c r="BO235" s="243">
        <v>0.95</v>
      </c>
      <c r="BP235" s="234">
        <v>1</v>
      </c>
      <c r="BQ235" s="242">
        <v>2.5000000000000001E-3</v>
      </c>
    </row>
    <row r="236" spans="1:69" s="211" customFormat="1" ht="22.35" customHeight="1" x14ac:dyDescent="0.2">
      <c r="A236" s="221" t="s">
        <v>276</v>
      </c>
      <c r="B236" s="221" t="s">
        <v>300</v>
      </c>
      <c r="C236" s="221" t="s">
        <v>305</v>
      </c>
      <c r="D236" s="222">
        <v>3.2454949072222199</v>
      </c>
      <c r="E236" s="223"/>
      <c r="F236" s="224">
        <v>0.01</v>
      </c>
      <c r="G236" s="224">
        <v>0.01</v>
      </c>
      <c r="H236" s="225"/>
      <c r="I236" s="226">
        <v>2</v>
      </c>
      <c r="J236" s="226">
        <v>2</v>
      </c>
      <c r="K236" s="223"/>
      <c r="L236" s="227">
        <v>1795.58215</v>
      </c>
      <c r="M236" s="227">
        <v>-169.55753000000001</v>
      </c>
      <c r="N236" s="227">
        <v>1626.0246199999999</v>
      </c>
      <c r="O236" s="222">
        <v>501.00975859847898</v>
      </c>
      <c r="P236" s="228">
        <v>242.61199999999999</v>
      </c>
      <c r="Q236" s="234">
        <v>2.06506586070961</v>
      </c>
      <c r="R236" s="235">
        <v>766.18817660935099</v>
      </c>
      <c r="S236" s="224">
        <v>0.01</v>
      </c>
      <c r="T236" s="224">
        <v>0.01</v>
      </c>
      <c r="U236" s="231">
        <v>0</v>
      </c>
      <c r="V236" s="232">
        <v>0</v>
      </c>
      <c r="W236" s="223"/>
      <c r="X236" s="231">
        <v>1228.955015</v>
      </c>
      <c r="Y236" s="222">
        <v>378.66490323716101</v>
      </c>
      <c r="Z236" s="233">
        <v>573</v>
      </c>
      <c r="AA236" s="229">
        <v>0.66084625346799397</v>
      </c>
      <c r="AB236" s="230">
        <v>-801.80307636745795</v>
      </c>
      <c r="AC236" s="224"/>
      <c r="AD236" s="224"/>
      <c r="AE236" s="232">
        <v>631</v>
      </c>
      <c r="AF236" s="232">
        <v>1003</v>
      </c>
      <c r="AG236" s="223"/>
      <c r="AH236" s="236">
        <v>137.6</v>
      </c>
      <c r="AI236" s="222">
        <v>42.397231834749697</v>
      </c>
      <c r="AJ236" s="237" t="s">
        <v>54</v>
      </c>
      <c r="AK236" s="229">
        <v>0.67297193388491605</v>
      </c>
      <c r="AL236" s="230">
        <v>-85.677067637259796</v>
      </c>
      <c r="AM236" s="224"/>
      <c r="AN236" s="224"/>
      <c r="AO236" s="232">
        <v>67</v>
      </c>
      <c r="AP236" s="232">
        <v>108</v>
      </c>
      <c r="AQ236" s="223"/>
      <c r="AR236" s="236">
        <v>11.8</v>
      </c>
      <c r="AS236" s="222">
        <v>3.6358091253637101</v>
      </c>
      <c r="AT236" s="237" t="s">
        <v>55</v>
      </c>
      <c r="AU236" s="229">
        <v>0.227238070335232</v>
      </c>
      <c r="AV236" s="230">
        <v>-44.905287018986598</v>
      </c>
      <c r="AW236" s="224"/>
      <c r="AX236" s="224"/>
      <c r="AY236" s="232">
        <v>41</v>
      </c>
      <c r="AZ236" s="232">
        <v>51</v>
      </c>
      <c r="BA236" s="223"/>
      <c r="BB236" s="240">
        <v>78</v>
      </c>
      <c r="BC236" s="236">
        <v>24.0333145574889</v>
      </c>
      <c r="BD236" s="237" t="s">
        <v>56</v>
      </c>
      <c r="BE236" s="244">
        <v>0.75104107992152902</v>
      </c>
      <c r="BF236" s="227">
        <v>-35.410574037973298</v>
      </c>
      <c r="BG236" s="224"/>
      <c r="BH236" s="224"/>
      <c r="BI236" s="232">
        <v>26</v>
      </c>
      <c r="BJ236" s="232">
        <v>47</v>
      </c>
      <c r="BK236" s="225"/>
      <c r="BL236" s="241">
        <v>0.8</v>
      </c>
      <c r="BM236" s="244">
        <v>0.74</v>
      </c>
      <c r="BN236" s="242"/>
      <c r="BO236" s="243">
        <v>0.95</v>
      </c>
      <c r="BP236" s="234">
        <v>1</v>
      </c>
      <c r="BQ236" s="242">
        <v>2.5000000000000001E-3</v>
      </c>
    </row>
    <row r="237" spans="1:69" s="211" customFormat="1" ht="22.35" customHeight="1" x14ac:dyDescent="0.2">
      <c r="A237" s="221" t="s">
        <v>276</v>
      </c>
      <c r="B237" s="221" t="s">
        <v>300</v>
      </c>
      <c r="C237" s="221" t="s">
        <v>306</v>
      </c>
      <c r="D237" s="222">
        <v>2.8560806016666702</v>
      </c>
      <c r="E237" s="223"/>
      <c r="F237" s="224">
        <v>0.06</v>
      </c>
      <c r="G237" s="224">
        <v>3.9E-2</v>
      </c>
      <c r="H237" s="225"/>
      <c r="I237" s="226">
        <v>7</v>
      </c>
      <c r="J237" s="226">
        <v>6</v>
      </c>
      <c r="K237" s="223"/>
      <c r="L237" s="227">
        <v>1844.8951500000001</v>
      </c>
      <c r="M237" s="227">
        <v>1830.9249600000001</v>
      </c>
      <c r="N237" s="227">
        <v>3675.8201100000001</v>
      </c>
      <c r="O237" s="222">
        <v>1287.0155372558399</v>
      </c>
      <c r="P237" s="228">
        <v>215.88200000000001</v>
      </c>
      <c r="Q237" s="234">
        <v>5.96166209899779</v>
      </c>
      <c r="R237" s="235">
        <v>3002.5186894456901</v>
      </c>
      <c r="S237" s="224">
        <v>0.01</v>
      </c>
      <c r="T237" s="224">
        <v>0.01</v>
      </c>
      <c r="U237" s="231">
        <v>0</v>
      </c>
      <c r="V237" s="232">
        <v>0</v>
      </c>
      <c r="W237" s="223"/>
      <c r="X237" s="231">
        <v>1637.7289499999999</v>
      </c>
      <c r="Y237" s="222">
        <v>573.41832336394896</v>
      </c>
      <c r="Z237" s="233">
        <v>573</v>
      </c>
      <c r="AA237" s="238">
        <v>1.00073005822679</v>
      </c>
      <c r="AB237" s="239">
        <v>-149.366379752462</v>
      </c>
      <c r="AC237" s="224">
        <v>0.01</v>
      </c>
      <c r="AD237" s="224">
        <v>1E-3</v>
      </c>
      <c r="AE237" s="232">
        <v>0</v>
      </c>
      <c r="AF237" s="232">
        <v>327</v>
      </c>
      <c r="AG237" s="223"/>
      <c r="AH237" s="236">
        <v>179.5</v>
      </c>
      <c r="AI237" s="222">
        <v>62.848366357466503</v>
      </c>
      <c r="AJ237" s="237" t="s">
        <v>54</v>
      </c>
      <c r="AK237" s="238">
        <v>0.99759311678518203</v>
      </c>
      <c r="AL237" s="239">
        <v>-16.986921072260301</v>
      </c>
      <c r="AM237" s="224">
        <v>0.01</v>
      </c>
      <c r="AN237" s="224">
        <v>0</v>
      </c>
      <c r="AO237" s="232">
        <v>1</v>
      </c>
      <c r="AP237" s="232">
        <v>37</v>
      </c>
      <c r="AQ237" s="223"/>
      <c r="AR237" s="236">
        <v>52.8</v>
      </c>
      <c r="AS237" s="222">
        <v>18.486873223811902</v>
      </c>
      <c r="AT237" s="237" t="s">
        <v>55</v>
      </c>
      <c r="AU237" s="234">
        <v>1.1554295764882401</v>
      </c>
      <c r="AV237" s="235">
        <v>2.89855972767994</v>
      </c>
      <c r="AW237" s="224">
        <v>0.01</v>
      </c>
      <c r="AX237" s="224">
        <v>8.0000000000000002E-3</v>
      </c>
      <c r="AY237" s="232">
        <v>0</v>
      </c>
      <c r="AZ237" s="232">
        <v>3</v>
      </c>
      <c r="BA237" s="223"/>
      <c r="BB237" s="240">
        <v>130.6</v>
      </c>
      <c r="BC237" s="236">
        <v>45.727000814958899</v>
      </c>
      <c r="BD237" s="237" t="s">
        <v>56</v>
      </c>
      <c r="BE237" s="234">
        <v>1.42896877546747</v>
      </c>
      <c r="BF237" s="235">
        <v>30.797119455359901</v>
      </c>
      <c r="BG237" s="224">
        <v>0.02</v>
      </c>
      <c r="BH237" s="224">
        <v>0.02</v>
      </c>
      <c r="BI237" s="232">
        <v>0</v>
      </c>
      <c r="BJ237" s="232">
        <v>0</v>
      </c>
      <c r="BK237" s="225"/>
      <c r="BL237" s="241">
        <v>0.8</v>
      </c>
      <c r="BM237" s="238">
        <v>0.81</v>
      </c>
      <c r="BN237" s="242">
        <v>3.7500000000000001E-4</v>
      </c>
      <c r="BO237" s="243">
        <v>0.95</v>
      </c>
      <c r="BP237" s="234">
        <v>1</v>
      </c>
      <c r="BQ237" s="242">
        <v>2.5000000000000001E-3</v>
      </c>
    </row>
    <row r="238" spans="1:69" s="211" customFormat="1" ht="22.35" customHeight="1" x14ac:dyDescent="0.2">
      <c r="A238" s="221" t="s">
        <v>276</v>
      </c>
      <c r="B238" s="221" t="s">
        <v>300</v>
      </c>
      <c r="C238" s="221" t="s">
        <v>307</v>
      </c>
      <c r="D238" s="222">
        <v>9.2014397199999998</v>
      </c>
      <c r="E238" s="223"/>
      <c r="F238" s="224">
        <v>3.6999999999999998E-2</v>
      </c>
      <c r="G238" s="224">
        <v>0.03</v>
      </c>
      <c r="H238" s="225"/>
      <c r="I238" s="226">
        <v>4</v>
      </c>
      <c r="J238" s="226">
        <v>3</v>
      </c>
      <c r="K238" s="223"/>
      <c r="L238" s="227">
        <v>6734.0102999999999</v>
      </c>
      <c r="M238" s="227">
        <v>-2180.1166899999998</v>
      </c>
      <c r="N238" s="227">
        <v>4553.8936100000001</v>
      </c>
      <c r="O238" s="222">
        <v>494.91098660373598</v>
      </c>
      <c r="P238" s="228">
        <v>232.92099999999999</v>
      </c>
      <c r="Q238" s="234">
        <v>2.1248019139697001</v>
      </c>
      <c r="R238" s="235">
        <v>2213.5098832038402</v>
      </c>
      <c r="S238" s="224">
        <v>0.01</v>
      </c>
      <c r="T238" s="224">
        <v>0.01</v>
      </c>
      <c r="U238" s="231">
        <v>0</v>
      </c>
      <c r="V238" s="232">
        <v>0</v>
      </c>
      <c r="W238" s="223"/>
      <c r="X238" s="231">
        <v>5115.031035</v>
      </c>
      <c r="Y238" s="222">
        <v>555.89464156159204</v>
      </c>
      <c r="Z238" s="233">
        <v>573</v>
      </c>
      <c r="AA238" s="238">
        <v>0.97014771651237797</v>
      </c>
      <c r="AB238" s="239">
        <v>-642.45702083952006</v>
      </c>
      <c r="AC238" s="224">
        <v>7.0000000000000001E-3</v>
      </c>
      <c r="AD238" s="224"/>
      <c r="AE238" s="232">
        <v>158</v>
      </c>
      <c r="AF238" s="232">
        <v>1212</v>
      </c>
      <c r="AG238" s="223"/>
      <c r="AH238" s="236">
        <v>513.79999999999995</v>
      </c>
      <c r="AI238" s="222">
        <v>55.839087755280097</v>
      </c>
      <c r="AJ238" s="237" t="s">
        <v>54</v>
      </c>
      <c r="AK238" s="244">
        <v>0.886334726274287</v>
      </c>
      <c r="AL238" s="227">
        <v>-119.22224697711999</v>
      </c>
      <c r="AM238" s="224"/>
      <c r="AN238" s="224"/>
      <c r="AO238" s="232">
        <v>66</v>
      </c>
      <c r="AP238" s="232">
        <v>182</v>
      </c>
      <c r="AQ238" s="223"/>
      <c r="AR238" s="236">
        <v>48.8</v>
      </c>
      <c r="AS238" s="222">
        <v>5.3035178716575899</v>
      </c>
      <c r="AT238" s="237" t="s">
        <v>55</v>
      </c>
      <c r="AU238" s="229">
        <v>0.33146986697859898</v>
      </c>
      <c r="AV238" s="230">
        <v>-111.96755478784</v>
      </c>
      <c r="AW238" s="224"/>
      <c r="AX238" s="224"/>
      <c r="AY238" s="232">
        <v>99</v>
      </c>
      <c r="AZ238" s="232">
        <v>128</v>
      </c>
      <c r="BA238" s="223"/>
      <c r="BB238" s="240">
        <v>352</v>
      </c>
      <c r="BC238" s="236">
        <v>38.254883008677702</v>
      </c>
      <c r="BD238" s="237" t="s">
        <v>56</v>
      </c>
      <c r="BE238" s="234">
        <v>1.19546509402118</v>
      </c>
      <c r="BF238" s="235">
        <v>30.46489042432</v>
      </c>
      <c r="BG238" s="224">
        <v>0.02</v>
      </c>
      <c r="BH238" s="224">
        <v>0.02</v>
      </c>
      <c r="BI238" s="232">
        <v>0</v>
      </c>
      <c r="BJ238" s="232">
        <v>2</v>
      </c>
      <c r="BK238" s="225"/>
      <c r="BL238" s="241">
        <v>0.8</v>
      </c>
      <c r="BM238" s="244">
        <v>0.77</v>
      </c>
      <c r="BN238" s="242"/>
      <c r="BO238" s="243">
        <v>0.95</v>
      </c>
      <c r="BP238" s="234">
        <v>1</v>
      </c>
      <c r="BQ238" s="242">
        <v>2.5000000000000001E-3</v>
      </c>
    </row>
    <row r="239" spans="1:69" s="211" customFormat="1" ht="22.35" customHeight="1" x14ac:dyDescent="0.2">
      <c r="A239" s="221" t="s">
        <v>276</v>
      </c>
      <c r="B239" s="221" t="s">
        <v>300</v>
      </c>
      <c r="C239" s="221" t="s">
        <v>308</v>
      </c>
      <c r="D239" s="222">
        <v>2.4944492774444398</v>
      </c>
      <c r="E239" s="223"/>
      <c r="F239" s="224">
        <v>0.05</v>
      </c>
      <c r="G239" s="224">
        <v>3.3000000000000002E-2</v>
      </c>
      <c r="H239" s="225"/>
      <c r="I239" s="226">
        <v>4</v>
      </c>
      <c r="J239" s="226">
        <v>4</v>
      </c>
      <c r="K239" s="223"/>
      <c r="L239" s="227">
        <v>1761.67652</v>
      </c>
      <c r="M239" s="227">
        <v>-87.138540000000006</v>
      </c>
      <c r="N239" s="227">
        <v>1674.5379800000001</v>
      </c>
      <c r="O239" s="222">
        <v>671.30568464216606</v>
      </c>
      <c r="P239" s="228">
        <v>245.339</v>
      </c>
      <c r="Q239" s="234">
        <v>2.73623714387915</v>
      </c>
      <c r="R239" s="235">
        <v>1006.2496051234</v>
      </c>
      <c r="S239" s="224">
        <v>0.01</v>
      </c>
      <c r="T239" s="224">
        <v>0.01</v>
      </c>
      <c r="U239" s="231">
        <v>0</v>
      </c>
      <c r="V239" s="232">
        <v>0</v>
      </c>
      <c r="W239" s="223"/>
      <c r="X239" s="231">
        <v>1624.7276850000001</v>
      </c>
      <c r="Y239" s="222">
        <v>651.33723090353999</v>
      </c>
      <c r="Z239" s="233">
        <v>573</v>
      </c>
      <c r="AA239" s="234">
        <v>1.13671419005853</v>
      </c>
      <c r="AB239" s="235">
        <v>63.910860914574897</v>
      </c>
      <c r="AC239" s="224">
        <v>0.02</v>
      </c>
      <c r="AD239" s="224">
        <v>1.4E-2</v>
      </c>
      <c r="AE239" s="232">
        <v>0</v>
      </c>
      <c r="AF239" s="232">
        <v>91</v>
      </c>
      <c r="AG239" s="223"/>
      <c r="AH239" s="236">
        <v>86.7</v>
      </c>
      <c r="AI239" s="222">
        <v>34.757170965137398</v>
      </c>
      <c r="AJ239" s="237" t="s">
        <v>54</v>
      </c>
      <c r="AK239" s="229">
        <v>0.55170112643075198</v>
      </c>
      <c r="AL239" s="230">
        <v>-84.908132491067704</v>
      </c>
      <c r="AM239" s="224"/>
      <c r="AN239" s="224"/>
      <c r="AO239" s="232">
        <v>71</v>
      </c>
      <c r="AP239" s="232">
        <v>102</v>
      </c>
      <c r="AQ239" s="223"/>
      <c r="AR239" s="236">
        <v>10</v>
      </c>
      <c r="AS239" s="222">
        <v>4.0089009187009701</v>
      </c>
      <c r="AT239" s="237" t="s">
        <v>55</v>
      </c>
      <c r="AU239" s="229">
        <v>0.25055630741881102</v>
      </c>
      <c r="AV239" s="230">
        <v>-33.583017775509298</v>
      </c>
      <c r="AW239" s="224"/>
      <c r="AX239" s="224"/>
      <c r="AY239" s="232">
        <v>30</v>
      </c>
      <c r="AZ239" s="232">
        <v>38</v>
      </c>
      <c r="BA239" s="223"/>
      <c r="BB239" s="240">
        <v>87</v>
      </c>
      <c r="BC239" s="236">
        <v>34.877437992698397</v>
      </c>
      <c r="BD239" s="237" t="s">
        <v>56</v>
      </c>
      <c r="BE239" s="234">
        <v>1.08991993727183</v>
      </c>
      <c r="BF239" s="235">
        <v>-0.16603555101851</v>
      </c>
      <c r="BG239" s="224">
        <v>0.02</v>
      </c>
      <c r="BH239" s="224">
        <v>8.9999999999999993E-3</v>
      </c>
      <c r="BI239" s="232">
        <v>0</v>
      </c>
      <c r="BJ239" s="232">
        <v>9</v>
      </c>
      <c r="BK239" s="225"/>
      <c r="BL239" s="241">
        <v>0.8</v>
      </c>
      <c r="BM239" s="244">
        <v>0.79</v>
      </c>
      <c r="BN239" s="242"/>
      <c r="BO239" s="243">
        <v>0.95</v>
      </c>
      <c r="BP239" s="234">
        <v>1</v>
      </c>
      <c r="BQ239" s="242">
        <v>2.5000000000000001E-3</v>
      </c>
    </row>
    <row r="240" spans="1:69" s="211" customFormat="1" ht="22.35" customHeight="1" x14ac:dyDescent="0.2">
      <c r="A240" s="221" t="s">
        <v>276</v>
      </c>
      <c r="B240" s="221" t="s">
        <v>300</v>
      </c>
      <c r="C240" s="221" t="s">
        <v>309</v>
      </c>
      <c r="D240" s="222">
        <v>2.6001805638888902</v>
      </c>
      <c r="E240" s="223"/>
      <c r="F240" s="224"/>
      <c r="G240" s="224"/>
      <c r="H240" s="225"/>
      <c r="I240" s="226">
        <v>1</v>
      </c>
      <c r="J240" s="226">
        <v>1</v>
      </c>
      <c r="K240" s="223"/>
      <c r="L240" s="227"/>
      <c r="M240" s="227">
        <v>72.353960000000001</v>
      </c>
      <c r="N240" s="227">
        <v>72.353960000000001</v>
      </c>
      <c r="O240" s="222">
        <v>27.8265136678761</v>
      </c>
      <c r="P240" s="228">
        <v>217.09100000000001</v>
      </c>
      <c r="Q240" s="229">
        <v>0.12817902938341999</v>
      </c>
      <c r="R240" s="230">
        <v>-544.05361228436198</v>
      </c>
      <c r="S240" s="224"/>
      <c r="T240" s="224"/>
      <c r="U240" s="231">
        <v>493</v>
      </c>
      <c r="V240" s="232">
        <v>606</v>
      </c>
      <c r="W240" s="223"/>
      <c r="X240" s="231">
        <v>1076.60023</v>
      </c>
      <c r="Y240" s="222">
        <v>414.04825686021297</v>
      </c>
      <c r="Z240" s="233">
        <v>573</v>
      </c>
      <c r="AA240" s="229">
        <v>0.72259730691136603</v>
      </c>
      <c r="AB240" s="230">
        <v>-550.37435171430104</v>
      </c>
      <c r="AC240" s="224"/>
      <c r="AD240" s="224"/>
      <c r="AE240" s="232">
        <v>414</v>
      </c>
      <c r="AF240" s="232">
        <v>712</v>
      </c>
      <c r="AG240" s="223"/>
      <c r="AH240" s="236">
        <v>96.2</v>
      </c>
      <c r="AI240" s="222">
        <v>36.997430615403502</v>
      </c>
      <c r="AJ240" s="237" t="s">
        <v>54</v>
      </c>
      <c r="AK240" s="229">
        <v>0.58726080341910403</v>
      </c>
      <c r="AL240" s="230">
        <v>-82.682022073300104</v>
      </c>
      <c r="AM240" s="224"/>
      <c r="AN240" s="224"/>
      <c r="AO240" s="232">
        <v>68</v>
      </c>
      <c r="AP240" s="232">
        <v>101</v>
      </c>
      <c r="AQ240" s="223"/>
      <c r="AR240" s="236">
        <v>18.399999999999999</v>
      </c>
      <c r="AS240" s="222">
        <v>7.0764316353786398</v>
      </c>
      <c r="AT240" s="237" t="s">
        <v>55</v>
      </c>
      <c r="AU240" s="229">
        <v>0.44227697721116499</v>
      </c>
      <c r="AV240" s="230">
        <v>-27.030354812266701</v>
      </c>
      <c r="AW240" s="224"/>
      <c r="AX240" s="224"/>
      <c r="AY240" s="232">
        <v>24</v>
      </c>
      <c r="AZ240" s="232">
        <v>32</v>
      </c>
      <c r="BA240" s="223"/>
      <c r="BB240" s="240">
        <v>72.400000000000006</v>
      </c>
      <c r="BC240" s="236">
        <v>27.844220130511601</v>
      </c>
      <c r="BD240" s="237" t="s">
        <v>56</v>
      </c>
      <c r="BE240" s="244">
        <v>0.87013187907848699</v>
      </c>
      <c r="BF240" s="227">
        <v>-18.460709624533401</v>
      </c>
      <c r="BG240" s="224"/>
      <c r="BH240" s="224"/>
      <c r="BI240" s="232">
        <v>11</v>
      </c>
      <c r="BJ240" s="232">
        <v>28</v>
      </c>
      <c r="BK240" s="225"/>
      <c r="BL240" s="241">
        <v>0.8</v>
      </c>
      <c r="BM240" s="229"/>
      <c r="BN240" s="242"/>
      <c r="BO240" s="243">
        <v>0.95</v>
      </c>
      <c r="BP240" s="234">
        <v>1</v>
      </c>
      <c r="BQ240" s="242">
        <v>2.5000000000000001E-3</v>
      </c>
    </row>
    <row r="241" spans="1:69" s="211" customFormat="1" ht="22.35" customHeight="1" x14ac:dyDescent="0.2">
      <c r="A241" s="221" t="s">
        <v>276</v>
      </c>
      <c r="B241" s="221" t="s">
        <v>300</v>
      </c>
      <c r="C241" s="221" t="s">
        <v>310</v>
      </c>
      <c r="D241" s="222">
        <v>3.3634437715555601</v>
      </c>
      <c r="E241" s="223"/>
      <c r="F241" s="224">
        <v>3.5999999999999997E-2</v>
      </c>
      <c r="G241" s="224">
        <v>0.03</v>
      </c>
      <c r="H241" s="225"/>
      <c r="I241" s="226">
        <v>4</v>
      </c>
      <c r="J241" s="226">
        <v>3</v>
      </c>
      <c r="K241" s="223"/>
      <c r="L241" s="227">
        <v>6333.7850799999997</v>
      </c>
      <c r="M241" s="227">
        <v>-1819.75764</v>
      </c>
      <c r="N241" s="227">
        <v>4514.0274399999998</v>
      </c>
      <c r="O241" s="222">
        <v>1342.08500173984</v>
      </c>
      <c r="P241" s="228">
        <v>217.09100000000001</v>
      </c>
      <c r="Q241" s="234">
        <v>6.18213100377187</v>
      </c>
      <c r="R241" s="235">
        <v>3716.6781179826398</v>
      </c>
      <c r="S241" s="224">
        <v>0.01</v>
      </c>
      <c r="T241" s="224">
        <v>0.01</v>
      </c>
      <c r="U241" s="231">
        <v>0</v>
      </c>
      <c r="V241" s="232">
        <v>0</v>
      </c>
      <c r="W241" s="223"/>
      <c r="X241" s="231">
        <v>1682.533825</v>
      </c>
      <c r="Y241" s="222">
        <v>500.24140115826799</v>
      </c>
      <c r="Z241" s="233">
        <v>573</v>
      </c>
      <c r="AA241" s="244">
        <v>0.87302164251006598</v>
      </c>
      <c r="AB241" s="227">
        <v>-422.02675796265902</v>
      </c>
      <c r="AC241" s="224"/>
      <c r="AD241" s="224"/>
      <c r="AE241" s="232">
        <v>245</v>
      </c>
      <c r="AF241" s="232">
        <v>631</v>
      </c>
      <c r="AG241" s="223"/>
      <c r="AH241" s="236">
        <v>204.2</v>
      </c>
      <c r="AI241" s="222">
        <v>60.711584277670198</v>
      </c>
      <c r="AJ241" s="237" t="s">
        <v>54</v>
      </c>
      <c r="AK241" s="238">
        <v>0.96367594091539999</v>
      </c>
      <c r="AL241" s="239">
        <v>-27.191477707936301</v>
      </c>
      <c r="AM241" s="224">
        <v>6.0000000000000001E-3</v>
      </c>
      <c r="AN241" s="224"/>
      <c r="AO241" s="232">
        <v>8</v>
      </c>
      <c r="AP241" s="232">
        <v>51</v>
      </c>
      <c r="AQ241" s="223"/>
      <c r="AR241" s="236">
        <v>21.5</v>
      </c>
      <c r="AS241" s="222">
        <v>6.3922578940739898</v>
      </c>
      <c r="AT241" s="237" t="s">
        <v>55</v>
      </c>
      <c r="AU241" s="229">
        <v>0.39951611837962397</v>
      </c>
      <c r="AV241" s="230">
        <v>-37.266089576618803</v>
      </c>
      <c r="AW241" s="224"/>
      <c r="AX241" s="224"/>
      <c r="AY241" s="232">
        <v>33</v>
      </c>
      <c r="AZ241" s="232">
        <v>44</v>
      </c>
      <c r="BA241" s="223"/>
      <c r="BB241" s="240">
        <v>138</v>
      </c>
      <c r="BC241" s="236">
        <v>41.029376250335403</v>
      </c>
      <c r="BD241" s="237" t="s">
        <v>56</v>
      </c>
      <c r="BE241" s="234">
        <v>1.28216800782298</v>
      </c>
      <c r="BF241" s="235">
        <v>20.4678208467625</v>
      </c>
      <c r="BG241" s="224">
        <v>0.02</v>
      </c>
      <c r="BH241" s="224">
        <v>0.02</v>
      </c>
      <c r="BI241" s="232">
        <v>0</v>
      </c>
      <c r="BJ241" s="232">
        <v>0</v>
      </c>
      <c r="BK241" s="225"/>
      <c r="BL241" s="241">
        <v>0.8</v>
      </c>
      <c r="BM241" s="244">
        <v>0.79</v>
      </c>
      <c r="BN241" s="242"/>
      <c r="BO241" s="243">
        <v>0.95</v>
      </c>
      <c r="BP241" s="234">
        <v>1</v>
      </c>
      <c r="BQ241" s="242">
        <v>2.5000000000000001E-3</v>
      </c>
    </row>
    <row r="242" spans="1:69" s="211" customFormat="1" ht="22.35" customHeight="1" x14ac:dyDescent="0.2">
      <c r="A242" s="221" t="s">
        <v>276</v>
      </c>
      <c r="B242" s="221" t="s">
        <v>300</v>
      </c>
      <c r="C242" s="221" t="s">
        <v>311</v>
      </c>
      <c r="D242" s="222">
        <v>2.3177117403333298</v>
      </c>
      <c r="E242" s="223"/>
      <c r="F242" s="224">
        <v>4.5999999999999999E-2</v>
      </c>
      <c r="G242" s="224">
        <v>3.1E-2</v>
      </c>
      <c r="H242" s="225"/>
      <c r="I242" s="226">
        <v>5</v>
      </c>
      <c r="J242" s="226">
        <v>4</v>
      </c>
      <c r="K242" s="223"/>
      <c r="L242" s="227">
        <v>89.735259999999997</v>
      </c>
      <c r="M242" s="227">
        <v>624.23470999999995</v>
      </c>
      <c r="N242" s="227">
        <v>713.96996999999999</v>
      </c>
      <c r="O242" s="222">
        <v>308.04951175564099</v>
      </c>
      <c r="P242" s="228">
        <v>215.88200000000001</v>
      </c>
      <c r="Q242" s="234">
        <v>1.42693467614549</v>
      </c>
      <c r="R242" s="235">
        <v>167.58531744810901</v>
      </c>
      <c r="S242" s="224">
        <v>0.01</v>
      </c>
      <c r="T242" s="224">
        <v>0.01</v>
      </c>
      <c r="U242" s="231">
        <v>0</v>
      </c>
      <c r="V242" s="232">
        <v>0</v>
      </c>
      <c r="W242" s="223"/>
      <c r="X242" s="231">
        <v>1259.077685</v>
      </c>
      <c r="Y242" s="222">
        <v>543.24170822853</v>
      </c>
      <c r="Z242" s="233">
        <v>573</v>
      </c>
      <c r="AA242" s="238">
        <v>0.94806580842675403</v>
      </c>
      <c r="AB242" s="239">
        <v>-191.15163431440999</v>
      </c>
      <c r="AC242" s="224">
        <v>4.0000000000000001E-3</v>
      </c>
      <c r="AD242" s="224"/>
      <c r="AE242" s="232">
        <v>69</v>
      </c>
      <c r="AF242" s="232">
        <v>335</v>
      </c>
      <c r="AG242" s="223"/>
      <c r="AH242" s="236">
        <v>148.19999999999999</v>
      </c>
      <c r="AI242" s="222">
        <v>63.942377915679003</v>
      </c>
      <c r="AJ242" s="237" t="s">
        <v>54</v>
      </c>
      <c r="AK242" s="238">
        <v>1.0149583796139501</v>
      </c>
      <c r="AL242" s="239">
        <v>-11.2492968879718</v>
      </c>
      <c r="AM242" s="224">
        <v>1.2E-2</v>
      </c>
      <c r="AN242" s="224">
        <v>1E-3</v>
      </c>
      <c r="AO242" s="232">
        <v>0</v>
      </c>
      <c r="AP242" s="232">
        <v>28</v>
      </c>
      <c r="AQ242" s="223"/>
      <c r="AR242" s="236">
        <v>26.8</v>
      </c>
      <c r="AS242" s="222">
        <v>11.5631290697719</v>
      </c>
      <c r="AT242" s="237" t="s">
        <v>55</v>
      </c>
      <c r="AU242" s="229">
        <v>0.72269556686074399</v>
      </c>
      <c r="AV242" s="230">
        <v>-13.695059527103901</v>
      </c>
      <c r="AW242" s="224"/>
      <c r="AX242" s="224"/>
      <c r="AY242" s="232">
        <v>11</v>
      </c>
      <c r="AZ242" s="232">
        <v>18</v>
      </c>
      <c r="BA242" s="223"/>
      <c r="BB242" s="240">
        <v>108.2</v>
      </c>
      <c r="BC242" s="236">
        <v>46.683976319004501</v>
      </c>
      <c r="BD242" s="237" t="s">
        <v>56</v>
      </c>
      <c r="BE242" s="234">
        <v>1.45887425996889</v>
      </c>
      <c r="BF242" s="235">
        <v>27.209880945792101</v>
      </c>
      <c r="BG242" s="224">
        <v>0.02</v>
      </c>
      <c r="BH242" s="224">
        <v>0.02</v>
      </c>
      <c r="BI242" s="232">
        <v>0</v>
      </c>
      <c r="BJ242" s="232">
        <v>0</v>
      </c>
      <c r="BK242" s="225"/>
      <c r="BL242" s="241">
        <v>0.8</v>
      </c>
      <c r="BM242" s="244">
        <v>0.79</v>
      </c>
      <c r="BN242" s="242"/>
      <c r="BO242" s="243">
        <v>0.95</v>
      </c>
      <c r="BP242" s="234">
        <v>1</v>
      </c>
      <c r="BQ242" s="242">
        <v>2.5000000000000001E-3</v>
      </c>
    </row>
    <row r="243" spans="1:69" s="211" customFormat="1" ht="22.35" customHeight="1" x14ac:dyDescent="0.2">
      <c r="A243" s="221" t="s">
        <v>276</v>
      </c>
      <c r="B243" s="221" t="s">
        <v>300</v>
      </c>
      <c r="C243" s="221" t="s">
        <v>312</v>
      </c>
      <c r="D243" s="222">
        <v>2.7902735091111102</v>
      </c>
      <c r="E243" s="223"/>
      <c r="F243" s="224">
        <v>4.5999999999999999E-2</v>
      </c>
      <c r="G243" s="224">
        <v>3.5999999999999997E-2</v>
      </c>
      <c r="H243" s="225"/>
      <c r="I243" s="226">
        <v>5</v>
      </c>
      <c r="J243" s="226">
        <v>5</v>
      </c>
      <c r="K243" s="223"/>
      <c r="L243" s="227">
        <v>1367.15347</v>
      </c>
      <c r="M243" s="227">
        <v>1656.1770300000001</v>
      </c>
      <c r="N243" s="227">
        <v>3023.3305</v>
      </c>
      <c r="O243" s="222">
        <v>1083.5247835482401</v>
      </c>
      <c r="P243" s="228">
        <v>245.339</v>
      </c>
      <c r="Q243" s="234">
        <v>4.4164392271438304</v>
      </c>
      <c r="R243" s="235">
        <v>2275.78779960262</v>
      </c>
      <c r="S243" s="224">
        <v>0.01</v>
      </c>
      <c r="T243" s="224">
        <v>0.01</v>
      </c>
      <c r="U243" s="231">
        <v>0</v>
      </c>
      <c r="V243" s="232">
        <v>0</v>
      </c>
      <c r="W243" s="223"/>
      <c r="X243" s="231">
        <v>1949.4196899999999</v>
      </c>
      <c r="Y243" s="222">
        <v>698.64824492457001</v>
      </c>
      <c r="Z243" s="233">
        <v>573</v>
      </c>
      <c r="AA243" s="234">
        <v>1.2192814047549201</v>
      </c>
      <c r="AB243" s="235">
        <v>203.50091097303201</v>
      </c>
      <c r="AC243" s="224">
        <v>0.02</v>
      </c>
      <c r="AD243" s="224">
        <v>0.02</v>
      </c>
      <c r="AE243" s="232">
        <v>0</v>
      </c>
      <c r="AF243" s="232">
        <v>0</v>
      </c>
      <c r="AG243" s="223"/>
      <c r="AH243" s="236">
        <v>116.05</v>
      </c>
      <c r="AI243" s="222">
        <v>41.5909048417872</v>
      </c>
      <c r="AJ243" s="237" t="s">
        <v>54</v>
      </c>
      <c r="AK243" s="229">
        <v>0.66017309272678104</v>
      </c>
      <c r="AL243" s="230">
        <v>-75.909656332807998</v>
      </c>
      <c r="AM243" s="224"/>
      <c r="AN243" s="224"/>
      <c r="AO243" s="232">
        <v>60</v>
      </c>
      <c r="AP243" s="232">
        <v>95</v>
      </c>
      <c r="AQ243" s="223"/>
      <c r="AR243" s="236">
        <v>11.8</v>
      </c>
      <c r="AS243" s="222">
        <v>4.2289761062739304</v>
      </c>
      <c r="AT243" s="237" t="s">
        <v>55</v>
      </c>
      <c r="AU243" s="229">
        <v>0.26431100664212098</v>
      </c>
      <c r="AV243" s="230">
        <v>-36.951658751189299</v>
      </c>
      <c r="AW243" s="224"/>
      <c r="AX243" s="224"/>
      <c r="AY243" s="232">
        <v>33</v>
      </c>
      <c r="AZ243" s="232">
        <v>42</v>
      </c>
      <c r="BA243" s="223"/>
      <c r="BB243" s="240">
        <v>94.2</v>
      </c>
      <c r="BC243" s="236">
        <v>33.760131289068099</v>
      </c>
      <c r="BD243" s="237" t="s">
        <v>56</v>
      </c>
      <c r="BE243" s="238">
        <v>1.0550041027833801</v>
      </c>
      <c r="BF243" s="239">
        <v>-3.3033175023786301</v>
      </c>
      <c r="BG243" s="224">
        <v>1.6E-2</v>
      </c>
      <c r="BH243" s="224">
        <v>6.0000000000000001E-3</v>
      </c>
      <c r="BI243" s="232">
        <v>0</v>
      </c>
      <c r="BJ243" s="232">
        <v>13</v>
      </c>
      <c r="BK243" s="225"/>
      <c r="BL243" s="241">
        <v>0.8</v>
      </c>
      <c r="BM243" s="238">
        <v>0.88</v>
      </c>
      <c r="BN243" s="242">
        <v>3.0000000000000001E-3</v>
      </c>
      <c r="BO243" s="243">
        <v>0.95</v>
      </c>
      <c r="BP243" s="234">
        <v>1</v>
      </c>
      <c r="BQ243" s="242">
        <v>2.5000000000000001E-3</v>
      </c>
    </row>
    <row r="244" spans="1:69" s="211" customFormat="1" ht="22.35" customHeight="1" x14ac:dyDescent="0.2">
      <c r="A244" s="221" t="s">
        <v>276</v>
      </c>
      <c r="B244" s="221" t="s">
        <v>300</v>
      </c>
      <c r="C244" s="221" t="s">
        <v>313</v>
      </c>
      <c r="D244" s="222">
        <v>3.578419974</v>
      </c>
      <c r="E244" s="223"/>
      <c r="F244" s="224">
        <v>0.03</v>
      </c>
      <c r="G244" s="224">
        <v>1.2E-2</v>
      </c>
      <c r="H244" s="225"/>
      <c r="I244" s="226">
        <v>4</v>
      </c>
      <c r="J244" s="226">
        <v>3</v>
      </c>
      <c r="K244" s="223"/>
      <c r="L244" s="227">
        <v>1475.9645399999999</v>
      </c>
      <c r="M244" s="227">
        <v>1765.7680399999999</v>
      </c>
      <c r="N244" s="227">
        <v>3241.7325799999999</v>
      </c>
      <c r="O244" s="222">
        <v>905.91171621936599</v>
      </c>
      <c r="P244" s="228">
        <v>213.536</v>
      </c>
      <c r="Q244" s="234">
        <v>4.2424308604608401</v>
      </c>
      <c r="R244" s="235">
        <v>2407.3119155756699</v>
      </c>
      <c r="S244" s="224">
        <v>0.01</v>
      </c>
      <c r="T244" s="224">
        <v>0.01</v>
      </c>
      <c r="U244" s="231">
        <v>0</v>
      </c>
      <c r="V244" s="232">
        <v>0</v>
      </c>
      <c r="W244" s="223"/>
      <c r="X244" s="231">
        <v>2012.6831199999999</v>
      </c>
      <c r="Y244" s="222">
        <v>562.45022513391496</v>
      </c>
      <c r="Z244" s="233">
        <v>573</v>
      </c>
      <c r="AA244" s="238">
        <v>0.98158852553911902</v>
      </c>
      <c r="AB244" s="239">
        <v>-226.39151245138399</v>
      </c>
      <c r="AC244" s="224">
        <v>8.0000000000000002E-3</v>
      </c>
      <c r="AD244" s="224"/>
      <c r="AE244" s="232">
        <v>38</v>
      </c>
      <c r="AF244" s="232">
        <v>448</v>
      </c>
      <c r="AG244" s="223"/>
      <c r="AH244" s="236">
        <v>170.05</v>
      </c>
      <c r="AI244" s="222">
        <v>47.5209732886428</v>
      </c>
      <c r="AJ244" s="237" t="s">
        <v>54</v>
      </c>
      <c r="AK244" s="244">
        <v>0.75430116331179098</v>
      </c>
      <c r="AL244" s="227">
        <v>-76.130980531304004</v>
      </c>
      <c r="AM244" s="224"/>
      <c r="AN244" s="224"/>
      <c r="AO244" s="232">
        <v>56</v>
      </c>
      <c r="AP244" s="232">
        <v>101</v>
      </c>
      <c r="AQ244" s="223"/>
      <c r="AR244" s="236">
        <v>38.799999999999997</v>
      </c>
      <c r="AS244" s="222">
        <v>10.8427742640361</v>
      </c>
      <c r="AT244" s="237" t="s">
        <v>55</v>
      </c>
      <c r="AU244" s="229">
        <v>0.67767339150225703</v>
      </c>
      <c r="AV244" s="230">
        <v>-23.722153785728</v>
      </c>
      <c r="AW244" s="224"/>
      <c r="AX244" s="224"/>
      <c r="AY244" s="232">
        <v>19</v>
      </c>
      <c r="AZ244" s="232">
        <v>30</v>
      </c>
      <c r="BA244" s="223"/>
      <c r="BB244" s="240">
        <v>116.8</v>
      </c>
      <c r="BC244" s="236">
        <v>32.640103970088099</v>
      </c>
      <c r="BD244" s="237" t="s">
        <v>56</v>
      </c>
      <c r="BE244" s="238">
        <v>1.02000324906525</v>
      </c>
      <c r="BF244" s="239">
        <v>-8.2443075714560301</v>
      </c>
      <c r="BG244" s="224">
        <v>1.2E-2</v>
      </c>
      <c r="BH244" s="224">
        <v>2E-3</v>
      </c>
      <c r="BI244" s="232">
        <v>0</v>
      </c>
      <c r="BJ244" s="232">
        <v>21</v>
      </c>
      <c r="BK244" s="225"/>
      <c r="BL244" s="241">
        <v>0.8</v>
      </c>
      <c r="BM244" s="244">
        <v>0.8</v>
      </c>
      <c r="BN244" s="242">
        <v>0</v>
      </c>
      <c r="BO244" s="243">
        <v>0.95</v>
      </c>
      <c r="BP244" s="234">
        <v>1</v>
      </c>
      <c r="BQ244" s="242">
        <v>2.5000000000000001E-3</v>
      </c>
    </row>
    <row r="245" spans="1:69" s="211" customFormat="1" ht="22.35" customHeight="1" x14ac:dyDescent="0.2">
      <c r="A245" s="221" t="s">
        <v>276</v>
      </c>
      <c r="B245" s="221" t="s">
        <v>300</v>
      </c>
      <c r="C245" s="221" t="s">
        <v>314</v>
      </c>
      <c r="D245" s="222">
        <v>3.0802030008888899</v>
      </c>
      <c r="E245" s="223"/>
      <c r="F245" s="224">
        <v>3.0000000000000001E-3</v>
      </c>
      <c r="G245" s="224"/>
      <c r="H245" s="225"/>
      <c r="I245" s="226">
        <v>3</v>
      </c>
      <c r="J245" s="226">
        <v>2</v>
      </c>
      <c r="K245" s="223"/>
      <c r="L245" s="227">
        <v>851.51138000000003</v>
      </c>
      <c r="M245" s="227">
        <v>-580.03353000000004</v>
      </c>
      <c r="N245" s="227">
        <v>271.47784999999999</v>
      </c>
      <c r="O245" s="222">
        <v>88.136350078763201</v>
      </c>
      <c r="P245" s="228">
        <v>252.38499999999999</v>
      </c>
      <c r="Q245" s="229">
        <v>0.349213899711802</v>
      </c>
      <c r="R245" s="230">
        <v>-577.43971154224198</v>
      </c>
      <c r="S245" s="224"/>
      <c r="T245" s="224"/>
      <c r="U245" s="231">
        <v>506</v>
      </c>
      <c r="V245" s="232">
        <v>662</v>
      </c>
      <c r="W245" s="223"/>
      <c r="X245" s="231">
        <v>1091.16724</v>
      </c>
      <c r="Y245" s="222">
        <v>354.25172941040199</v>
      </c>
      <c r="Z245" s="233">
        <v>573</v>
      </c>
      <c r="AA245" s="229">
        <v>0.61824036546317995</v>
      </c>
      <c r="AB245" s="230">
        <v>-836.16506090419296</v>
      </c>
      <c r="AC245" s="224"/>
      <c r="AD245" s="224"/>
      <c r="AE245" s="232">
        <v>674</v>
      </c>
      <c r="AF245" s="232">
        <v>1027</v>
      </c>
      <c r="AG245" s="223"/>
      <c r="AH245" s="236">
        <v>86.1</v>
      </c>
      <c r="AI245" s="222">
        <v>27.952703109227901</v>
      </c>
      <c r="AJ245" s="237" t="s">
        <v>54</v>
      </c>
      <c r="AK245" s="229">
        <v>0.44369370014647502</v>
      </c>
      <c r="AL245" s="230">
        <v>-125.805645649152</v>
      </c>
      <c r="AM245" s="224"/>
      <c r="AN245" s="224"/>
      <c r="AO245" s="232">
        <v>108</v>
      </c>
      <c r="AP245" s="232">
        <v>147</v>
      </c>
      <c r="AQ245" s="223"/>
      <c r="AR245" s="236">
        <v>15.3</v>
      </c>
      <c r="AS245" s="222">
        <v>4.9672050821276104</v>
      </c>
      <c r="AT245" s="237" t="s">
        <v>55</v>
      </c>
      <c r="AU245" s="229">
        <v>0.31045031763297598</v>
      </c>
      <c r="AV245" s="230">
        <v>-38.517306831530703</v>
      </c>
      <c r="AW245" s="224"/>
      <c r="AX245" s="224"/>
      <c r="AY245" s="232">
        <v>34</v>
      </c>
      <c r="AZ245" s="232">
        <v>44</v>
      </c>
      <c r="BA245" s="223"/>
      <c r="BB245" s="240">
        <v>92.4</v>
      </c>
      <c r="BC245" s="236">
        <v>29.998022848927501</v>
      </c>
      <c r="BD245" s="237" t="s">
        <v>56</v>
      </c>
      <c r="BE245" s="238">
        <v>0.93743821402898497</v>
      </c>
      <c r="BF245" s="239">
        <v>-15.234613663061401</v>
      </c>
      <c r="BG245" s="224">
        <v>3.0000000000000001E-3</v>
      </c>
      <c r="BH245" s="224"/>
      <c r="BI245" s="232">
        <v>7</v>
      </c>
      <c r="BJ245" s="232">
        <v>26</v>
      </c>
      <c r="BK245" s="225"/>
      <c r="BL245" s="241">
        <v>0.8</v>
      </c>
      <c r="BM245" s="238">
        <v>0.81</v>
      </c>
      <c r="BN245" s="242">
        <v>3.7500000000000001E-4</v>
      </c>
      <c r="BO245" s="243">
        <v>0.95</v>
      </c>
      <c r="BP245" s="234">
        <v>1</v>
      </c>
      <c r="BQ245" s="242">
        <v>2.5000000000000001E-3</v>
      </c>
    </row>
    <row r="246" spans="1:69" s="211" customFormat="1" ht="22.35" customHeight="1" x14ac:dyDescent="0.2">
      <c r="A246" s="221" t="s">
        <v>276</v>
      </c>
      <c r="B246" s="221" t="s">
        <v>300</v>
      </c>
      <c r="C246" s="221" t="s">
        <v>315</v>
      </c>
      <c r="D246" s="222">
        <v>6.0121721623333304</v>
      </c>
      <c r="E246" s="223"/>
      <c r="F246" s="224">
        <v>4.1000000000000002E-2</v>
      </c>
      <c r="G246" s="224">
        <v>2.1999999999999999E-2</v>
      </c>
      <c r="H246" s="225"/>
      <c r="I246" s="226">
        <v>5</v>
      </c>
      <c r="J246" s="226">
        <v>5</v>
      </c>
      <c r="K246" s="223"/>
      <c r="L246" s="227">
        <v>5824.5319</v>
      </c>
      <c r="M246" s="227">
        <v>155.96778</v>
      </c>
      <c r="N246" s="227">
        <v>5980.4996799999999</v>
      </c>
      <c r="O246" s="222">
        <v>994.73194022424002</v>
      </c>
      <c r="P246" s="228">
        <v>220.02799999999999</v>
      </c>
      <c r="Q246" s="234">
        <v>4.5209334276739304</v>
      </c>
      <c r="R246" s="235">
        <v>4535.9516115450097</v>
      </c>
      <c r="S246" s="224">
        <v>0.01</v>
      </c>
      <c r="T246" s="224">
        <v>0.01</v>
      </c>
      <c r="U246" s="231">
        <v>0</v>
      </c>
      <c r="V246" s="232">
        <v>0</v>
      </c>
      <c r="W246" s="223"/>
      <c r="X246" s="231">
        <v>3493.0782549999999</v>
      </c>
      <c r="Y246" s="222">
        <v>581.00103601230398</v>
      </c>
      <c r="Z246" s="233">
        <v>573</v>
      </c>
      <c r="AA246" s="238">
        <v>1.0139634136340401</v>
      </c>
      <c r="AB246" s="239">
        <v>-268.83406172656203</v>
      </c>
      <c r="AC246" s="224">
        <v>1.0999999999999999E-2</v>
      </c>
      <c r="AD246" s="224">
        <v>1E-3</v>
      </c>
      <c r="AE246" s="232">
        <v>0</v>
      </c>
      <c r="AF246" s="232">
        <v>641</v>
      </c>
      <c r="AG246" s="223"/>
      <c r="AH246" s="236">
        <v>316.25</v>
      </c>
      <c r="AI246" s="222">
        <v>52.601620755527897</v>
      </c>
      <c r="AJ246" s="237" t="s">
        <v>54</v>
      </c>
      <c r="AK246" s="244">
        <v>0.83494636119885501</v>
      </c>
      <c r="AL246" s="227">
        <v>-97.363396079883799</v>
      </c>
      <c r="AM246" s="224"/>
      <c r="AN246" s="224"/>
      <c r="AO246" s="232">
        <v>63</v>
      </c>
      <c r="AP246" s="232">
        <v>139</v>
      </c>
      <c r="AQ246" s="223"/>
      <c r="AR246" s="236">
        <v>32.799999999999997</v>
      </c>
      <c r="AS246" s="222">
        <v>5.4555989273717502</v>
      </c>
      <c r="AT246" s="237" t="s">
        <v>55</v>
      </c>
      <c r="AU246" s="229">
        <v>0.340974932960734</v>
      </c>
      <c r="AV246" s="230">
        <v>-72.244672020287894</v>
      </c>
      <c r="AW246" s="224"/>
      <c r="AX246" s="224"/>
      <c r="AY246" s="232">
        <v>64</v>
      </c>
      <c r="AZ246" s="232">
        <v>83</v>
      </c>
      <c r="BA246" s="223"/>
      <c r="BB246" s="240">
        <v>214.2</v>
      </c>
      <c r="BC246" s="236">
        <v>35.627722263506897</v>
      </c>
      <c r="BD246" s="237" t="s">
        <v>56</v>
      </c>
      <c r="BE246" s="234">
        <v>1.1133663207345901</v>
      </c>
      <c r="BF246" s="235">
        <v>4.1106559594241201</v>
      </c>
      <c r="BG246" s="224">
        <v>0.02</v>
      </c>
      <c r="BH246" s="224">
        <v>1.0999999999999999E-2</v>
      </c>
      <c r="BI246" s="232">
        <v>0</v>
      </c>
      <c r="BJ246" s="232">
        <v>17</v>
      </c>
      <c r="BK246" s="225"/>
      <c r="BL246" s="241">
        <v>0.8</v>
      </c>
      <c r="BM246" s="238">
        <v>0.81</v>
      </c>
      <c r="BN246" s="242">
        <v>3.7500000000000001E-4</v>
      </c>
      <c r="BO246" s="243">
        <v>0.95</v>
      </c>
      <c r="BP246" s="234">
        <v>1</v>
      </c>
      <c r="BQ246" s="242">
        <v>2.5000000000000001E-3</v>
      </c>
    </row>
    <row r="247" spans="1:69" s="211" customFormat="1" ht="22.35" customHeight="1" x14ac:dyDescent="0.2">
      <c r="A247" s="221" t="s">
        <v>276</v>
      </c>
      <c r="B247" s="221" t="s">
        <v>300</v>
      </c>
      <c r="C247" s="221" t="s">
        <v>316</v>
      </c>
      <c r="D247" s="222">
        <v>8.5561773496666707</v>
      </c>
      <c r="E247" s="223"/>
      <c r="F247" s="224">
        <v>1.4E-2</v>
      </c>
      <c r="G247" s="224">
        <v>0.01</v>
      </c>
      <c r="H247" s="225"/>
      <c r="I247" s="226">
        <v>3</v>
      </c>
      <c r="J247" s="226">
        <v>2</v>
      </c>
      <c r="K247" s="223"/>
      <c r="L247" s="227">
        <v>4780.0293099999999</v>
      </c>
      <c r="M247" s="227">
        <v>2686.3431599999999</v>
      </c>
      <c r="N247" s="227">
        <v>7466.3724700000002</v>
      </c>
      <c r="O247" s="222">
        <v>872.62946580821801</v>
      </c>
      <c r="P247" s="228">
        <v>215.38300000000001</v>
      </c>
      <c r="Q247" s="234">
        <v>4.0515243348278096</v>
      </c>
      <c r="R247" s="235">
        <v>5453.9746504552404</v>
      </c>
      <c r="S247" s="224">
        <v>0.01</v>
      </c>
      <c r="T247" s="224">
        <v>0.01</v>
      </c>
      <c r="U247" s="231">
        <v>0</v>
      </c>
      <c r="V247" s="232">
        <v>0</v>
      </c>
      <c r="W247" s="223"/>
      <c r="X247" s="231">
        <v>4652.3069349999996</v>
      </c>
      <c r="Y247" s="222">
        <v>543.73661798644798</v>
      </c>
      <c r="Z247" s="233">
        <v>573</v>
      </c>
      <c r="AA247" s="238">
        <v>0.948929525281758</v>
      </c>
      <c r="AB247" s="239">
        <v>-701.43013152403103</v>
      </c>
      <c r="AC247" s="224">
        <v>4.0000000000000001E-3</v>
      </c>
      <c r="AD247" s="224"/>
      <c r="AE247" s="232">
        <v>251</v>
      </c>
      <c r="AF247" s="232">
        <v>1231</v>
      </c>
      <c r="AG247" s="223"/>
      <c r="AH247" s="236">
        <v>281.39999999999998</v>
      </c>
      <c r="AI247" s="222">
        <v>32.888518844336801</v>
      </c>
      <c r="AJ247" s="237" t="s">
        <v>54</v>
      </c>
      <c r="AK247" s="229">
        <v>0.52203998165613996</v>
      </c>
      <c r="AL247" s="230">
        <v>-307.23077694766801</v>
      </c>
      <c r="AM247" s="224"/>
      <c r="AN247" s="224"/>
      <c r="AO247" s="232">
        <v>258</v>
      </c>
      <c r="AP247" s="232">
        <v>366</v>
      </c>
      <c r="AQ247" s="223"/>
      <c r="AR247" s="236">
        <v>67.5</v>
      </c>
      <c r="AS247" s="222">
        <v>7.8890370362215201</v>
      </c>
      <c r="AT247" s="237" t="s">
        <v>55</v>
      </c>
      <c r="AU247" s="229">
        <v>0.49306481476384501</v>
      </c>
      <c r="AV247" s="230">
        <v>-81.993530653376098</v>
      </c>
      <c r="AW247" s="224"/>
      <c r="AX247" s="224"/>
      <c r="AY247" s="232">
        <v>70</v>
      </c>
      <c r="AZ247" s="232">
        <v>97</v>
      </c>
      <c r="BA247" s="223"/>
      <c r="BB247" s="240">
        <v>242.6</v>
      </c>
      <c r="BC247" s="236">
        <v>28.353783481293899</v>
      </c>
      <c r="BD247" s="237" t="s">
        <v>56</v>
      </c>
      <c r="BE247" s="244">
        <v>0.88605573379043501</v>
      </c>
      <c r="BF247" s="227">
        <v>-56.387061306752102</v>
      </c>
      <c r="BG247" s="224"/>
      <c r="BH247" s="224"/>
      <c r="BI247" s="232">
        <v>32</v>
      </c>
      <c r="BJ247" s="232">
        <v>86</v>
      </c>
      <c r="BK247" s="225"/>
      <c r="BL247" s="241">
        <v>0.8</v>
      </c>
      <c r="BM247" s="244">
        <v>0.78</v>
      </c>
      <c r="BN247" s="242"/>
      <c r="BO247" s="243">
        <v>0.95</v>
      </c>
      <c r="BP247" s="234">
        <v>1</v>
      </c>
      <c r="BQ247" s="242">
        <v>2.5000000000000001E-3</v>
      </c>
    </row>
    <row r="248" spans="1:69" s="211" customFormat="1" ht="22.35" customHeight="1" x14ac:dyDescent="0.2">
      <c r="A248" s="221" t="s">
        <v>276</v>
      </c>
      <c r="B248" s="221" t="s">
        <v>300</v>
      </c>
      <c r="C248" s="221" t="s">
        <v>317</v>
      </c>
      <c r="D248" s="222">
        <v>7.66372503566667</v>
      </c>
      <c r="E248" s="223"/>
      <c r="F248" s="224">
        <v>0.01</v>
      </c>
      <c r="G248" s="224">
        <v>0.01</v>
      </c>
      <c r="H248" s="225"/>
      <c r="I248" s="226">
        <v>2</v>
      </c>
      <c r="J248" s="226">
        <v>2</v>
      </c>
      <c r="K248" s="223"/>
      <c r="L248" s="227">
        <v>4769.5723099999996</v>
      </c>
      <c r="M248" s="227">
        <v>1734.6219900000001</v>
      </c>
      <c r="N248" s="227">
        <v>6504.1943000000001</v>
      </c>
      <c r="O248" s="222">
        <v>848.69880765942696</v>
      </c>
      <c r="P248" s="228">
        <v>245.339</v>
      </c>
      <c r="Q248" s="234">
        <v>3.45929023783185</v>
      </c>
      <c r="R248" s="235">
        <v>4451.0042849142401</v>
      </c>
      <c r="S248" s="224">
        <v>0.01</v>
      </c>
      <c r="T248" s="224">
        <v>0.01</v>
      </c>
      <c r="U248" s="231">
        <v>0</v>
      </c>
      <c r="V248" s="232">
        <v>0</v>
      </c>
      <c r="W248" s="223"/>
      <c r="X248" s="231">
        <v>3361.5707600000001</v>
      </c>
      <c r="Y248" s="222">
        <v>438.634051242103</v>
      </c>
      <c r="Z248" s="233">
        <v>573</v>
      </c>
      <c r="AA248" s="244">
        <v>0.76550445242949905</v>
      </c>
      <c r="AB248" s="227">
        <v>-1433.74461441721</v>
      </c>
      <c r="AC248" s="224"/>
      <c r="AD248" s="224"/>
      <c r="AE248" s="232">
        <v>1030</v>
      </c>
      <c r="AF248" s="232">
        <v>1909</v>
      </c>
      <c r="AG248" s="223"/>
      <c r="AH248" s="236">
        <v>306.3</v>
      </c>
      <c r="AI248" s="222">
        <v>39.967509086572399</v>
      </c>
      <c r="AJ248" s="237" t="s">
        <v>54</v>
      </c>
      <c r="AK248" s="229">
        <v>0.63440490613607003</v>
      </c>
      <c r="AL248" s="230">
        <v>-220.93362755372399</v>
      </c>
      <c r="AM248" s="224"/>
      <c r="AN248" s="224"/>
      <c r="AO248" s="232">
        <v>177</v>
      </c>
      <c r="AP248" s="232">
        <v>274</v>
      </c>
      <c r="AQ248" s="223"/>
      <c r="AR248" s="236">
        <v>35.4</v>
      </c>
      <c r="AS248" s="222">
        <v>4.6191636358624297</v>
      </c>
      <c r="AT248" s="237" t="s">
        <v>55</v>
      </c>
      <c r="AU248" s="229">
        <v>0.28869772724140202</v>
      </c>
      <c r="AV248" s="230">
        <v>-98.500603823168007</v>
      </c>
      <c r="AW248" s="224"/>
      <c r="AX248" s="224"/>
      <c r="AY248" s="232">
        <v>88</v>
      </c>
      <c r="AZ248" s="232">
        <v>112</v>
      </c>
      <c r="BA248" s="223"/>
      <c r="BB248" s="240">
        <v>182.2</v>
      </c>
      <c r="BC248" s="236">
        <v>23.7743393913597</v>
      </c>
      <c r="BD248" s="237" t="s">
        <v>56</v>
      </c>
      <c r="BE248" s="244">
        <v>0.74294810597999195</v>
      </c>
      <c r="BF248" s="227">
        <v>-85.601207646336107</v>
      </c>
      <c r="BG248" s="224"/>
      <c r="BH248" s="224"/>
      <c r="BI248" s="232">
        <v>64</v>
      </c>
      <c r="BJ248" s="232">
        <v>113</v>
      </c>
      <c r="BK248" s="225"/>
      <c r="BL248" s="241">
        <v>0.8</v>
      </c>
      <c r="BM248" s="244">
        <v>0.76</v>
      </c>
      <c r="BN248" s="242"/>
      <c r="BO248" s="243">
        <v>0.95</v>
      </c>
      <c r="BP248" s="234">
        <v>1</v>
      </c>
      <c r="BQ248" s="242">
        <v>2.5000000000000001E-3</v>
      </c>
    </row>
    <row r="249" spans="1:69" s="211" customFormat="1" ht="22.35" customHeight="1" x14ac:dyDescent="0.2">
      <c r="A249" s="221" t="s">
        <v>276</v>
      </c>
      <c r="B249" s="221" t="s">
        <v>300</v>
      </c>
      <c r="C249" s="221" t="s">
        <v>318</v>
      </c>
      <c r="D249" s="222">
        <v>4.1744710626666697</v>
      </c>
      <c r="E249" s="223"/>
      <c r="F249" s="224">
        <v>1.6E-2</v>
      </c>
      <c r="G249" s="224">
        <v>0.01</v>
      </c>
      <c r="H249" s="225"/>
      <c r="I249" s="226">
        <v>5</v>
      </c>
      <c r="J249" s="226">
        <v>3</v>
      </c>
      <c r="K249" s="223"/>
      <c r="L249" s="227">
        <v>1637.40444</v>
      </c>
      <c r="M249" s="227">
        <v>916.14940000000001</v>
      </c>
      <c r="N249" s="227">
        <v>2553.55384</v>
      </c>
      <c r="O249" s="222">
        <v>611.70716042017102</v>
      </c>
      <c r="P249" s="228">
        <v>233.489</v>
      </c>
      <c r="Q249" s="234">
        <v>2.61985429900411</v>
      </c>
      <c r="R249" s="235">
        <v>1489.1890032455301</v>
      </c>
      <c r="S249" s="224">
        <v>0.01</v>
      </c>
      <c r="T249" s="224">
        <v>0.01</v>
      </c>
      <c r="U249" s="231">
        <v>0</v>
      </c>
      <c r="V249" s="232">
        <v>0</v>
      </c>
      <c r="W249" s="223"/>
      <c r="X249" s="231">
        <v>2235.5135150000001</v>
      </c>
      <c r="Y249" s="222">
        <v>535.52018481880305</v>
      </c>
      <c r="Z249" s="233">
        <v>573</v>
      </c>
      <c r="AA249" s="238">
        <v>0.93459020038185603</v>
      </c>
      <c r="AB249" s="239">
        <v>-376.519820447538</v>
      </c>
      <c r="AC249" s="224">
        <v>3.0000000000000001E-3</v>
      </c>
      <c r="AD249" s="224"/>
      <c r="AE249" s="232">
        <v>157</v>
      </c>
      <c r="AF249" s="232">
        <v>635</v>
      </c>
      <c r="AG249" s="223"/>
      <c r="AH249" s="236">
        <v>145.19999999999999</v>
      </c>
      <c r="AI249" s="222">
        <v>34.782849807861801</v>
      </c>
      <c r="AJ249" s="237" t="s">
        <v>54</v>
      </c>
      <c r="AK249" s="229">
        <v>0.55210872710891801</v>
      </c>
      <c r="AL249" s="230">
        <v>-141.98691122721601</v>
      </c>
      <c r="AM249" s="224"/>
      <c r="AN249" s="224"/>
      <c r="AO249" s="232">
        <v>118</v>
      </c>
      <c r="AP249" s="232">
        <v>171</v>
      </c>
      <c r="AQ249" s="223"/>
      <c r="AR249" s="236">
        <v>27.6</v>
      </c>
      <c r="AS249" s="222">
        <v>6.61161607918035</v>
      </c>
      <c r="AT249" s="237" t="s">
        <v>55</v>
      </c>
      <c r="AU249" s="229">
        <v>0.41322600494877199</v>
      </c>
      <c r="AV249" s="230">
        <v>-45.336358406912098</v>
      </c>
      <c r="AW249" s="224"/>
      <c r="AX249" s="224"/>
      <c r="AY249" s="232">
        <v>40</v>
      </c>
      <c r="AZ249" s="232">
        <v>53</v>
      </c>
      <c r="BA249" s="223"/>
      <c r="BB249" s="240">
        <v>125.4</v>
      </c>
      <c r="BC249" s="236">
        <v>30.0397339249716</v>
      </c>
      <c r="BD249" s="237" t="s">
        <v>56</v>
      </c>
      <c r="BE249" s="238">
        <v>0.93874168515536105</v>
      </c>
      <c r="BF249" s="239">
        <v>-20.4727168138241</v>
      </c>
      <c r="BG249" s="224">
        <v>3.0000000000000001E-3</v>
      </c>
      <c r="BH249" s="224"/>
      <c r="BI249" s="232">
        <v>9</v>
      </c>
      <c r="BJ249" s="232">
        <v>35</v>
      </c>
      <c r="BK249" s="225"/>
      <c r="BL249" s="241">
        <v>0.8</v>
      </c>
      <c r="BM249" s="238">
        <v>0.82</v>
      </c>
      <c r="BN249" s="242">
        <v>7.5000000000000002E-4</v>
      </c>
      <c r="BO249" s="243">
        <v>0.95</v>
      </c>
      <c r="BP249" s="234">
        <v>1</v>
      </c>
      <c r="BQ249" s="242">
        <v>2.5000000000000001E-3</v>
      </c>
    </row>
    <row r="250" spans="1:69" s="211" customFormat="1" ht="22.35" customHeight="1" x14ac:dyDescent="0.2">
      <c r="A250" s="221" t="s">
        <v>276</v>
      </c>
      <c r="B250" s="221" t="s">
        <v>319</v>
      </c>
      <c r="C250" s="221" t="s">
        <v>320</v>
      </c>
      <c r="D250" s="222">
        <v>2.5533062174444399</v>
      </c>
      <c r="E250" s="223"/>
      <c r="F250" s="224">
        <v>7.0000000000000007E-2</v>
      </c>
      <c r="G250" s="224">
        <v>0.06</v>
      </c>
      <c r="H250" s="225"/>
      <c r="I250" s="226">
        <v>5</v>
      </c>
      <c r="J250" s="226">
        <v>5</v>
      </c>
      <c r="K250" s="223"/>
      <c r="L250" s="227">
        <v>1344.07455</v>
      </c>
      <c r="M250" s="227">
        <v>-507.56684000000001</v>
      </c>
      <c r="N250" s="227">
        <v>836.50770999999997</v>
      </c>
      <c r="O250" s="222">
        <v>327.61746487158302</v>
      </c>
      <c r="P250" s="228">
        <v>240.12899999999999</v>
      </c>
      <c r="Q250" s="234">
        <v>1.3643394378504199</v>
      </c>
      <c r="R250" s="235">
        <v>166.977537391922</v>
      </c>
      <c r="S250" s="224">
        <v>0.01</v>
      </c>
      <c r="T250" s="224">
        <v>0.01</v>
      </c>
      <c r="U250" s="231">
        <v>0</v>
      </c>
      <c r="V250" s="232">
        <v>0</v>
      </c>
      <c r="W250" s="223"/>
      <c r="X250" s="231">
        <v>1650.9485950000001</v>
      </c>
      <c r="Y250" s="222">
        <v>646.59247830148695</v>
      </c>
      <c r="Z250" s="233">
        <v>573</v>
      </c>
      <c r="AA250" s="234">
        <v>1.1284336445052101</v>
      </c>
      <c r="AB250" s="235">
        <v>53.304041845534798</v>
      </c>
      <c r="AC250" s="224">
        <v>0.02</v>
      </c>
      <c r="AD250" s="224">
        <v>1.2999999999999999E-2</v>
      </c>
      <c r="AE250" s="232">
        <v>0</v>
      </c>
      <c r="AF250" s="232">
        <v>105</v>
      </c>
      <c r="AG250" s="223"/>
      <c r="AH250" s="236">
        <v>220.55</v>
      </c>
      <c r="AI250" s="222">
        <v>86.378201914513895</v>
      </c>
      <c r="AJ250" s="237" t="s">
        <v>54</v>
      </c>
      <c r="AK250" s="234">
        <v>1.37108257007165</v>
      </c>
      <c r="AL250" s="235">
        <v>44.892745464692297</v>
      </c>
      <c r="AM250" s="224">
        <v>0.02</v>
      </c>
      <c r="AN250" s="224">
        <v>0.02</v>
      </c>
      <c r="AO250" s="232">
        <v>0</v>
      </c>
      <c r="AP250" s="232">
        <v>0</v>
      </c>
      <c r="AQ250" s="223"/>
      <c r="AR250" s="236">
        <v>10.8</v>
      </c>
      <c r="AS250" s="222">
        <v>4.2298099327896201</v>
      </c>
      <c r="AT250" s="237" t="s">
        <v>55</v>
      </c>
      <c r="AU250" s="229">
        <v>0.26436312079935098</v>
      </c>
      <c r="AV250" s="230">
        <v>-33.811366231189297</v>
      </c>
      <c r="AW250" s="224"/>
      <c r="AX250" s="224"/>
      <c r="AY250" s="232">
        <v>31</v>
      </c>
      <c r="AZ250" s="232">
        <v>39</v>
      </c>
      <c r="BA250" s="223"/>
      <c r="BB250" s="240">
        <v>95.6</v>
      </c>
      <c r="BC250" s="236">
        <v>37.441650886545098</v>
      </c>
      <c r="BD250" s="237" t="s">
        <v>56</v>
      </c>
      <c r="BE250" s="234">
        <v>1.1700515902045401</v>
      </c>
      <c r="BF250" s="235">
        <v>6.3772675376214902</v>
      </c>
      <c r="BG250" s="224">
        <v>0.02</v>
      </c>
      <c r="BH250" s="224">
        <v>1.7000000000000001E-2</v>
      </c>
      <c r="BI250" s="232">
        <v>0</v>
      </c>
      <c r="BJ250" s="232">
        <v>3</v>
      </c>
      <c r="BK250" s="225"/>
      <c r="BL250" s="241">
        <v>0.8</v>
      </c>
      <c r="BM250" s="244">
        <v>0.76</v>
      </c>
      <c r="BN250" s="242"/>
      <c r="BO250" s="243">
        <v>0.95</v>
      </c>
      <c r="BP250" s="234">
        <v>1</v>
      </c>
      <c r="BQ250" s="242">
        <v>2.5000000000000001E-3</v>
      </c>
    </row>
    <row r="251" spans="1:69" s="211" customFormat="1" ht="22.35" customHeight="1" x14ac:dyDescent="0.2">
      <c r="A251" s="221" t="s">
        <v>276</v>
      </c>
      <c r="B251" s="221" t="s">
        <v>319</v>
      </c>
      <c r="C251" s="221" t="s">
        <v>321</v>
      </c>
      <c r="D251" s="222">
        <v>2.2514665105555598</v>
      </c>
      <c r="E251" s="223"/>
      <c r="F251" s="224">
        <v>0.01</v>
      </c>
      <c r="G251" s="224">
        <v>0.01</v>
      </c>
      <c r="H251" s="225"/>
      <c r="I251" s="226">
        <v>3</v>
      </c>
      <c r="J251" s="226">
        <v>3</v>
      </c>
      <c r="K251" s="223"/>
      <c r="L251" s="227">
        <v>920.01224999999999</v>
      </c>
      <c r="M251" s="227">
        <v>627.25487999999996</v>
      </c>
      <c r="N251" s="227">
        <v>1547.26713</v>
      </c>
      <c r="O251" s="222">
        <v>687.22635790758795</v>
      </c>
      <c r="P251" s="228">
        <v>255.477</v>
      </c>
      <c r="Q251" s="234">
        <v>2.68997349235973</v>
      </c>
      <c r="R251" s="235">
        <v>919.15101258881498</v>
      </c>
      <c r="S251" s="224">
        <v>0.01</v>
      </c>
      <c r="T251" s="224">
        <v>0.01</v>
      </c>
      <c r="U251" s="231">
        <v>0</v>
      </c>
      <c r="V251" s="232">
        <v>0</v>
      </c>
      <c r="W251" s="223"/>
      <c r="X251" s="231">
        <v>1051.3893499999999</v>
      </c>
      <c r="Y251" s="222">
        <v>466.97978631739301</v>
      </c>
      <c r="Z251" s="233">
        <v>573</v>
      </c>
      <c r="AA251" s="244">
        <v>0.81497344907049396</v>
      </c>
      <c r="AB251" s="227">
        <v>-357.38926911878298</v>
      </c>
      <c r="AC251" s="224"/>
      <c r="AD251" s="224"/>
      <c r="AE251" s="232">
        <v>239</v>
      </c>
      <c r="AF251" s="232">
        <v>497</v>
      </c>
      <c r="AG251" s="223"/>
      <c r="AH251" s="236">
        <v>58.3</v>
      </c>
      <c r="AI251" s="222">
        <v>25.894233703531398</v>
      </c>
      <c r="AJ251" s="237" t="s">
        <v>54</v>
      </c>
      <c r="AK251" s="229">
        <v>0.41101958259573701</v>
      </c>
      <c r="AL251" s="230">
        <v>-96.591890060180305</v>
      </c>
      <c r="AM251" s="224"/>
      <c r="AN251" s="224"/>
      <c r="AO251" s="232">
        <v>84</v>
      </c>
      <c r="AP251" s="232">
        <v>112</v>
      </c>
      <c r="AQ251" s="223"/>
      <c r="AR251" s="236">
        <v>7.8</v>
      </c>
      <c r="AS251" s="222">
        <v>3.4644086258584101</v>
      </c>
      <c r="AT251" s="237" t="s">
        <v>55</v>
      </c>
      <c r="AU251" s="229">
        <v>0.21652553911615099</v>
      </c>
      <c r="AV251" s="230">
        <v>-31.537622872426699</v>
      </c>
      <c r="AW251" s="224"/>
      <c r="AX251" s="224"/>
      <c r="AY251" s="232">
        <v>29</v>
      </c>
      <c r="AZ251" s="232">
        <v>36</v>
      </c>
      <c r="BA251" s="223"/>
      <c r="BB251" s="240">
        <v>61.6</v>
      </c>
      <c r="BC251" s="236">
        <v>27.359945045240799</v>
      </c>
      <c r="BD251" s="237" t="s">
        <v>56</v>
      </c>
      <c r="BE251" s="244">
        <v>0.85499828266377398</v>
      </c>
      <c r="BF251" s="227">
        <v>-17.0752457448535</v>
      </c>
      <c r="BG251" s="224"/>
      <c r="BH251" s="224"/>
      <c r="BI251" s="232">
        <v>11</v>
      </c>
      <c r="BJ251" s="232">
        <v>25</v>
      </c>
      <c r="BK251" s="225"/>
      <c r="BL251" s="241">
        <v>0.8</v>
      </c>
      <c r="BM251" s="238">
        <v>0.91</v>
      </c>
      <c r="BN251" s="242">
        <v>4.1250000000000002E-3</v>
      </c>
      <c r="BO251" s="243">
        <v>0.95</v>
      </c>
      <c r="BP251" s="234">
        <v>1</v>
      </c>
      <c r="BQ251" s="242">
        <v>2.5000000000000001E-3</v>
      </c>
    </row>
    <row r="252" spans="1:69" s="211" customFormat="1" ht="22.35" customHeight="1" x14ac:dyDescent="0.2">
      <c r="A252" s="221" t="s">
        <v>276</v>
      </c>
      <c r="B252" s="221" t="s">
        <v>319</v>
      </c>
      <c r="C252" s="221" t="s">
        <v>322</v>
      </c>
      <c r="D252" s="222">
        <v>2.8395425426666701</v>
      </c>
      <c r="E252" s="223"/>
      <c r="F252" s="224">
        <v>0.01</v>
      </c>
      <c r="G252" s="224">
        <v>0.01</v>
      </c>
      <c r="H252" s="225"/>
      <c r="I252" s="226">
        <v>3</v>
      </c>
      <c r="J252" s="226">
        <v>3</v>
      </c>
      <c r="K252" s="223"/>
      <c r="L252" s="227">
        <v>698.95641999999998</v>
      </c>
      <c r="M252" s="227">
        <v>1794.5361399999999</v>
      </c>
      <c r="N252" s="227">
        <v>2493.4925600000001</v>
      </c>
      <c r="O252" s="222">
        <v>878.131784445221</v>
      </c>
      <c r="P252" s="228">
        <v>222.37200000000001</v>
      </c>
      <c r="Q252" s="234">
        <v>3.94893145020606</v>
      </c>
      <c r="R252" s="235">
        <v>1803.96580830672</v>
      </c>
      <c r="S252" s="224">
        <v>0.01</v>
      </c>
      <c r="T252" s="224">
        <v>0.01</v>
      </c>
      <c r="U252" s="231">
        <v>0</v>
      </c>
      <c r="V252" s="232">
        <v>0</v>
      </c>
      <c r="W252" s="223"/>
      <c r="X252" s="231">
        <v>906.38475000000005</v>
      </c>
      <c r="Y252" s="222">
        <v>319.20097564334998</v>
      </c>
      <c r="Z252" s="233">
        <v>573</v>
      </c>
      <c r="AA252" s="229">
        <v>0.55706976552068099</v>
      </c>
      <c r="AB252" s="230">
        <v>-870.36245162721798</v>
      </c>
      <c r="AC252" s="224"/>
      <c r="AD252" s="224"/>
      <c r="AE252" s="232">
        <v>721</v>
      </c>
      <c r="AF252" s="232">
        <v>1047</v>
      </c>
      <c r="AG252" s="223"/>
      <c r="AH252" s="236">
        <v>105.05</v>
      </c>
      <c r="AI252" s="222">
        <v>36.995395709530598</v>
      </c>
      <c r="AJ252" s="237" t="s">
        <v>54</v>
      </c>
      <c r="AK252" s="229">
        <v>0.58722850332588195</v>
      </c>
      <c r="AL252" s="230">
        <v>-90.299168765296201</v>
      </c>
      <c r="AM252" s="224"/>
      <c r="AN252" s="224"/>
      <c r="AO252" s="232">
        <v>74</v>
      </c>
      <c r="AP252" s="232">
        <v>110</v>
      </c>
      <c r="AQ252" s="223"/>
      <c r="AR252" s="236">
        <v>7</v>
      </c>
      <c r="AS252" s="222">
        <v>2.4651858159611102</v>
      </c>
      <c r="AT252" s="237" t="s">
        <v>55</v>
      </c>
      <c r="AU252" s="229">
        <v>0.154074113497569</v>
      </c>
      <c r="AV252" s="230">
        <v>-42.612487305472101</v>
      </c>
      <c r="AW252" s="224"/>
      <c r="AX252" s="224"/>
      <c r="AY252" s="232">
        <v>39</v>
      </c>
      <c r="AZ252" s="232">
        <v>48</v>
      </c>
      <c r="BA252" s="223"/>
      <c r="BB252" s="240">
        <v>53.4</v>
      </c>
      <c r="BC252" s="236">
        <v>18.8058460817604</v>
      </c>
      <c r="BD252" s="237" t="s">
        <v>56</v>
      </c>
      <c r="BE252" s="229">
        <v>0.58768269005501295</v>
      </c>
      <c r="BF252" s="230">
        <v>-45.824974610944103</v>
      </c>
      <c r="BG252" s="224"/>
      <c r="BH252" s="224"/>
      <c r="BI252" s="232">
        <v>38</v>
      </c>
      <c r="BJ252" s="232">
        <v>56</v>
      </c>
      <c r="BK252" s="225"/>
      <c r="BL252" s="241">
        <v>0.8</v>
      </c>
      <c r="BM252" s="238">
        <v>0.83</v>
      </c>
      <c r="BN252" s="242">
        <v>1.1249999999999999E-3</v>
      </c>
      <c r="BO252" s="243">
        <v>0.95</v>
      </c>
      <c r="BP252" s="234">
        <v>1</v>
      </c>
      <c r="BQ252" s="242">
        <v>2.5000000000000001E-3</v>
      </c>
    </row>
    <row r="253" spans="1:69" s="211" customFormat="1" ht="22.35" customHeight="1" x14ac:dyDescent="0.2">
      <c r="A253" s="221" t="s">
        <v>276</v>
      </c>
      <c r="B253" s="221" t="s">
        <v>319</v>
      </c>
      <c r="C253" s="221" t="s">
        <v>323</v>
      </c>
      <c r="D253" s="222">
        <v>2.59845626488889</v>
      </c>
      <c r="E253" s="223"/>
      <c r="F253" s="224">
        <v>4.8000000000000001E-2</v>
      </c>
      <c r="G253" s="224">
        <v>3.3000000000000002E-2</v>
      </c>
      <c r="H253" s="225"/>
      <c r="I253" s="226">
        <v>6</v>
      </c>
      <c r="J253" s="226">
        <v>5</v>
      </c>
      <c r="K253" s="223"/>
      <c r="L253" s="227">
        <v>597.92957999999999</v>
      </c>
      <c r="M253" s="227">
        <v>279.84960999999998</v>
      </c>
      <c r="N253" s="227">
        <v>877.77918999999997</v>
      </c>
      <c r="O253" s="222">
        <v>337.80795230645703</v>
      </c>
      <c r="P253" s="228">
        <v>286.47199999999998</v>
      </c>
      <c r="Q253" s="234">
        <v>1.1792005930997</v>
      </c>
      <c r="R253" s="235">
        <v>64.910810278146798</v>
      </c>
      <c r="S253" s="224">
        <v>0.01</v>
      </c>
      <c r="T253" s="224">
        <v>8.9999999999999993E-3</v>
      </c>
      <c r="U253" s="231">
        <v>0</v>
      </c>
      <c r="V253" s="232">
        <v>16</v>
      </c>
      <c r="W253" s="223"/>
      <c r="X253" s="231">
        <v>1958.9449050000001</v>
      </c>
      <c r="Y253" s="222">
        <v>753.88796473884997</v>
      </c>
      <c r="Z253" s="233">
        <v>573</v>
      </c>
      <c r="AA253" s="234">
        <v>1.3156858023365601</v>
      </c>
      <c r="AB253" s="235">
        <v>333.049244758783</v>
      </c>
      <c r="AC253" s="224">
        <v>0.02</v>
      </c>
      <c r="AD253" s="224">
        <v>0.02</v>
      </c>
      <c r="AE253" s="232">
        <v>0</v>
      </c>
      <c r="AF253" s="232">
        <v>0</v>
      </c>
      <c r="AG253" s="223"/>
      <c r="AH253" s="236">
        <v>152.9</v>
      </c>
      <c r="AI253" s="222">
        <v>58.842629782163399</v>
      </c>
      <c r="AJ253" s="237" t="s">
        <v>54</v>
      </c>
      <c r="AK253" s="238">
        <v>0.93400999654227601</v>
      </c>
      <c r="AL253" s="239">
        <v>-25.863397199296099</v>
      </c>
      <c r="AM253" s="224">
        <v>3.0000000000000001E-3</v>
      </c>
      <c r="AN253" s="224"/>
      <c r="AO253" s="232">
        <v>11</v>
      </c>
      <c r="AP253" s="232">
        <v>44</v>
      </c>
      <c r="AQ253" s="223"/>
      <c r="AR253" s="236">
        <v>20.6</v>
      </c>
      <c r="AS253" s="222">
        <v>7.9277839994281596</v>
      </c>
      <c r="AT253" s="237" t="s">
        <v>55</v>
      </c>
      <c r="AU253" s="229">
        <v>0.49548649996425997</v>
      </c>
      <c r="AV253" s="230">
        <v>-24.800227860138701</v>
      </c>
      <c r="AW253" s="224"/>
      <c r="AX253" s="224"/>
      <c r="AY253" s="232">
        <v>21</v>
      </c>
      <c r="AZ253" s="232">
        <v>30</v>
      </c>
      <c r="BA253" s="223"/>
      <c r="BB253" s="240">
        <v>86.8</v>
      </c>
      <c r="BC253" s="236">
        <v>33.404449084969201</v>
      </c>
      <c r="BD253" s="237" t="s">
        <v>56</v>
      </c>
      <c r="BE253" s="238">
        <v>1.04388903390529</v>
      </c>
      <c r="BF253" s="239">
        <v>-4.0004557202774</v>
      </c>
      <c r="BG253" s="224">
        <v>1.4999999999999999E-2</v>
      </c>
      <c r="BH253" s="224">
        <v>4.0000000000000001E-3</v>
      </c>
      <c r="BI253" s="232">
        <v>0</v>
      </c>
      <c r="BJ253" s="232">
        <v>13</v>
      </c>
      <c r="BK253" s="225"/>
      <c r="BL253" s="241">
        <v>0.8</v>
      </c>
      <c r="BM253" s="238">
        <v>0.86</v>
      </c>
      <c r="BN253" s="242">
        <v>2.2499999999999998E-3</v>
      </c>
      <c r="BO253" s="243">
        <v>0.95</v>
      </c>
      <c r="BP253" s="234">
        <v>1</v>
      </c>
      <c r="BQ253" s="242">
        <v>2.5000000000000001E-3</v>
      </c>
    </row>
    <row r="254" spans="1:69" s="211" customFormat="1" ht="22.35" customHeight="1" x14ac:dyDescent="0.2">
      <c r="A254" s="221" t="s">
        <v>276</v>
      </c>
      <c r="B254" s="221" t="s">
        <v>319</v>
      </c>
      <c r="C254" s="221" t="s">
        <v>324</v>
      </c>
      <c r="D254" s="222">
        <v>3.4220960403333298</v>
      </c>
      <c r="E254" s="223"/>
      <c r="F254" s="224">
        <v>0.05</v>
      </c>
      <c r="G254" s="224">
        <v>0.05</v>
      </c>
      <c r="H254" s="225"/>
      <c r="I254" s="226">
        <v>4</v>
      </c>
      <c r="J254" s="226">
        <v>4</v>
      </c>
      <c r="K254" s="223"/>
      <c r="L254" s="227">
        <v>2655.21639</v>
      </c>
      <c r="M254" s="227">
        <v>2141.3462199999999</v>
      </c>
      <c r="N254" s="227">
        <v>4796.5626099999999</v>
      </c>
      <c r="O254" s="222">
        <v>1401.6446509586499</v>
      </c>
      <c r="P254" s="228">
        <v>237.096</v>
      </c>
      <c r="Q254" s="234">
        <v>5.9117178314212397</v>
      </c>
      <c r="R254" s="235">
        <v>3910.5517212054701</v>
      </c>
      <c r="S254" s="224">
        <v>0.01</v>
      </c>
      <c r="T254" s="224">
        <v>0.01</v>
      </c>
      <c r="U254" s="231">
        <v>0</v>
      </c>
      <c r="V254" s="232">
        <v>0</v>
      </c>
      <c r="W254" s="223"/>
      <c r="X254" s="231">
        <v>2391.6470549999999</v>
      </c>
      <c r="Y254" s="222">
        <v>698.88367445322694</v>
      </c>
      <c r="Z254" s="233">
        <v>573</v>
      </c>
      <c r="AA254" s="234">
        <v>1.2196922765326801</v>
      </c>
      <c r="AB254" s="235">
        <v>250.38680902679101</v>
      </c>
      <c r="AC254" s="224">
        <v>0.02</v>
      </c>
      <c r="AD254" s="224">
        <v>0.02</v>
      </c>
      <c r="AE254" s="232">
        <v>0</v>
      </c>
      <c r="AF254" s="232">
        <v>0</v>
      </c>
      <c r="AG254" s="223"/>
      <c r="AH254" s="236">
        <v>120.25</v>
      </c>
      <c r="AI254" s="222">
        <v>35.139282645114399</v>
      </c>
      <c r="AJ254" s="237" t="s">
        <v>54</v>
      </c>
      <c r="AK254" s="229">
        <v>0.55776639119229299</v>
      </c>
      <c r="AL254" s="230">
        <v>-115.176519190772</v>
      </c>
      <c r="AM254" s="224"/>
      <c r="AN254" s="224"/>
      <c r="AO254" s="232">
        <v>96</v>
      </c>
      <c r="AP254" s="232">
        <v>139</v>
      </c>
      <c r="AQ254" s="223"/>
      <c r="AR254" s="236">
        <v>15</v>
      </c>
      <c r="AS254" s="222">
        <v>4.3832785004300803</v>
      </c>
      <c r="AT254" s="237" t="s">
        <v>55</v>
      </c>
      <c r="AU254" s="229">
        <v>0.27395490627688002</v>
      </c>
      <c r="AV254" s="230">
        <v>-44.790862016703898</v>
      </c>
      <c r="AW254" s="224"/>
      <c r="AX254" s="224"/>
      <c r="AY254" s="232">
        <v>40</v>
      </c>
      <c r="AZ254" s="232">
        <v>51</v>
      </c>
      <c r="BA254" s="223"/>
      <c r="BB254" s="240">
        <v>144.6</v>
      </c>
      <c r="BC254" s="236">
        <v>42.2548047441459</v>
      </c>
      <c r="BD254" s="237" t="s">
        <v>56</v>
      </c>
      <c r="BE254" s="234">
        <v>1.3204626482545601</v>
      </c>
      <c r="BF254" s="235">
        <v>25.0182759665921</v>
      </c>
      <c r="BG254" s="224">
        <v>0.02</v>
      </c>
      <c r="BH254" s="224">
        <v>0.02</v>
      </c>
      <c r="BI254" s="232">
        <v>0</v>
      </c>
      <c r="BJ254" s="232">
        <v>0</v>
      </c>
      <c r="BK254" s="225"/>
      <c r="BL254" s="241">
        <v>0.8</v>
      </c>
      <c r="BM254" s="244">
        <v>0.77</v>
      </c>
      <c r="BN254" s="242"/>
      <c r="BO254" s="243">
        <v>0.95</v>
      </c>
      <c r="BP254" s="234">
        <v>1</v>
      </c>
      <c r="BQ254" s="242">
        <v>2.5000000000000001E-3</v>
      </c>
    </row>
    <row r="255" spans="1:69" s="211" customFormat="1" ht="22.35" customHeight="1" x14ac:dyDescent="0.2">
      <c r="A255" s="221" t="s">
        <v>276</v>
      </c>
      <c r="B255" s="221" t="s">
        <v>319</v>
      </c>
      <c r="C255" s="221" t="s">
        <v>325</v>
      </c>
      <c r="D255" s="222">
        <v>2.6425147733333301</v>
      </c>
      <c r="E255" s="223"/>
      <c r="F255" s="224">
        <v>0.08</v>
      </c>
      <c r="G255" s="224">
        <v>7.5999999999999998E-2</v>
      </c>
      <c r="H255" s="225"/>
      <c r="I255" s="226">
        <v>6</v>
      </c>
      <c r="J255" s="226">
        <v>6</v>
      </c>
      <c r="K255" s="223"/>
      <c r="L255" s="227">
        <v>2005.5875100000001</v>
      </c>
      <c r="M255" s="227">
        <v>779.64234999999996</v>
      </c>
      <c r="N255" s="227">
        <v>2785.2298599999999</v>
      </c>
      <c r="O255" s="222">
        <v>1054.00729945083</v>
      </c>
      <c r="P255" s="228">
        <v>265.19900000000001</v>
      </c>
      <c r="Q255" s="234">
        <v>3.9744014851143099</v>
      </c>
      <c r="R255" s="235">
        <v>2019.96469529244</v>
      </c>
      <c r="S255" s="224">
        <v>0.01</v>
      </c>
      <c r="T255" s="224">
        <v>0.01</v>
      </c>
      <c r="U255" s="231">
        <v>0</v>
      </c>
      <c r="V255" s="232">
        <v>0</v>
      </c>
      <c r="W255" s="223"/>
      <c r="X255" s="231">
        <v>1943.26513</v>
      </c>
      <c r="Y255" s="222">
        <v>735.38477423485404</v>
      </c>
      <c r="Z255" s="233">
        <v>573</v>
      </c>
      <c r="AA255" s="234">
        <v>1.2833940213522801</v>
      </c>
      <c r="AB255" s="235">
        <v>289.80135608896302</v>
      </c>
      <c r="AC255" s="224">
        <v>0.02</v>
      </c>
      <c r="AD255" s="224">
        <v>0.02</v>
      </c>
      <c r="AE255" s="232">
        <v>0</v>
      </c>
      <c r="AF255" s="232">
        <v>0</v>
      </c>
      <c r="AG255" s="223"/>
      <c r="AH255" s="236">
        <v>192.3</v>
      </c>
      <c r="AI255" s="222">
        <v>72.771589374097601</v>
      </c>
      <c r="AJ255" s="237" t="s">
        <v>54</v>
      </c>
      <c r="AK255" s="234">
        <v>1.15510459323964</v>
      </c>
      <c r="AL255" s="235">
        <v>10.505553653760201</v>
      </c>
      <c r="AM255" s="224">
        <v>0.02</v>
      </c>
      <c r="AN255" s="224">
        <v>1.6E-2</v>
      </c>
      <c r="AO255" s="232">
        <v>0</v>
      </c>
      <c r="AP255" s="232">
        <v>8</v>
      </c>
      <c r="AQ255" s="223"/>
      <c r="AR255" s="236">
        <v>54.2</v>
      </c>
      <c r="AS255" s="222">
        <v>20.510765179802899</v>
      </c>
      <c r="AT255" s="237" t="s">
        <v>55</v>
      </c>
      <c r="AU255" s="234">
        <v>1.2819228237376801</v>
      </c>
      <c r="AV255" s="235">
        <v>8.0299818803200598</v>
      </c>
      <c r="AW255" s="224">
        <v>0.01</v>
      </c>
      <c r="AX255" s="224">
        <v>0.01</v>
      </c>
      <c r="AY255" s="232">
        <v>0</v>
      </c>
      <c r="AZ255" s="232">
        <v>0</v>
      </c>
      <c r="BA255" s="223"/>
      <c r="BB255" s="240">
        <v>167.8</v>
      </c>
      <c r="BC255" s="236">
        <v>63.500118028983799</v>
      </c>
      <c r="BD255" s="237" t="s">
        <v>56</v>
      </c>
      <c r="BE255" s="234">
        <v>1.9843786884057399</v>
      </c>
      <c r="BF255" s="235">
        <v>75.459963760640093</v>
      </c>
      <c r="BG255" s="224">
        <v>0.02</v>
      </c>
      <c r="BH255" s="224">
        <v>0.02</v>
      </c>
      <c r="BI255" s="232">
        <v>0</v>
      </c>
      <c r="BJ255" s="232">
        <v>0</v>
      </c>
      <c r="BK255" s="225"/>
      <c r="BL255" s="241">
        <v>0.8</v>
      </c>
      <c r="BM255" s="244">
        <v>0.78</v>
      </c>
      <c r="BN255" s="242"/>
      <c r="BO255" s="243">
        <v>0.95</v>
      </c>
      <c r="BP255" s="234">
        <v>1</v>
      </c>
      <c r="BQ255" s="242">
        <v>2.5000000000000001E-3</v>
      </c>
    </row>
    <row r="256" spans="1:69" s="211" customFormat="1" ht="22.35" customHeight="1" x14ac:dyDescent="0.2">
      <c r="A256" s="221" t="s">
        <v>276</v>
      </c>
      <c r="B256" s="221" t="s">
        <v>319</v>
      </c>
      <c r="C256" s="221" t="s">
        <v>326</v>
      </c>
      <c r="D256" s="222">
        <v>3.04966082633333</v>
      </c>
      <c r="E256" s="223"/>
      <c r="F256" s="224">
        <v>3.4000000000000002E-2</v>
      </c>
      <c r="G256" s="224">
        <v>1.4999999999999999E-2</v>
      </c>
      <c r="H256" s="225"/>
      <c r="I256" s="226">
        <v>5</v>
      </c>
      <c r="J256" s="226">
        <v>4</v>
      </c>
      <c r="K256" s="223"/>
      <c r="L256" s="227">
        <v>687.19646</v>
      </c>
      <c r="M256" s="227">
        <v>2319.0155199999999</v>
      </c>
      <c r="N256" s="227">
        <v>3006.21198</v>
      </c>
      <c r="O256" s="222">
        <v>985.75289226980306</v>
      </c>
      <c r="P256" s="228">
        <v>266.08300000000003</v>
      </c>
      <c r="Q256" s="234">
        <v>3.7046819686706902</v>
      </c>
      <c r="R256" s="235">
        <v>2120.09449139465</v>
      </c>
      <c r="S256" s="224">
        <v>0.01</v>
      </c>
      <c r="T256" s="224">
        <v>0.01</v>
      </c>
      <c r="U256" s="231">
        <v>0</v>
      </c>
      <c r="V256" s="232">
        <v>0</v>
      </c>
      <c r="W256" s="223"/>
      <c r="X256" s="231">
        <v>1835.10203</v>
      </c>
      <c r="Y256" s="222">
        <v>601.73971287370296</v>
      </c>
      <c r="Z256" s="233">
        <v>573</v>
      </c>
      <c r="AA256" s="238">
        <v>1.0501565669698101</v>
      </c>
      <c r="AB256" s="239">
        <v>-73.119543609985797</v>
      </c>
      <c r="AC256" s="224">
        <v>1.4999999999999999E-2</v>
      </c>
      <c r="AD256" s="224">
        <v>5.0000000000000001E-3</v>
      </c>
      <c r="AE256" s="232">
        <v>0</v>
      </c>
      <c r="AF256" s="232">
        <v>262</v>
      </c>
      <c r="AG256" s="223"/>
      <c r="AH256" s="236">
        <v>112.75</v>
      </c>
      <c r="AI256" s="222">
        <v>36.971324491701402</v>
      </c>
      <c r="AJ256" s="237" t="s">
        <v>54</v>
      </c>
      <c r="AK256" s="229">
        <v>0.58684642050319702</v>
      </c>
      <c r="AL256" s="230">
        <v>-97.054466208427797</v>
      </c>
      <c r="AM256" s="224"/>
      <c r="AN256" s="224"/>
      <c r="AO256" s="232">
        <v>80</v>
      </c>
      <c r="AP256" s="232">
        <v>118</v>
      </c>
      <c r="AQ256" s="223"/>
      <c r="AR256" s="236">
        <v>5.5</v>
      </c>
      <c r="AS256" s="222">
        <v>1.8034792434976299</v>
      </c>
      <c r="AT256" s="237" t="s">
        <v>55</v>
      </c>
      <c r="AU256" s="229">
        <v>0.11271745271860199</v>
      </c>
      <c r="AV256" s="230">
        <v>-47.783673957695903</v>
      </c>
      <c r="AW256" s="224"/>
      <c r="AX256" s="224"/>
      <c r="AY256" s="232">
        <v>44</v>
      </c>
      <c r="AZ256" s="232">
        <v>54</v>
      </c>
      <c r="BA256" s="223"/>
      <c r="BB256" s="240">
        <v>96.4</v>
      </c>
      <c r="BC256" s="236">
        <v>31.6100725587585</v>
      </c>
      <c r="BD256" s="237" t="s">
        <v>56</v>
      </c>
      <c r="BE256" s="238">
        <v>0.987814767461202</v>
      </c>
      <c r="BF256" s="239">
        <v>-10.1673479153919</v>
      </c>
      <c r="BG256" s="224">
        <v>8.9999999999999993E-3</v>
      </c>
      <c r="BH256" s="224"/>
      <c r="BI256" s="232">
        <v>2</v>
      </c>
      <c r="BJ256" s="232">
        <v>21</v>
      </c>
      <c r="BK256" s="225"/>
      <c r="BL256" s="241">
        <v>0.8</v>
      </c>
      <c r="BM256" s="238">
        <v>0.85</v>
      </c>
      <c r="BN256" s="242">
        <v>1.8749999999999999E-3</v>
      </c>
      <c r="BO256" s="243">
        <v>0.95</v>
      </c>
      <c r="BP256" s="234">
        <v>1</v>
      </c>
      <c r="BQ256" s="242">
        <v>2.5000000000000001E-3</v>
      </c>
    </row>
    <row r="257" spans="1:69" s="211" customFormat="1" ht="22.35" customHeight="1" x14ac:dyDescent="0.2">
      <c r="A257" s="221" t="s">
        <v>276</v>
      </c>
      <c r="B257" s="221" t="s">
        <v>319</v>
      </c>
      <c r="C257" s="221" t="s">
        <v>327</v>
      </c>
      <c r="D257" s="222">
        <v>2.8493458841111101</v>
      </c>
      <c r="E257" s="223"/>
      <c r="F257" s="224">
        <v>4.9000000000000002E-2</v>
      </c>
      <c r="G257" s="224">
        <v>3.6999999999999998E-2</v>
      </c>
      <c r="H257" s="225"/>
      <c r="I257" s="226">
        <v>5</v>
      </c>
      <c r="J257" s="226">
        <v>5</v>
      </c>
      <c r="K257" s="223"/>
      <c r="L257" s="227">
        <v>2423.97183</v>
      </c>
      <c r="M257" s="227">
        <v>2261.2376199999999</v>
      </c>
      <c r="N257" s="227">
        <v>4685.2094500000003</v>
      </c>
      <c r="O257" s="222">
        <v>1644.31053320914</v>
      </c>
      <c r="P257" s="228">
        <v>263.75299999999999</v>
      </c>
      <c r="Q257" s="234">
        <v>6.23428182128408</v>
      </c>
      <c r="R257" s="235">
        <v>3864.5457607306198</v>
      </c>
      <c r="S257" s="224">
        <v>0.01</v>
      </c>
      <c r="T257" s="224">
        <v>0.01</v>
      </c>
      <c r="U257" s="231">
        <v>0</v>
      </c>
      <c r="V257" s="232">
        <v>0</v>
      </c>
      <c r="W257" s="223"/>
      <c r="X257" s="231">
        <v>1772.9941100000001</v>
      </c>
      <c r="Y257" s="222">
        <v>622.24601087807503</v>
      </c>
      <c r="Z257" s="233">
        <v>573</v>
      </c>
      <c r="AA257" s="238">
        <v>1.08594417256208</v>
      </c>
      <c r="AB257" s="239">
        <v>-9.8871992224674106</v>
      </c>
      <c r="AC257" s="224">
        <v>1.9E-2</v>
      </c>
      <c r="AD257" s="224">
        <v>8.9999999999999993E-3</v>
      </c>
      <c r="AE257" s="232">
        <v>0</v>
      </c>
      <c r="AF257" s="232">
        <v>187</v>
      </c>
      <c r="AG257" s="223"/>
      <c r="AH257" s="236">
        <v>156.25</v>
      </c>
      <c r="AI257" s="222">
        <v>54.837147315565097</v>
      </c>
      <c r="AJ257" s="237" t="s">
        <v>54</v>
      </c>
      <c r="AK257" s="244">
        <v>0.87043090977087401</v>
      </c>
      <c r="AL257" s="227">
        <v>-39.773599443307901</v>
      </c>
      <c r="AM257" s="224"/>
      <c r="AN257" s="224"/>
      <c r="AO257" s="232">
        <v>24</v>
      </c>
      <c r="AP257" s="232">
        <v>60</v>
      </c>
      <c r="AQ257" s="223"/>
      <c r="AR257" s="236">
        <v>28.9</v>
      </c>
      <c r="AS257" s="222">
        <v>10.142678767486901</v>
      </c>
      <c r="AT257" s="237" t="s">
        <v>55</v>
      </c>
      <c r="AU257" s="229">
        <v>0.63391742296793196</v>
      </c>
      <c r="AV257" s="230">
        <v>-20.883771287189301</v>
      </c>
      <c r="AW257" s="224"/>
      <c r="AX257" s="224"/>
      <c r="AY257" s="232">
        <v>17</v>
      </c>
      <c r="AZ257" s="232">
        <v>26</v>
      </c>
      <c r="BA257" s="223"/>
      <c r="BB257" s="240">
        <v>108</v>
      </c>
      <c r="BC257" s="236">
        <v>37.9034362245186</v>
      </c>
      <c r="BD257" s="237" t="s">
        <v>56</v>
      </c>
      <c r="BE257" s="234">
        <v>1.18448238201621</v>
      </c>
      <c r="BF257" s="235">
        <v>8.4324574256213705</v>
      </c>
      <c r="BG257" s="224">
        <v>0.02</v>
      </c>
      <c r="BH257" s="224">
        <v>1.7999999999999999E-2</v>
      </c>
      <c r="BI257" s="232">
        <v>0</v>
      </c>
      <c r="BJ257" s="232">
        <v>2</v>
      </c>
      <c r="BK257" s="225"/>
      <c r="BL257" s="241">
        <v>0.8</v>
      </c>
      <c r="BM257" s="238">
        <v>0.87</v>
      </c>
      <c r="BN257" s="242">
        <v>2.6250000000000002E-3</v>
      </c>
      <c r="BO257" s="243">
        <v>0.95</v>
      </c>
      <c r="BP257" s="234">
        <v>1</v>
      </c>
      <c r="BQ257" s="242">
        <v>2.5000000000000001E-3</v>
      </c>
    </row>
    <row r="258" spans="1:69" s="211" customFormat="1" ht="22.35" customHeight="1" x14ac:dyDescent="0.2">
      <c r="A258" s="221" t="s">
        <v>276</v>
      </c>
      <c r="B258" s="221" t="s">
        <v>319</v>
      </c>
      <c r="C258" s="221" t="s">
        <v>328</v>
      </c>
      <c r="D258" s="222">
        <v>7.8533208782222204</v>
      </c>
      <c r="E258" s="223"/>
      <c r="F258" s="224">
        <v>3.5000000000000003E-2</v>
      </c>
      <c r="G258" s="224">
        <v>1.4999999999999999E-2</v>
      </c>
      <c r="H258" s="225"/>
      <c r="I258" s="226">
        <v>5</v>
      </c>
      <c r="J258" s="226">
        <v>4</v>
      </c>
      <c r="K258" s="223"/>
      <c r="L258" s="227">
        <v>4301.7128700000003</v>
      </c>
      <c r="M258" s="227">
        <v>-1274.75739</v>
      </c>
      <c r="N258" s="227">
        <v>3026.9554800000001</v>
      </c>
      <c r="O258" s="222">
        <v>385.43636850417602</v>
      </c>
      <c r="P258" s="228">
        <v>267.36500000000001</v>
      </c>
      <c r="Q258" s="234">
        <v>1.44161116265845</v>
      </c>
      <c r="R258" s="235">
        <v>734.07965482637496</v>
      </c>
      <c r="S258" s="224">
        <v>0.01</v>
      </c>
      <c r="T258" s="224">
        <v>0.01</v>
      </c>
      <c r="U258" s="231">
        <v>0</v>
      </c>
      <c r="V258" s="232">
        <v>0</v>
      </c>
      <c r="W258" s="223"/>
      <c r="X258" s="231">
        <v>4738.5060100000001</v>
      </c>
      <c r="Y258" s="222">
        <v>603.37608554111</v>
      </c>
      <c r="Z258" s="233">
        <v>573</v>
      </c>
      <c r="AA258" s="238">
        <v>1.05301236569129</v>
      </c>
      <c r="AB258" s="239">
        <v>-175.44251663769501</v>
      </c>
      <c r="AC258" s="224">
        <v>1.6E-2</v>
      </c>
      <c r="AD258" s="224">
        <v>5.0000000000000001E-3</v>
      </c>
      <c r="AE258" s="232">
        <v>0</v>
      </c>
      <c r="AF258" s="232">
        <v>662</v>
      </c>
      <c r="AG258" s="223"/>
      <c r="AH258" s="236">
        <v>418</v>
      </c>
      <c r="AI258" s="222">
        <v>53.2258908660082</v>
      </c>
      <c r="AJ258" s="237" t="s">
        <v>54</v>
      </c>
      <c r="AK258" s="244">
        <v>0.844855410571559</v>
      </c>
      <c r="AL258" s="227">
        <v>-122.277063138176</v>
      </c>
      <c r="AM258" s="224"/>
      <c r="AN258" s="224"/>
      <c r="AO258" s="232">
        <v>77</v>
      </c>
      <c r="AP258" s="232">
        <v>176</v>
      </c>
      <c r="AQ258" s="223"/>
      <c r="AR258" s="236">
        <v>59.6</v>
      </c>
      <c r="AS258" s="222">
        <v>7.5891461617561999</v>
      </c>
      <c r="AT258" s="237" t="s">
        <v>55</v>
      </c>
      <c r="AU258" s="229">
        <v>0.474321635109762</v>
      </c>
      <c r="AV258" s="230">
        <v>-77.613222384298595</v>
      </c>
      <c r="AW258" s="224"/>
      <c r="AX258" s="224"/>
      <c r="AY258" s="232">
        <v>67</v>
      </c>
      <c r="AZ258" s="232">
        <v>92</v>
      </c>
      <c r="BA258" s="223"/>
      <c r="BB258" s="240">
        <v>249.2</v>
      </c>
      <c r="BC258" s="236">
        <v>31.731799052175202</v>
      </c>
      <c r="BD258" s="237" t="s">
        <v>56</v>
      </c>
      <c r="BE258" s="238">
        <v>0.99161872038047605</v>
      </c>
      <c r="BF258" s="239">
        <v>-25.226444768597201</v>
      </c>
      <c r="BG258" s="224">
        <v>8.9999999999999993E-3</v>
      </c>
      <c r="BH258" s="224"/>
      <c r="BI258" s="232">
        <v>3</v>
      </c>
      <c r="BJ258" s="232">
        <v>53</v>
      </c>
      <c r="BK258" s="225"/>
      <c r="BL258" s="241">
        <v>0.8</v>
      </c>
      <c r="BM258" s="238">
        <v>0.81</v>
      </c>
      <c r="BN258" s="242">
        <v>3.7500000000000001E-4</v>
      </c>
      <c r="BO258" s="243">
        <v>0.95</v>
      </c>
      <c r="BP258" s="234">
        <v>1</v>
      </c>
      <c r="BQ258" s="242">
        <v>2.5000000000000001E-3</v>
      </c>
    </row>
    <row r="259" spans="1:69" s="211" customFormat="1" ht="22.35" customHeight="1" x14ac:dyDescent="0.2">
      <c r="A259" s="221" t="s">
        <v>276</v>
      </c>
      <c r="B259" s="221" t="s">
        <v>319</v>
      </c>
      <c r="C259" s="221" t="s">
        <v>329</v>
      </c>
      <c r="D259" s="222">
        <v>8.9100383940000007</v>
      </c>
      <c r="E259" s="223"/>
      <c r="F259" s="224">
        <v>7.0000000000000001E-3</v>
      </c>
      <c r="G259" s="224"/>
      <c r="H259" s="225"/>
      <c r="I259" s="226">
        <v>3</v>
      </c>
      <c r="J259" s="226">
        <v>1</v>
      </c>
      <c r="K259" s="223"/>
      <c r="L259" s="227">
        <v>4024.8695699999998</v>
      </c>
      <c r="M259" s="227">
        <v>-1686.9408000000001</v>
      </c>
      <c r="N259" s="227">
        <v>2337.92877</v>
      </c>
      <c r="O259" s="222">
        <v>262.39267067293002</v>
      </c>
      <c r="P259" s="228">
        <v>266.08300000000003</v>
      </c>
      <c r="Q259" s="238">
        <v>0.98613090905067002</v>
      </c>
      <c r="R259" s="239">
        <v>-250.995472621847</v>
      </c>
      <c r="S259" s="224">
        <v>4.0000000000000001E-3</v>
      </c>
      <c r="T259" s="224"/>
      <c r="U259" s="231">
        <v>33</v>
      </c>
      <c r="V259" s="232">
        <v>508</v>
      </c>
      <c r="W259" s="223"/>
      <c r="X259" s="231">
        <v>3494.8434750000001</v>
      </c>
      <c r="Y259" s="222">
        <v>392.23663473250798</v>
      </c>
      <c r="Z259" s="233">
        <v>573</v>
      </c>
      <c r="AA259" s="229">
        <v>0.68453164874783201</v>
      </c>
      <c r="AB259" s="230">
        <v>-2080.3101087401001</v>
      </c>
      <c r="AC259" s="224"/>
      <c r="AD259" s="224"/>
      <c r="AE259" s="232">
        <v>1611</v>
      </c>
      <c r="AF259" s="232">
        <v>2632</v>
      </c>
      <c r="AG259" s="223"/>
      <c r="AH259" s="236">
        <v>404.95</v>
      </c>
      <c r="AI259" s="222">
        <v>45.448737939523603</v>
      </c>
      <c r="AJ259" s="237" t="s">
        <v>54</v>
      </c>
      <c r="AK259" s="229">
        <v>0.72140853872259703</v>
      </c>
      <c r="AL259" s="230">
        <v>-208.02500135362399</v>
      </c>
      <c r="AM259" s="224"/>
      <c r="AN259" s="224"/>
      <c r="AO259" s="232">
        <v>157</v>
      </c>
      <c r="AP259" s="232">
        <v>269</v>
      </c>
      <c r="AQ259" s="223"/>
      <c r="AR259" s="236">
        <v>58.6</v>
      </c>
      <c r="AS259" s="222">
        <v>6.5768515699619297</v>
      </c>
      <c r="AT259" s="237" t="s">
        <v>55</v>
      </c>
      <c r="AU259" s="229">
        <v>0.41105322312262099</v>
      </c>
      <c r="AV259" s="230">
        <v>-97.076190819968005</v>
      </c>
      <c r="AW259" s="224"/>
      <c r="AX259" s="224"/>
      <c r="AY259" s="232">
        <v>84</v>
      </c>
      <c r="AZ259" s="232">
        <v>113</v>
      </c>
      <c r="BA259" s="223"/>
      <c r="BB259" s="240">
        <v>267.2</v>
      </c>
      <c r="BC259" s="236">
        <v>29.9886474316353</v>
      </c>
      <c r="BD259" s="237" t="s">
        <v>56</v>
      </c>
      <c r="BE259" s="238">
        <v>0.93714523223860302</v>
      </c>
      <c r="BF259" s="239">
        <v>-44.152381639936003</v>
      </c>
      <c r="BG259" s="224">
        <v>3.0000000000000001E-3</v>
      </c>
      <c r="BH259" s="224"/>
      <c r="BI259" s="232">
        <v>18</v>
      </c>
      <c r="BJ259" s="232">
        <v>75</v>
      </c>
      <c r="BK259" s="225"/>
      <c r="BL259" s="241">
        <v>0.8</v>
      </c>
      <c r="BM259" s="244">
        <v>0.73</v>
      </c>
      <c r="BN259" s="242"/>
      <c r="BO259" s="243">
        <v>0.95</v>
      </c>
      <c r="BP259" s="234">
        <v>1</v>
      </c>
      <c r="BQ259" s="242">
        <v>2.5000000000000001E-3</v>
      </c>
    </row>
    <row r="260" spans="1:69" s="211" customFormat="1" ht="22.35" customHeight="1" x14ac:dyDescent="0.2">
      <c r="A260" s="221" t="s">
        <v>276</v>
      </c>
      <c r="B260" s="221" t="s">
        <v>319</v>
      </c>
      <c r="C260" s="221" t="s">
        <v>330</v>
      </c>
      <c r="D260" s="222">
        <v>3.7235578407777798</v>
      </c>
      <c r="E260" s="223"/>
      <c r="F260" s="224">
        <v>5.6000000000000001E-2</v>
      </c>
      <c r="G260" s="224">
        <v>0.05</v>
      </c>
      <c r="H260" s="225"/>
      <c r="I260" s="226">
        <v>5</v>
      </c>
      <c r="J260" s="226">
        <v>4</v>
      </c>
      <c r="K260" s="223"/>
      <c r="L260" s="227">
        <v>1445.00873</v>
      </c>
      <c r="M260" s="227">
        <v>1444.7167199999999</v>
      </c>
      <c r="N260" s="227">
        <v>2889.7254499999999</v>
      </c>
      <c r="O260" s="222">
        <v>776.06568061163603</v>
      </c>
      <c r="P260" s="228">
        <v>287.5</v>
      </c>
      <c r="Q260" s="234">
        <v>2.6993588890839502</v>
      </c>
      <c r="R260" s="235">
        <v>1720.7144658878201</v>
      </c>
      <c r="S260" s="224">
        <v>0.01</v>
      </c>
      <c r="T260" s="224">
        <v>0.01</v>
      </c>
      <c r="U260" s="231">
        <v>0</v>
      </c>
      <c r="V260" s="232">
        <v>0</v>
      </c>
      <c r="W260" s="223"/>
      <c r="X260" s="231">
        <v>2817.142625</v>
      </c>
      <c r="Y260" s="222">
        <v>756.57281166647704</v>
      </c>
      <c r="Z260" s="233">
        <v>573</v>
      </c>
      <c r="AA260" s="234">
        <v>1.3203713990689001</v>
      </c>
      <c r="AB260" s="235">
        <v>487.25290709989002</v>
      </c>
      <c r="AC260" s="224">
        <v>0.02</v>
      </c>
      <c r="AD260" s="224">
        <v>0.02</v>
      </c>
      <c r="AE260" s="232">
        <v>0</v>
      </c>
      <c r="AF260" s="232">
        <v>0</v>
      </c>
      <c r="AG260" s="223"/>
      <c r="AH260" s="236">
        <v>227.05</v>
      </c>
      <c r="AI260" s="222">
        <v>60.976627652593102</v>
      </c>
      <c r="AJ260" s="237" t="s">
        <v>54</v>
      </c>
      <c r="AK260" s="238">
        <v>0.96788297861258799</v>
      </c>
      <c r="AL260" s="239">
        <v>-29.1158852141482</v>
      </c>
      <c r="AM260" s="224">
        <v>6.0000000000000001E-3</v>
      </c>
      <c r="AN260" s="224"/>
      <c r="AO260" s="232">
        <v>8</v>
      </c>
      <c r="AP260" s="232">
        <v>55</v>
      </c>
      <c r="AQ260" s="223"/>
      <c r="AR260" s="236">
        <v>28.2</v>
      </c>
      <c r="AS260" s="222">
        <v>7.5734018929888798</v>
      </c>
      <c r="AT260" s="237" t="s">
        <v>55</v>
      </c>
      <c r="AU260" s="229">
        <v>0.47333761831180499</v>
      </c>
      <c r="AV260" s="230">
        <v>-36.858002594069397</v>
      </c>
      <c r="AW260" s="224"/>
      <c r="AX260" s="224"/>
      <c r="AY260" s="232">
        <v>32</v>
      </c>
      <c r="AZ260" s="232">
        <v>44</v>
      </c>
      <c r="BA260" s="223"/>
      <c r="BB260" s="240">
        <v>151.80000000000001</v>
      </c>
      <c r="BC260" s="236">
        <v>40.7674612537486</v>
      </c>
      <c r="BD260" s="237" t="s">
        <v>56</v>
      </c>
      <c r="BE260" s="234">
        <v>1.27398316417964</v>
      </c>
      <c r="BF260" s="235">
        <v>21.6839948118613</v>
      </c>
      <c r="BG260" s="224">
        <v>0.02</v>
      </c>
      <c r="BH260" s="224">
        <v>0.02</v>
      </c>
      <c r="BI260" s="232">
        <v>0</v>
      </c>
      <c r="BJ260" s="232">
        <v>0</v>
      </c>
      <c r="BK260" s="225"/>
      <c r="BL260" s="241">
        <v>0.8</v>
      </c>
      <c r="BM260" s="244">
        <v>0.78</v>
      </c>
      <c r="BN260" s="242"/>
      <c r="BO260" s="243">
        <v>0.95</v>
      </c>
      <c r="BP260" s="234">
        <v>1</v>
      </c>
      <c r="BQ260" s="242">
        <v>2.5000000000000001E-3</v>
      </c>
    </row>
    <row r="261" spans="1:69" s="211" customFormat="1" ht="22.35" customHeight="1" x14ac:dyDescent="0.2">
      <c r="A261" s="221" t="s">
        <v>276</v>
      </c>
      <c r="B261" s="221" t="s">
        <v>319</v>
      </c>
      <c r="C261" s="221" t="s">
        <v>331</v>
      </c>
      <c r="D261" s="222">
        <v>2.4875433197777799</v>
      </c>
      <c r="E261" s="223"/>
      <c r="F261" s="224">
        <v>3.3000000000000002E-2</v>
      </c>
      <c r="G261" s="224">
        <v>2.4E-2</v>
      </c>
      <c r="H261" s="225"/>
      <c r="I261" s="226">
        <v>5</v>
      </c>
      <c r="J261" s="226">
        <v>4</v>
      </c>
      <c r="K261" s="223"/>
      <c r="L261" s="227">
        <v>486.73545999999999</v>
      </c>
      <c r="M261" s="227">
        <v>802.41507999999999</v>
      </c>
      <c r="N261" s="227">
        <v>1289.1505400000001</v>
      </c>
      <c r="O261" s="222">
        <v>518.24244818183297</v>
      </c>
      <c r="P261" s="228">
        <v>263.75299999999999</v>
      </c>
      <c r="Q261" s="234">
        <v>1.9648779281442601</v>
      </c>
      <c r="R261" s="235">
        <v>572.692601562287</v>
      </c>
      <c r="S261" s="224">
        <v>0.01</v>
      </c>
      <c r="T261" s="224">
        <v>0.01</v>
      </c>
      <c r="U261" s="231">
        <v>0</v>
      </c>
      <c r="V261" s="232">
        <v>0</v>
      </c>
      <c r="W261" s="223"/>
      <c r="X261" s="231">
        <v>1279.9677750000001</v>
      </c>
      <c r="Y261" s="222">
        <v>514.55094865014996</v>
      </c>
      <c r="Z261" s="233">
        <v>573</v>
      </c>
      <c r="AA261" s="244">
        <v>0.89799467478211203</v>
      </c>
      <c r="AB261" s="227">
        <v>-276.52788087807397</v>
      </c>
      <c r="AC261" s="224"/>
      <c r="AD261" s="224"/>
      <c r="AE261" s="232">
        <v>146</v>
      </c>
      <c r="AF261" s="232">
        <v>431</v>
      </c>
      <c r="AG261" s="223"/>
      <c r="AH261" s="236">
        <v>147.1</v>
      </c>
      <c r="AI261" s="222">
        <v>59.1346485628805</v>
      </c>
      <c r="AJ261" s="237" t="s">
        <v>54</v>
      </c>
      <c r="AK261" s="238">
        <v>0.93864521528381795</v>
      </c>
      <c r="AL261" s="239">
        <v>-24.033030227432199</v>
      </c>
      <c r="AM261" s="224">
        <v>3.0000000000000001E-3</v>
      </c>
      <c r="AN261" s="224"/>
      <c r="AO261" s="232">
        <v>10</v>
      </c>
      <c r="AP261" s="232">
        <v>41</v>
      </c>
      <c r="AQ261" s="223"/>
      <c r="AR261" s="236">
        <v>15.4</v>
      </c>
      <c r="AS261" s="222">
        <v>6.1908469603559499</v>
      </c>
      <c r="AT261" s="237" t="s">
        <v>55</v>
      </c>
      <c r="AU261" s="229">
        <v>0.38692793502224698</v>
      </c>
      <c r="AV261" s="230">
        <v>-28.062356883157399</v>
      </c>
      <c r="AW261" s="224"/>
      <c r="AX261" s="224"/>
      <c r="AY261" s="232">
        <v>25</v>
      </c>
      <c r="AZ261" s="232">
        <v>33</v>
      </c>
      <c r="BA261" s="223"/>
      <c r="BB261" s="240">
        <v>90.6</v>
      </c>
      <c r="BC261" s="236">
        <v>36.421476273262897</v>
      </c>
      <c r="BD261" s="237" t="s">
        <v>56</v>
      </c>
      <c r="BE261" s="234">
        <v>1.13817113353947</v>
      </c>
      <c r="BF261" s="235">
        <v>3.6752862336852399</v>
      </c>
      <c r="BG261" s="224">
        <v>0.02</v>
      </c>
      <c r="BH261" s="224">
        <v>1.4E-2</v>
      </c>
      <c r="BI261" s="232">
        <v>0</v>
      </c>
      <c r="BJ261" s="232">
        <v>5</v>
      </c>
      <c r="BK261" s="225"/>
      <c r="BL261" s="241">
        <v>0.8</v>
      </c>
      <c r="BM261" s="238">
        <v>0.9</v>
      </c>
      <c r="BN261" s="242">
        <v>3.7499999999999999E-3</v>
      </c>
      <c r="BO261" s="243">
        <v>0.95</v>
      </c>
      <c r="BP261" s="234">
        <v>1</v>
      </c>
      <c r="BQ261" s="242">
        <v>2.5000000000000001E-3</v>
      </c>
    </row>
    <row r="262" spans="1:69" s="211" customFormat="1" ht="22.35" customHeight="1" x14ac:dyDescent="0.2">
      <c r="A262" s="221" t="s">
        <v>276</v>
      </c>
      <c r="B262" s="221" t="s">
        <v>319</v>
      </c>
      <c r="C262" s="221" t="s">
        <v>332</v>
      </c>
      <c r="D262" s="222">
        <v>2.6455275504444402</v>
      </c>
      <c r="E262" s="223"/>
      <c r="F262" s="224">
        <v>7.0000000000000007E-2</v>
      </c>
      <c r="G262" s="224">
        <v>7.0000000000000007E-2</v>
      </c>
      <c r="H262" s="225"/>
      <c r="I262" s="226">
        <v>6</v>
      </c>
      <c r="J262" s="226">
        <v>6</v>
      </c>
      <c r="K262" s="223"/>
      <c r="L262" s="227">
        <v>594.21762999999999</v>
      </c>
      <c r="M262" s="227">
        <v>280.28908999999999</v>
      </c>
      <c r="N262" s="227">
        <v>874.50671999999997</v>
      </c>
      <c r="O262" s="222">
        <v>330.56042824165002</v>
      </c>
      <c r="P262" s="228">
        <v>266.08300000000003</v>
      </c>
      <c r="Q262" s="234">
        <v>1.2423207354158301</v>
      </c>
      <c r="R262" s="235">
        <v>105.81526133224099</v>
      </c>
      <c r="S262" s="224">
        <v>0.01</v>
      </c>
      <c r="T262" s="224">
        <v>0.01</v>
      </c>
      <c r="U262" s="231">
        <v>0</v>
      </c>
      <c r="V262" s="232">
        <v>0</v>
      </c>
      <c r="W262" s="223"/>
      <c r="X262" s="231">
        <v>1911.2496450000001</v>
      </c>
      <c r="Y262" s="222">
        <v>722.44556465832795</v>
      </c>
      <c r="Z262" s="233">
        <v>573</v>
      </c>
      <c r="AA262" s="234">
        <v>1.2608125037667199</v>
      </c>
      <c r="AB262" s="235">
        <v>255.90072824610701</v>
      </c>
      <c r="AC262" s="224">
        <v>0.02</v>
      </c>
      <c r="AD262" s="224">
        <v>0.02</v>
      </c>
      <c r="AE262" s="232">
        <v>0</v>
      </c>
      <c r="AF262" s="232">
        <v>0</v>
      </c>
      <c r="AG262" s="223"/>
      <c r="AH262" s="236">
        <v>266.95</v>
      </c>
      <c r="AI262" s="222">
        <v>100.906150062642</v>
      </c>
      <c r="AJ262" s="237" t="s">
        <v>54</v>
      </c>
      <c r="AK262" s="234">
        <v>1.6016849216292399</v>
      </c>
      <c r="AL262" s="235">
        <v>84.9482866396243</v>
      </c>
      <c r="AM262" s="224">
        <v>0.02</v>
      </c>
      <c r="AN262" s="224">
        <v>0.02</v>
      </c>
      <c r="AO262" s="232">
        <v>0</v>
      </c>
      <c r="AP262" s="232">
        <v>0</v>
      </c>
      <c r="AQ262" s="223"/>
      <c r="AR262" s="236">
        <v>28.2</v>
      </c>
      <c r="AS262" s="222">
        <v>10.659499650745399</v>
      </c>
      <c r="AT262" s="237" t="s">
        <v>55</v>
      </c>
      <c r="AU262" s="229">
        <v>0.66621872817159</v>
      </c>
      <c r="AV262" s="230">
        <v>-18.022657361365301</v>
      </c>
      <c r="AW262" s="224"/>
      <c r="AX262" s="224"/>
      <c r="AY262" s="232">
        <v>15</v>
      </c>
      <c r="AZ262" s="232">
        <v>23</v>
      </c>
      <c r="BA262" s="223"/>
      <c r="BB262" s="240">
        <v>164.8</v>
      </c>
      <c r="BC262" s="236">
        <v>62.293813561803098</v>
      </c>
      <c r="BD262" s="237" t="s">
        <v>56</v>
      </c>
      <c r="BE262" s="234">
        <v>1.9466816738063499</v>
      </c>
      <c r="BF262" s="235">
        <v>72.354685277269496</v>
      </c>
      <c r="BG262" s="224">
        <v>0.02</v>
      </c>
      <c r="BH262" s="224">
        <v>0.02</v>
      </c>
      <c r="BI262" s="232">
        <v>0</v>
      </c>
      <c r="BJ262" s="232">
        <v>0</v>
      </c>
      <c r="BK262" s="225"/>
      <c r="BL262" s="241">
        <v>0.8</v>
      </c>
      <c r="BM262" s="238">
        <v>0.81</v>
      </c>
      <c r="BN262" s="242">
        <v>3.7500000000000001E-4</v>
      </c>
      <c r="BO262" s="243">
        <v>0.95</v>
      </c>
      <c r="BP262" s="234">
        <v>1</v>
      </c>
      <c r="BQ262" s="242">
        <v>2.5000000000000001E-3</v>
      </c>
    </row>
    <row r="263" spans="1:69" s="211" customFormat="1" ht="22.35" customHeight="1" x14ac:dyDescent="0.2">
      <c r="A263" s="221" t="s">
        <v>276</v>
      </c>
      <c r="B263" s="221" t="s">
        <v>319</v>
      </c>
      <c r="C263" s="221" t="s">
        <v>333</v>
      </c>
      <c r="D263" s="222">
        <v>2.5458872463333302</v>
      </c>
      <c r="E263" s="223"/>
      <c r="F263" s="224">
        <v>2.8000000000000001E-2</v>
      </c>
      <c r="G263" s="224">
        <v>1.7999999999999999E-2</v>
      </c>
      <c r="H263" s="225"/>
      <c r="I263" s="226">
        <v>3</v>
      </c>
      <c r="J263" s="226">
        <v>3</v>
      </c>
      <c r="K263" s="223"/>
      <c r="L263" s="227">
        <v>1751.53935</v>
      </c>
      <c r="M263" s="227">
        <v>1129.9450899999999</v>
      </c>
      <c r="N263" s="227">
        <v>2881.4844400000002</v>
      </c>
      <c r="O263" s="222">
        <v>1131.8193467326601</v>
      </c>
      <c r="P263" s="228">
        <v>287.5</v>
      </c>
      <c r="Q263" s="234">
        <v>3.93676294515708</v>
      </c>
      <c r="R263" s="235">
        <v>2082.2031390136499</v>
      </c>
      <c r="S263" s="224">
        <v>0.01</v>
      </c>
      <c r="T263" s="224">
        <v>0.01</v>
      </c>
      <c r="U263" s="231">
        <v>0</v>
      </c>
      <c r="V263" s="232">
        <v>0</v>
      </c>
      <c r="W263" s="223"/>
      <c r="X263" s="231">
        <v>1325.4702950000001</v>
      </c>
      <c r="Y263" s="222">
        <v>520.63197099910201</v>
      </c>
      <c r="Z263" s="233">
        <v>573</v>
      </c>
      <c r="AA263" s="244">
        <v>0.90860727923054496</v>
      </c>
      <c r="AB263" s="227">
        <v>-267.53208922670598</v>
      </c>
      <c r="AC263" s="224">
        <v>0</v>
      </c>
      <c r="AD263" s="224"/>
      <c r="AE263" s="232">
        <v>134</v>
      </c>
      <c r="AF263" s="232">
        <v>426</v>
      </c>
      <c r="AG263" s="223"/>
      <c r="AH263" s="236">
        <v>112.95</v>
      </c>
      <c r="AI263" s="222">
        <v>44.3656725814052</v>
      </c>
      <c r="AJ263" s="237" t="s">
        <v>54</v>
      </c>
      <c r="AK263" s="229">
        <v>0.70421702510166995</v>
      </c>
      <c r="AL263" s="230">
        <v>-62.1968589987478</v>
      </c>
      <c r="AM263" s="224"/>
      <c r="AN263" s="224"/>
      <c r="AO263" s="232">
        <v>48</v>
      </c>
      <c r="AP263" s="232">
        <v>80</v>
      </c>
      <c r="AQ263" s="223"/>
      <c r="AR263" s="236">
        <v>8.8000000000000007</v>
      </c>
      <c r="AS263" s="222">
        <v>3.4565552785866802</v>
      </c>
      <c r="AT263" s="237" t="s">
        <v>55</v>
      </c>
      <c r="AU263" s="229">
        <v>0.21603470491166701</v>
      </c>
      <c r="AV263" s="230">
        <v>-35.681741967935899</v>
      </c>
      <c r="AW263" s="224"/>
      <c r="AX263" s="224"/>
      <c r="AY263" s="232">
        <v>32</v>
      </c>
      <c r="AZ263" s="232">
        <v>41</v>
      </c>
      <c r="BA263" s="223"/>
      <c r="BB263" s="240">
        <v>87.6</v>
      </c>
      <c r="BC263" s="236">
        <v>34.4084366368402</v>
      </c>
      <c r="BD263" s="237" t="s">
        <v>56</v>
      </c>
      <c r="BE263" s="238">
        <v>1.07526364490126</v>
      </c>
      <c r="BF263" s="239">
        <v>-1.36348393587188</v>
      </c>
      <c r="BG263" s="224">
        <v>1.7999999999999999E-2</v>
      </c>
      <c r="BH263" s="224">
        <v>8.0000000000000002E-3</v>
      </c>
      <c r="BI263" s="232">
        <v>0</v>
      </c>
      <c r="BJ263" s="232">
        <v>11</v>
      </c>
      <c r="BK263" s="225"/>
      <c r="BL263" s="241">
        <v>0.8</v>
      </c>
      <c r="BM263" s="244">
        <v>0.8</v>
      </c>
      <c r="BN263" s="242">
        <v>0</v>
      </c>
      <c r="BO263" s="243">
        <v>0.95</v>
      </c>
      <c r="BP263" s="234">
        <v>1</v>
      </c>
      <c r="BQ263" s="242">
        <v>2.5000000000000001E-3</v>
      </c>
    </row>
    <row r="264" spans="1:69" s="211" customFormat="1" ht="22.35" customHeight="1" x14ac:dyDescent="0.2">
      <c r="A264" s="221" t="s">
        <v>276</v>
      </c>
      <c r="B264" s="221" t="s">
        <v>319</v>
      </c>
      <c r="C264" s="221" t="s">
        <v>334</v>
      </c>
      <c r="D264" s="222">
        <v>2.3152426593333302</v>
      </c>
      <c r="E264" s="223"/>
      <c r="F264" s="224">
        <v>2.8000000000000001E-2</v>
      </c>
      <c r="G264" s="224">
        <v>1.7000000000000001E-2</v>
      </c>
      <c r="H264" s="225"/>
      <c r="I264" s="226">
        <v>4</v>
      </c>
      <c r="J264" s="226">
        <v>4</v>
      </c>
      <c r="K264" s="223"/>
      <c r="L264" s="227">
        <v>1949.9929</v>
      </c>
      <c r="M264" s="227">
        <v>-1198.46723</v>
      </c>
      <c r="N264" s="227">
        <v>751.52566999999999</v>
      </c>
      <c r="O264" s="222">
        <v>324.59909416855697</v>
      </c>
      <c r="P264" s="228">
        <v>247.95</v>
      </c>
      <c r="Q264" s="234">
        <v>1.3091312529484</v>
      </c>
      <c r="R264" s="235">
        <v>124.647326219184</v>
      </c>
      <c r="S264" s="224">
        <v>0.01</v>
      </c>
      <c r="T264" s="224">
        <v>0.01</v>
      </c>
      <c r="U264" s="231">
        <v>0</v>
      </c>
      <c r="V264" s="232">
        <v>0</v>
      </c>
      <c r="W264" s="223"/>
      <c r="X264" s="231">
        <v>1419.4167749999999</v>
      </c>
      <c r="Y264" s="222">
        <v>613.07473291318695</v>
      </c>
      <c r="Z264" s="233">
        <v>573</v>
      </c>
      <c r="AA264" s="238">
        <v>1.06993845185547</v>
      </c>
      <c r="AB264" s="239">
        <v>-29.2676008274141</v>
      </c>
      <c r="AC264" s="224">
        <v>1.7999999999999999E-2</v>
      </c>
      <c r="AD264" s="224">
        <v>7.0000000000000001E-3</v>
      </c>
      <c r="AE264" s="232">
        <v>0</v>
      </c>
      <c r="AF264" s="232">
        <v>173</v>
      </c>
      <c r="AG264" s="223"/>
      <c r="AH264" s="236">
        <v>66.349999999999994</v>
      </c>
      <c r="AI264" s="222">
        <v>28.657903193225199</v>
      </c>
      <c r="AJ264" s="237" t="s">
        <v>54</v>
      </c>
      <c r="AK264" s="229">
        <v>0.45488735227341598</v>
      </c>
      <c r="AL264" s="230">
        <v>-92.929433991495799</v>
      </c>
      <c r="AM264" s="224"/>
      <c r="AN264" s="224"/>
      <c r="AO264" s="232">
        <v>80</v>
      </c>
      <c r="AP264" s="232">
        <v>109</v>
      </c>
      <c r="AQ264" s="223"/>
      <c r="AR264" s="236">
        <v>5</v>
      </c>
      <c r="AS264" s="222">
        <v>2.1596008434985099</v>
      </c>
      <c r="AT264" s="237" t="s">
        <v>55</v>
      </c>
      <c r="AU264" s="229">
        <v>0.13497505271865701</v>
      </c>
      <c r="AV264" s="230">
        <v>-35.451919743871898</v>
      </c>
      <c r="AW264" s="224"/>
      <c r="AX264" s="224"/>
      <c r="AY264" s="232">
        <v>33</v>
      </c>
      <c r="AZ264" s="232">
        <v>40</v>
      </c>
      <c r="BA264" s="223"/>
      <c r="BB264" s="240">
        <v>60</v>
      </c>
      <c r="BC264" s="236">
        <v>25.915210121982099</v>
      </c>
      <c r="BD264" s="237" t="s">
        <v>56</v>
      </c>
      <c r="BE264" s="244">
        <v>0.80985031631194104</v>
      </c>
      <c r="BF264" s="227">
        <v>-20.903839487743902</v>
      </c>
      <c r="BG264" s="224"/>
      <c r="BH264" s="224"/>
      <c r="BI264" s="232">
        <v>15</v>
      </c>
      <c r="BJ264" s="232">
        <v>29</v>
      </c>
      <c r="BK264" s="225"/>
      <c r="BL264" s="241">
        <v>0.8</v>
      </c>
      <c r="BM264" s="238">
        <v>0.86</v>
      </c>
      <c r="BN264" s="242">
        <v>2.2499999999999998E-3</v>
      </c>
      <c r="BO264" s="243">
        <v>0.95</v>
      </c>
      <c r="BP264" s="234">
        <v>1</v>
      </c>
      <c r="BQ264" s="242">
        <v>2.5000000000000001E-3</v>
      </c>
    </row>
    <row r="265" spans="1:69" s="211" customFormat="1" ht="22.35" customHeight="1" x14ac:dyDescent="0.2">
      <c r="A265" s="221" t="s">
        <v>276</v>
      </c>
      <c r="B265" s="221" t="s">
        <v>319</v>
      </c>
      <c r="C265" s="221" t="s">
        <v>335</v>
      </c>
      <c r="D265" s="222">
        <v>8.72427697</v>
      </c>
      <c r="E265" s="223"/>
      <c r="F265" s="224">
        <v>1.4999999999999999E-2</v>
      </c>
      <c r="G265" s="224">
        <v>0.01</v>
      </c>
      <c r="H265" s="225"/>
      <c r="I265" s="226">
        <v>3</v>
      </c>
      <c r="J265" s="226">
        <v>2</v>
      </c>
      <c r="K265" s="223"/>
      <c r="L265" s="227">
        <v>9726.3323999999993</v>
      </c>
      <c r="M265" s="227">
        <v>870.27323999999999</v>
      </c>
      <c r="N265" s="227">
        <v>10596.60564</v>
      </c>
      <c r="O265" s="222">
        <v>1214.6113284159101</v>
      </c>
      <c r="P265" s="228">
        <v>287.5</v>
      </c>
      <c r="Q265" s="234">
        <v>4.2247350553596901</v>
      </c>
      <c r="R265" s="235">
        <v>7857.6188852685</v>
      </c>
      <c r="S265" s="224">
        <v>0.01</v>
      </c>
      <c r="T265" s="224">
        <v>0.01</v>
      </c>
      <c r="U265" s="231">
        <v>0</v>
      </c>
      <c r="V265" s="232">
        <v>0</v>
      </c>
      <c r="W265" s="223"/>
      <c r="X265" s="231">
        <v>3409.4402100000002</v>
      </c>
      <c r="Y265" s="222">
        <v>390.79917129224299</v>
      </c>
      <c r="Z265" s="233">
        <v>573</v>
      </c>
      <c r="AA265" s="229">
        <v>0.68202298654841698</v>
      </c>
      <c r="AB265" s="230">
        <v>-2049.47947856052</v>
      </c>
      <c r="AC265" s="224"/>
      <c r="AD265" s="224"/>
      <c r="AE265" s="232">
        <v>1590</v>
      </c>
      <c r="AF265" s="232">
        <v>2590</v>
      </c>
      <c r="AG265" s="223"/>
      <c r="AH265" s="236">
        <v>482.25</v>
      </c>
      <c r="AI265" s="222">
        <v>55.276787022959397</v>
      </c>
      <c r="AJ265" s="237" t="s">
        <v>54</v>
      </c>
      <c r="AK265" s="244">
        <v>0.87740931782475295</v>
      </c>
      <c r="AL265" s="227">
        <v>-117.94535842812</v>
      </c>
      <c r="AM265" s="224"/>
      <c r="AN265" s="224"/>
      <c r="AO265" s="232">
        <v>68</v>
      </c>
      <c r="AP265" s="232">
        <v>178</v>
      </c>
      <c r="AQ265" s="223"/>
      <c r="AR265" s="236">
        <v>24.6</v>
      </c>
      <c r="AS265" s="222">
        <v>2.8197179072365</v>
      </c>
      <c r="AT265" s="237" t="s">
        <v>55</v>
      </c>
      <c r="AU265" s="229">
        <v>0.176232369202281</v>
      </c>
      <c r="AV265" s="230">
        <v>-127.83056721984001</v>
      </c>
      <c r="AW265" s="224"/>
      <c r="AX265" s="224"/>
      <c r="AY265" s="232">
        <v>115</v>
      </c>
      <c r="AZ265" s="232">
        <v>143</v>
      </c>
      <c r="BA265" s="223"/>
      <c r="BB265" s="240">
        <v>266</v>
      </c>
      <c r="BC265" s="236">
        <v>30.489632655484101</v>
      </c>
      <c r="BD265" s="237" t="s">
        <v>56</v>
      </c>
      <c r="BE265" s="238">
        <v>0.95280102048387805</v>
      </c>
      <c r="BF265" s="239">
        <v>-38.861134439680001</v>
      </c>
      <c r="BG265" s="224">
        <v>5.0000000000000001E-3</v>
      </c>
      <c r="BH265" s="224"/>
      <c r="BI265" s="232">
        <v>14</v>
      </c>
      <c r="BJ265" s="232">
        <v>70</v>
      </c>
      <c r="BK265" s="225"/>
      <c r="BL265" s="241">
        <v>0.8</v>
      </c>
      <c r="BM265" s="244">
        <v>0.73</v>
      </c>
      <c r="BN265" s="242"/>
      <c r="BO265" s="243">
        <v>0.95</v>
      </c>
      <c r="BP265" s="234">
        <v>1</v>
      </c>
      <c r="BQ265" s="242">
        <v>2.5000000000000001E-3</v>
      </c>
    </row>
    <row r="266" spans="1:69" s="211" customFormat="1" ht="22.35" customHeight="1" x14ac:dyDescent="0.2">
      <c r="A266" s="221" t="s">
        <v>276</v>
      </c>
      <c r="B266" s="221" t="s">
        <v>319</v>
      </c>
      <c r="C266" s="221" t="s">
        <v>336</v>
      </c>
      <c r="D266" s="222">
        <v>1.9537440934444401</v>
      </c>
      <c r="E266" s="223"/>
      <c r="F266" s="224">
        <v>0.08</v>
      </c>
      <c r="G266" s="224">
        <v>0.08</v>
      </c>
      <c r="H266" s="225"/>
      <c r="I266" s="226">
        <v>7</v>
      </c>
      <c r="J266" s="226">
        <v>7</v>
      </c>
      <c r="K266" s="223"/>
      <c r="L266" s="227">
        <v>1677.0603699999999</v>
      </c>
      <c r="M266" s="227">
        <v>3198.78989</v>
      </c>
      <c r="N266" s="227">
        <v>4875.8502600000002</v>
      </c>
      <c r="O266" s="222">
        <v>2495.6442741709802</v>
      </c>
      <c r="P266" s="228">
        <v>242.66300000000001</v>
      </c>
      <c r="Q266" s="234">
        <v>10.2844037787837</v>
      </c>
      <c r="R266" s="235">
        <v>4358.1315279813198</v>
      </c>
      <c r="S266" s="224">
        <v>0.01</v>
      </c>
      <c r="T266" s="224">
        <v>0.01</v>
      </c>
      <c r="U266" s="231">
        <v>0</v>
      </c>
      <c r="V266" s="232">
        <v>0</v>
      </c>
      <c r="W266" s="223"/>
      <c r="X266" s="231">
        <v>1772.9150950000001</v>
      </c>
      <c r="Y266" s="222">
        <v>907.44489053034397</v>
      </c>
      <c r="Z266" s="233">
        <v>573</v>
      </c>
      <c r="AA266" s="234">
        <v>1.58367345642294</v>
      </c>
      <c r="AB266" s="235">
        <v>550.42615582631902</v>
      </c>
      <c r="AC266" s="224">
        <v>0.02</v>
      </c>
      <c r="AD266" s="224">
        <v>0.02</v>
      </c>
      <c r="AE266" s="232">
        <v>0</v>
      </c>
      <c r="AF266" s="232">
        <v>0</v>
      </c>
      <c r="AG266" s="223"/>
      <c r="AH266" s="236">
        <v>158.5</v>
      </c>
      <c r="AI266" s="222">
        <v>81.126284927400604</v>
      </c>
      <c r="AJ266" s="237" t="s">
        <v>54</v>
      </c>
      <c r="AK266" s="234">
        <v>1.2877188083714399</v>
      </c>
      <c r="AL266" s="235">
        <v>24.090221347396302</v>
      </c>
      <c r="AM266" s="224">
        <v>0.02</v>
      </c>
      <c r="AN266" s="224">
        <v>0.02</v>
      </c>
      <c r="AO266" s="232">
        <v>0</v>
      </c>
      <c r="AP266" s="232">
        <v>0</v>
      </c>
      <c r="AQ266" s="223"/>
      <c r="AR266" s="236">
        <v>41.7</v>
      </c>
      <c r="AS266" s="222">
        <v>21.343634583423398</v>
      </c>
      <c r="AT266" s="237" t="s">
        <v>55</v>
      </c>
      <c r="AU266" s="234">
        <v>1.3339771614639599</v>
      </c>
      <c r="AV266" s="235">
        <v>7.5641831993387498</v>
      </c>
      <c r="AW266" s="224">
        <v>0.01</v>
      </c>
      <c r="AX266" s="224">
        <v>0.01</v>
      </c>
      <c r="AY266" s="232">
        <v>0</v>
      </c>
      <c r="AZ266" s="232">
        <v>0</v>
      </c>
      <c r="BA266" s="223"/>
      <c r="BB266" s="240">
        <v>99.8</v>
      </c>
      <c r="BC266" s="236">
        <v>51.081408427473697</v>
      </c>
      <c r="BD266" s="237" t="s">
        <v>56</v>
      </c>
      <c r="BE266" s="234">
        <v>1.5962940133585499</v>
      </c>
      <c r="BF266" s="235">
        <v>31.528366398677498</v>
      </c>
      <c r="BG266" s="224">
        <v>0.02</v>
      </c>
      <c r="BH266" s="224">
        <v>0.02</v>
      </c>
      <c r="BI266" s="232">
        <v>0</v>
      </c>
      <c r="BJ266" s="232">
        <v>0</v>
      </c>
      <c r="BK266" s="225"/>
      <c r="BL266" s="241">
        <v>0.8</v>
      </c>
      <c r="BM266" s="238">
        <v>0.87</v>
      </c>
      <c r="BN266" s="242">
        <v>2.6250000000000002E-3</v>
      </c>
      <c r="BO266" s="243">
        <v>0.95</v>
      </c>
      <c r="BP266" s="234">
        <v>1</v>
      </c>
      <c r="BQ266" s="242">
        <v>2.5000000000000001E-3</v>
      </c>
    </row>
    <row r="267" spans="1:69" s="211" customFormat="1" ht="22.35" customHeight="1" x14ac:dyDescent="0.2">
      <c r="A267" s="221" t="s">
        <v>276</v>
      </c>
      <c r="B267" s="221" t="s">
        <v>319</v>
      </c>
      <c r="C267" s="221" t="s">
        <v>337</v>
      </c>
      <c r="D267" s="222">
        <v>1.6595588506666701</v>
      </c>
      <c r="E267" s="223"/>
      <c r="F267" s="224"/>
      <c r="G267" s="224"/>
      <c r="H267" s="225"/>
      <c r="I267" s="226">
        <v>1</v>
      </c>
      <c r="J267" s="226">
        <v>1</v>
      </c>
      <c r="K267" s="223"/>
      <c r="L267" s="227"/>
      <c r="M267" s="227">
        <v>149.07517000000001</v>
      </c>
      <c r="N267" s="227">
        <v>149.07517000000001</v>
      </c>
      <c r="O267" s="222">
        <v>89.828191353451899</v>
      </c>
      <c r="P267" s="228">
        <v>287.5</v>
      </c>
      <c r="Q267" s="229">
        <v>0.31244588296852799</v>
      </c>
      <c r="R267" s="230">
        <v>-371.94333116680099</v>
      </c>
      <c r="S267" s="224"/>
      <c r="T267" s="224"/>
      <c r="U267" s="231">
        <v>329</v>
      </c>
      <c r="V267" s="232">
        <v>424</v>
      </c>
      <c r="W267" s="223"/>
      <c r="X267" s="231">
        <v>186.24148</v>
      </c>
      <c r="Y267" s="222">
        <v>112.223486335049</v>
      </c>
      <c r="Z267" s="233">
        <v>573</v>
      </c>
      <c r="AA267" s="229">
        <v>0.19585250669293</v>
      </c>
      <c r="AB267" s="230">
        <v>-852.17104580374598</v>
      </c>
      <c r="AC267" s="224"/>
      <c r="AD267" s="224"/>
      <c r="AE267" s="232">
        <v>765</v>
      </c>
      <c r="AF267" s="232">
        <v>955</v>
      </c>
      <c r="AG267" s="223"/>
      <c r="AH267" s="236">
        <v>13.8</v>
      </c>
      <c r="AI267" s="222">
        <v>8.3154628680123999</v>
      </c>
      <c r="AJ267" s="237" t="s">
        <v>54</v>
      </c>
      <c r="AK267" s="229">
        <v>0.13199147409543499</v>
      </c>
      <c r="AL267" s="230">
        <v>-100.371010690464</v>
      </c>
      <c r="AM267" s="224"/>
      <c r="AN267" s="224"/>
      <c r="AO267" s="232">
        <v>91</v>
      </c>
      <c r="AP267" s="232">
        <v>112</v>
      </c>
      <c r="AQ267" s="223"/>
      <c r="AR267" s="236"/>
      <c r="AS267" s="222" t="s">
        <v>146</v>
      </c>
      <c r="AT267" s="237" t="s">
        <v>55</v>
      </c>
      <c r="AU267" s="229"/>
      <c r="AV267" s="230"/>
      <c r="AW267" s="224"/>
      <c r="AX267" s="224"/>
      <c r="AY267" s="232">
        <v>27</v>
      </c>
      <c r="AZ267" s="232">
        <v>32</v>
      </c>
      <c r="BA267" s="223"/>
      <c r="BB267" s="240">
        <v>1</v>
      </c>
      <c r="BC267" s="236">
        <v>0.60256977304437698</v>
      </c>
      <c r="BD267" s="237" t="s">
        <v>56</v>
      </c>
      <c r="BE267" s="229">
        <v>1.8830305407636801E-2</v>
      </c>
      <c r="BF267" s="230">
        <v>-56.991624477696099</v>
      </c>
      <c r="BG267" s="224"/>
      <c r="BH267" s="224"/>
      <c r="BI267" s="232">
        <v>53</v>
      </c>
      <c r="BJ267" s="232">
        <v>63</v>
      </c>
      <c r="BK267" s="225"/>
      <c r="BL267" s="241">
        <v>0.8</v>
      </c>
      <c r="BM267" s="229"/>
      <c r="BN267" s="242"/>
      <c r="BO267" s="243">
        <v>0.95</v>
      </c>
      <c r="BP267" s="234">
        <v>1</v>
      </c>
      <c r="BQ267" s="242">
        <v>2.5000000000000001E-3</v>
      </c>
    </row>
    <row r="268" spans="1:69" s="211" customFormat="1" ht="22.35" customHeight="1" x14ac:dyDescent="0.2">
      <c r="A268" s="221" t="s">
        <v>276</v>
      </c>
      <c r="B268" s="221" t="s">
        <v>319</v>
      </c>
      <c r="C268" s="221" t="s">
        <v>338</v>
      </c>
      <c r="D268" s="222">
        <v>1.9110045248888901</v>
      </c>
      <c r="E268" s="223"/>
      <c r="F268" s="224">
        <v>7.6999999999999999E-2</v>
      </c>
      <c r="G268" s="224">
        <v>7.0999999999999994E-2</v>
      </c>
      <c r="H268" s="225"/>
      <c r="I268" s="226">
        <v>6</v>
      </c>
      <c r="J268" s="226">
        <v>6</v>
      </c>
      <c r="K268" s="223"/>
      <c r="L268" s="227">
        <v>1157.6691499999999</v>
      </c>
      <c r="M268" s="227">
        <v>1271.8247100000001</v>
      </c>
      <c r="N268" s="227">
        <v>2429.49386</v>
      </c>
      <c r="O268" s="222">
        <v>1271.31769096217</v>
      </c>
      <c r="P268" s="228">
        <v>245.202</v>
      </c>
      <c r="Q268" s="234">
        <v>5.1847770041115897</v>
      </c>
      <c r="R268" s="235">
        <v>1917.80217238911</v>
      </c>
      <c r="S268" s="224">
        <v>0.01</v>
      </c>
      <c r="T268" s="224">
        <v>0.01</v>
      </c>
      <c r="U268" s="231">
        <v>0</v>
      </c>
      <c r="V268" s="232">
        <v>0</v>
      </c>
      <c r="W268" s="223"/>
      <c r="X268" s="231">
        <v>1349.2245250000001</v>
      </c>
      <c r="Y268" s="222">
        <v>706.02895358316698</v>
      </c>
      <c r="Z268" s="233">
        <v>573</v>
      </c>
      <c r="AA268" s="234">
        <v>1.2321622226582301</v>
      </c>
      <c r="AB268" s="235">
        <v>153.47841770462301</v>
      </c>
      <c r="AC268" s="224">
        <v>0.02</v>
      </c>
      <c r="AD268" s="224">
        <v>0.02</v>
      </c>
      <c r="AE268" s="232">
        <v>0</v>
      </c>
      <c r="AF268" s="232">
        <v>0</v>
      </c>
      <c r="AG268" s="223"/>
      <c r="AH268" s="236">
        <v>143.19999999999999</v>
      </c>
      <c r="AI268" s="222">
        <v>74.934411789697904</v>
      </c>
      <c r="AJ268" s="237" t="s">
        <v>54</v>
      </c>
      <c r="AK268" s="234">
        <v>1.1894351077729799</v>
      </c>
      <c r="AL268" s="235">
        <v>11.730532705743901</v>
      </c>
      <c r="AM268" s="224">
        <v>0.02</v>
      </c>
      <c r="AN268" s="224">
        <v>1.9E-2</v>
      </c>
      <c r="AO268" s="232">
        <v>0</v>
      </c>
      <c r="AP268" s="232">
        <v>2</v>
      </c>
      <c r="AQ268" s="223"/>
      <c r="AR268" s="236">
        <v>31.8</v>
      </c>
      <c r="AS268" s="222">
        <v>16.640462953298801</v>
      </c>
      <c r="AT268" s="237" t="s">
        <v>55</v>
      </c>
      <c r="AU268" s="238">
        <v>1.04002893458118</v>
      </c>
      <c r="AV268" s="239">
        <v>-1.5890710588586801</v>
      </c>
      <c r="AW268" s="224">
        <v>7.0000000000000001E-3</v>
      </c>
      <c r="AX268" s="224">
        <v>2E-3</v>
      </c>
      <c r="AY268" s="232">
        <v>0</v>
      </c>
      <c r="AZ268" s="232">
        <v>5</v>
      </c>
      <c r="BA268" s="223"/>
      <c r="BB268" s="240">
        <v>126</v>
      </c>
      <c r="BC268" s="236">
        <v>65.933909814957602</v>
      </c>
      <c r="BD268" s="237" t="s">
        <v>56</v>
      </c>
      <c r="BE268" s="234">
        <v>2.0604346817174299</v>
      </c>
      <c r="BF268" s="235">
        <v>59.221857882282599</v>
      </c>
      <c r="BG268" s="224">
        <v>0.02</v>
      </c>
      <c r="BH268" s="224">
        <v>0.02</v>
      </c>
      <c r="BI268" s="232">
        <v>0</v>
      </c>
      <c r="BJ268" s="232">
        <v>0</v>
      </c>
      <c r="BK268" s="225"/>
      <c r="BL268" s="241">
        <v>0.8</v>
      </c>
      <c r="BM268" s="244">
        <v>0.76</v>
      </c>
      <c r="BN268" s="242"/>
      <c r="BO268" s="243">
        <v>0.95</v>
      </c>
      <c r="BP268" s="234">
        <v>1</v>
      </c>
      <c r="BQ268" s="242">
        <v>2.5000000000000001E-3</v>
      </c>
    </row>
    <row r="269" spans="1:69" s="211" customFormat="1" ht="22.35" customHeight="1" x14ac:dyDescent="0.2">
      <c r="A269" s="221" t="s">
        <v>276</v>
      </c>
      <c r="B269" s="221" t="s">
        <v>319</v>
      </c>
      <c r="C269" s="221" t="s">
        <v>339</v>
      </c>
      <c r="D269" s="222">
        <v>4.3293466174444397</v>
      </c>
      <c r="E269" s="223"/>
      <c r="F269" s="224">
        <v>0.03</v>
      </c>
      <c r="G269" s="224">
        <v>1.7999999999999999E-2</v>
      </c>
      <c r="H269" s="225"/>
      <c r="I269" s="226">
        <v>4</v>
      </c>
      <c r="J269" s="226">
        <v>3</v>
      </c>
      <c r="K269" s="223"/>
      <c r="L269" s="227">
        <v>2114.3624199999999</v>
      </c>
      <c r="M269" s="227">
        <v>1225.01782</v>
      </c>
      <c r="N269" s="227">
        <v>3339.38024</v>
      </c>
      <c r="O269" s="222">
        <v>771.33584697156698</v>
      </c>
      <c r="P269" s="228">
        <v>287.5</v>
      </c>
      <c r="Q269" s="234">
        <v>2.6829072938141501</v>
      </c>
      <c r="R269" s="235">
        <v>1980.1818694533199</v>
      </c>
      <c r="S269" s="224">
        <v>0.01</v>
      </c>
      <c r="T269" s="224">
        <v>0.01</v>
      </c>
      <c r="U269" s="231">
        <v>0</v>
      </c>
      <c r="V269" s="232">
        <v>0</v>
      </c>
      <c r="W269" s="223"/>
      <c r="X269" s="231">
        <v>2258.2131949999998</v>
      </c>
      <c r="Y269" s="222">
        <v>521.60600537292896</v>
      </c>
      <c r="Z269" s="233">
        <v>573</v>
      </c>
      <c r="AA269" s="238">
        <v>0.91030716469970197</v>
      </c>
      <c r="AB269" s="239">
        <v>-450.72825308086499</v>
      </c>
      <c r="AC269" s="224">
        <v>1E-3</v>
      </c>
      <c r="AD269" s="224"/>
      <c r="AE269" s="232">
        <v>223</v>
      </c>
      <c r="AF269" s="232">
        <v>719</v>
      </c>
      <c r="AG269" s="223"/>
      <c r="AH269" s="236">
        <v>202.6</v>
      </c>
      <c r="AI269" s="222">
        <v>46.796899833257498</v>
      </c>
      <c r="AJ269" s="237" t="s">
        <v>54</v>
      </c>
      <c r="AK269" s="244">
        <v>0.74280793386123101</v>
      </c>
      <c r="AL269" s="227">
        <v>-95.241729893707699</v>
      </c>
      <c r="AM269" s="224"/>
      <c r="AN269" s="224"/>
      <c r="AO269" s="232">
        <v>71</v>
      </c>
      <c r="AP269" s="232">
        <v>125</v>
      </c>
      <c r="AQ269" s="223"/>
      <c r="AR269" s="236">
        <v>30.6</v>
      </c>
      <c r="AS269" s="222">
        <v>7.0680411396726601</v>
      </c>
      <c r="AT269" s="237" t="s">
        <v>55</v>
      </c>
      <c r="AU269" s="229">
        <v>0.44175257122954098</v>
      </c>
      <c r="AV269" s="230">
        <v>-45.0423440999893</v>
      </c>
      <c r="AW269" s="224"/>
      <c r="AX269" s="224"/>
      <c r="AY269" s="232">
        <v>39</v>
      </c>
      <c r="AZ269" s="232">
        <v>53</v>
      </c>
      <c r="BA269" s="223"/>
      <c r="BB269" s="240">
        <v>149.80000000000001</v>
      </c>
      <c r="BC269" s="236">
        <v>34.601064141273298</v>
      </c>
      <c r="BD269" s="237" t="s">
        <v>56</v>
      </c>
      <c r="BE269" s="238">
        <v>1.0812832544147899</v>
      </c>
      <c r="BF269" s="239">
        <v>-1.48468819997851</v>
      </c>
      <c r="BG269" s="224">
        <v>1.9E-2</v>
      </c>
      <c r="BH269" s="224">
        <v>8.0000000000000002E-3</v>
      </c>
      <c r="BI269" s="232">
        <v>0</v>
      </c>
      <c r="BJ269" s="232">
        <v>17</v>
      </c>
      <c r="BK269" s="225"/>
      <c r="BL269" s="241">
        <v>0.8</v>
      </c>
      <c r="BM269" s="244">
        <v>0.79</v>
      </c>
      <c r="BN269" s="242"/>
      <c r="BO269" s="243">
        <v>0.95</v>
      </c>
      <c r="BP269" s="234">
        <v>1</v>
      </c>
      <c r="BQ269" s="242">
        <v>2.5000000000000001E-3</v>
      </c>
    </row>
    <row r="270" spans="1:69" s="211" customFormat="1" ht="22.35" customHeight="1" x14ac:dyDescent="0.2">
      <c r="A270" s="221" t="s">
        <v>340</v>
      </c>
      <c r="B270" s="221" t="s">
        <v>341</v>
      </c>
      <c r="C270" s="221" t="s">
        <v>342</v>
      </c>
      <c r="D270" s="222">
        <v>3.4371100664444398</v>
      </c>
      <c r="E270" s="223"/>
      <c r="F270" s="224">
        <v>0.01</v>
      </c>
      <c r="G270" s="224">
        <v>0.01</v>
      </c>
      <c r="H270" s="225"/>
      <c r="I270" s="226">
        <v>3</v>
      </c>
      <c r="J270" s="226">
        <v>3</v>
      </c>
      <c r="K270" s="223"/>
      <c r="L270" s="227">
        <v>1791.69309</v>
      </c>
      <c r="M270" s="227">
        <v>2618.9719399999999</v>
      </c>
      <c r="N270" s="227">
        <v>4410.6650300000001</v>
      </c>
      <c r="O270" s="222">
        <v>1283.2481197096699</v>
      </c>
      <c r="P270" s="228">
        <v>242.35900000000001</v>
      </c>
      <c r="Q270" s="234">
        <v>5.2948234631669102</v>
      </c>
      <c r="R270" s="235">
        <v>3501.0131320159999</v>
      </c>
      <c r="S270" s="224">
        <v>0.01</v>
      </c>
      <c r="T270" s="224">
        <v>0.01</v>
      </c>
      <c r="U270" s="231">
        <v>0</v>
      </c>
      <c r="V270" s="232">
        <v>0</v>
      </c>
      <c r="W270" s="223"/>
      <c r="X270" s="231">
        <v>1355.8727799999999</v>
      </c>
      <c r="Y270" s="222">
        <v>394.48046579509099</v>
      </c>
      <c r="Z270" s="233">
        <v>573</v>
      </c>
      <c r="AA270" s="229">
        <v>0.68844758428462605</v>
      </c>
      <c r="AB270" s="230">
        <v>-794.78198233534897</v>
      </c>
      <c r="AC270" s="224"/>
      <c r="AD270" s="224"/>
      <c r="AE270" s="232">
        <v>614</v>
      </c>
      <c r="AF270" s="232">
        <v>1008</v>
      </c>
      <c r="AG270" s="223"/>
      <c r="AH270" s="236">
        <v>123.8</v>
      </c>
      <c r="AI270" s="222">
        <v>36.018631235765497</v>
      </c>
      <c r="AJ270" s="237" t="s">
        <v>54</v>
      </c>
      <c r="AK270" s="229">
        <v>0.57172430532961105</v>
      </c>
      <c r="AL270" s="230">
        <v>-112.659424131112</v>
      </c>
      <c r="AM270" s="224"/>
      <c r="AN270" s="224"/>
      <c r="AO270" s="232">
        <v>93</v>
      </c>
      <c r="AP270" s="232">
        <v>137</v>
      </c>
      <c r="AQ270" s="223"/>
      <c r="AR270" s="236">
        <v>15.8</v>
      </c>
      <c r="AS270" s="222">
        <v>4.5968850850169298</v>
      </c>
      <c r="AT270" s="237" t="s">
        <v>55</v>
      </c>
      <c r="AU270" s="229">
        <v>0.287305317813558</v>
      </c>
      <c r="AV270" s="230">
        <v>-44.2531870809173</v>
      </c>
      <c r="AW270" s="224"/>
      <c r="AX270" s="224"/>
      <c r="AY270" s="232">
        <v>40</v>
      </c>
      <c r="AZ270" s="232">
        <v>51</v>
      </c>
      <c r="BA270" s="223"/>
      <c r="BB270" s="240">
        <v>92.6</v>
      </c>
      <c r="BC270" s="236">
        <v>26.941237903327</v>
      </c>
      <c r="BD270" s="237" t="s">
        <v>56</v>
      </c>
      <c r="BE270" s="244">
        <v>0.84191368447896997</v>
      </c>
      <c r="BF270" s="227">
        <v>-27.506374161834501</v>
      </c>
      <c r="BG270" s="224"/>
      <c r="BH270" s="224"/>
      <c r="BI270" s="232">
        <v>18</v>
      </c>
      <c r="BJ270" s="232">
        <v>40</v>
      </c>
      <c r="BK270" s="225"/>
      <c r="BL270" s="241">
        <v>0.8</v>
      </c>
      <c r="BM270" s="238">
        <v>0.83</v>
      </c>
      <c r="BN270" s="242">
        <v>1.1249999999999999E-3</v>
      </c>
      <c r="BO270" s="243">
        <v>0.95</v>
      </c>
      <c r="BP270" s="234">
        <v>1</v>
      </c>
      <c r="BQ270" s="242">
        <v>2.5000000000000001E-3</v>
      </c>
    </row>
    <row r="271" spans="1:69" s="211" customFormat="1" ht="22.35" customHeight="1" x14ac:dyDescent="0.2">
      <c r="A271" s="221" t="s">
        <v>340</v>
      </c>
      <c r="B271" s="221" t="s">
        <v>341</v>
      </c>
      <c r="C271" s="221" t="s">
        <v>343</v>
      </c>
      <c r="D271" s="222">
        <v>2.6865209235555598</v>
      </c>
      <c r="E271" s="223"/>
      <c r="F271" s="224">
        <v>0.05</v>
      </c>
      <c r="G271" s="224">
        <v>3.7999999999999999E-2</v>
      </c>
      <c r="H271" s="225"/>
      <c r="I271" s="226">
        <v>4</v>
      </c>
      <c r="J271" s="226">
        <v>4</v>
      </c>
      <c r="K271" s="223"/>
      <c r="L271" s="227">
        <v>1001.21659</v>
      </c>
      <c r="M271" s="227">
        <v>-1.4468399999999999</v>
      </c>
      <c r="N271" s="227">
        <v>999.76975000000004</v>
      </c>
      <c r="O271" s="222">
        <v>372.14292330052803</v>
      </c>
      <c r="P271" s="228">
        <v>212.5</v>
      </c>
      <c r="Q271" s="234">
        <v>1.7512608155319001</v>
      </c>
      <c r="R271" s="235">
        <v>376.36256968893201</v>
      </c>
      <c r="S271" s="224">
        <v>0.01</v>
      </c>
      <c r="T271" s="224">
        <v>0.01</v>
      </c>
      <c r="U271" s="231">
        <v>0</v>
      </c>
      <c r="V271" s="232">
        <v>0</v>
      </c>
      <c r="W271" s="223"/>
      <c r="X271" s="231">
        <v>1813.68958</v>
      </c>
      <c r="Y271" s="222">
        <v>675.10718569041296</v>
      </c>
      <c r="Z271" s="233">
        <v>573</v>
      </c>
      <c r="AA271" s="234">
        <v>1.1781975317459199</v>
      </c>
      <c r="AB271" s="235">
        <v>132.69045379650899</v>
      </c>
      <c r="AC271" s="224">
        <v>0.02</v>
      </c>
      <c r="AD271" s="224">
        <v>1.7999999999999999E-2</v>
      </c>
      <c r="AE271" s="232">
        <v>0</v>
      </c>
      <c r="AF271" s="232">
        <v>34</v>
      </c>
      <c r="AG271" s="223"/>
      <c r="AH271" s="236">
        <v>150.9</v>
      </c>
      <c r="AI271" s="222">
        <v>56.169300107399501</v>
      </c>
      <c r="AJ271" s="237" t="s">
        <v>54</v>
      </c>
      <c r="AK271" s="244">
        <v>0.89157619218094397</v>
      </c>
      <c r="AL271" s="227">
        <v>-33.921893456928302</v>
      </c>
      <c r="AM271" s="224"/>
      <c r="AN271" s="224"/>
      <c r="AO271" s="232">
        <v>19</v>
      </c>
      <c r="AP271" s="232">
        <v>53</v>
      </c>
      <c r="AQ271" s="223"/>
      <c r="AR271" s="236">
        <v>15</v>
      </c>
      <c r="AS271" s="222">
        <v>5.58342943413514</v>
      </c>
      <c r="AT271" s="237" t="s">
        <v>55</v>
      </c>
      <c r="AU271" s="229">
        <v>0.34896433963344597</v>
      </c>
      <c r="AV271" s="230">
        <v>-31.938893576362702</v>
      </c>
      <c r="AW271" s="224"/>
      <c r="AX271" s="224"/>
      <c r="AY271" s="232">
        <v>28</v>
      </c>
      <c r="AZ271" s="232">
        <v>37</v>
      </c>
      <c r="BA271" s="223"/>
      <c r="BB271" s="240">
        <v>94.4</v>
      </c>
      <c r="BC271" s="236">
        <v>35.138382572157099</v>
      </c>
      <c r="BD271" s="237" t="s">
        <v>56</v>
      </c>
      <c r="BE271" s="234">
        <v>1.09807445537991</v>
      </c>
      <c r="BF271" s="235">
        <v>0.522212847274517</v>
      </c>
      <c r="BG271" s="224">
        <v>0.02</v>
      </c>
      <c r="BH271" s="224">
        <v>0.01</v>
      </c>
      <c r="BI271" s="232">
        <v>0</v>
      </c>
      <c r="BJ271" s="232">
        <v>9</v>
      </c>
      <c r="BK271" s="225"/>
      <c r="BL271" s="241">
        <v>0.8</v>
      </c>
      <c r="BM271" s="244">
        <v>0.75</v>
      </c>
      <c r="BN271" s="242"/>
      <c r="BO271" s="243">
        <v>0.95</v>
      </c>
      <c r="BP271" s="234">
        <v>1</v>
      </c>
      <c r="BQ271" s="242">
        <v>2.5000000000000001E-3</v>
      </c>
    </row>
    <row r="272" spans="1:69" s="211" customFormat="1" ht="22.35" customHeight="1" x14ac:dyDescent="0.2">
      <c r="A272" s="221" t="s">
        <v>340</v>
      </c>
      <c r="B272" s="221" t="s">
        <v>341</v>
      </c>
      <c r="C272" s="221" t="s">
        <v>344</v>
      </c>
      <c r="D272" s="222">
        <v>1</v>
      </c>
      <c r="E272" s="223"/>
      <c r="F272" s="224">
        <v>0.03</v>
      </c>
      <c r="G272" s="224">
        <v>0.03</v>
      </c>
      <c r="H272" s="225"/>
      <c r="I272" s="226">
        <v>4</v>
      </c>
      <c r="J272" s="226">
        <v>4</v>
      </c>
      <c r="K272" s="223"/>
      <c r="L272" s="227">
        <v>514.62725</v>
      </c>
      <c r="M272" s="227">
        <v>218.01485</v>
      </c>
      <c r="N272" s="227">
        <v>732.64210000000003</v>
      </c>
      <c r="O272" s="222">
        <v>732.64210000000003</v>
      </c>
      <c r="P272" s="228">
        <v>212.5</v>
      </c>
      <c r="Q272" s="234">
        <v>3.4477275294117602</v>
      </c>
      <c r="R272" s="235">
        <v>500.59210000000002</v>
      </c>
      <c r="S272" s="224">
        <v>0.01</v>
      </c>
      <c r="T272" s="224">
        <v>0.01</v>
      </c>
      <c r="U272" s="231">
        <v>0</v>
      </c>
      <c r="V272" s="232">
        <v>0</v>
      </c>
      <c r="W272" s="223"/>
      <c r="X272" s="231">
        <v>350.08732500000002</v>
      </c>
      <c r="Y272" s="222">
        <v>350.08732500000002</v>
      </c>
      <c r="Z272" s="233">
        <v>573</v>
      </c>
      <c r="AA272" s="229">
        <v>0.61097264397905804</v>
      </c>
      <c r="AB272" s="230">
        <v>-275.62867499999999</v>
      </c>
      <c r="AC272" s="224"/>
      <c r="AD272" s="224"/>
      <c r="AE272" s="232">
        <v>223</v>
      </c>
      <c r="AF272" s="232">
        <v>338</v>
      </c>
      <c r="AG272" s="223"/>
      <c r="AH272" s="236">
        <v>52.7</v>
      </c>
      <c r="AI272" s="222">
        <v>52.7</v>
      </c>
      <c r="AJ272" s="237" t="s">
        <v>54</v>
      </c>
      <c r="AK272" s="244">
        <v>0.83650793650793698</v>
      </c>
      <c r="AL272" s="227">
        <v>-16.096</v>
      </c>
      <c r="AM272" s="224"/>
      <c r="AN272" s="224"/>
      <c r="AO272" s="232">
        <v>11</v>
      </c>
      <c r="AP272" s="232">
        <v>23</v>
      </c>
      <c r="AQ272" s="223"/>
      <c r="AR272" s="236">
        <v>1</v>
      </c>
      <c r="AS272" s="222">
        <v>1</v>
      </c>
      <c r="AT272" s="237" t="s">
        <v>55</v>
      </c>
      <c r="AU272" s="229">
        <v>6.25E-2</v>
      </c>
      <c r="AV272" s="230">
        <v>-16.472000000000001</v>
      </c>
      <c r="AW272" s="224"/>
      <c r="AX272" s="224"/>
      <c r="AY272" s="232">
        <v>15</v>
      </c>
      <c r="AZ272" s="232">
        <v>19</v>
      </c>
      <c r="BA272" s="223"/>
      <c r="BB272" s="240">
        <v>47.2</v>
      </c>
      <c r="BC272" s="236">
        <v>47.2</v>
      </c>
      <c r="BD272" s="237" t="s">
        <v>56</v>
      </c>
      <c r="BE272" s="234">
        <v>1.4750000000000001</v>
      </c>
      <c r="BF272" s="235">
        <v>12.256</v>
      </c>
      <c r="BG272" s="224">
        <v>0.02</v>
      </c>
      <c r="BH272" s="224">
        <v>0.02</v>
      </c>
      <c r="BI272" s="232">
        <v>0</v>
      </c>
      <c r="BJ272" s="232">
        <v>0</v>
      </c>
      <c r="BK272" s="225"/>
      <c r="BL272" s="241">
        <v>0.8</v>
      </c>
      <c r="BM272" s="238">
        <v>0.85</v>
      </c>
      <c r="BN272" s="242">
        <v>1.8749999999999999E-3</v>
      </c>
      <c r="BO272" s="243">
        <v>0.95</v>
      </c>
      <c r="BP272" s="234">
        <v>1</v>
      </c>
      <c r="BQ272" s="242">
        <v>2.5000000000000001E-3</v>
      </c>
    </row>
    <row r="273" spans="1:69" s="211" customFormat="1" ht="22.35" customHeight="1" x14ac:dyDescent="0.2">
      <c r="A273" s="221" t="s">
        <v>340</v>
      </c>
      <c r="B273" s="221" t="s">
        <v>341</v>
      </c>
      <c r="C273" s="221" t="s">
        <v>345</v>
      </c>
      <c r="D273" s="222">
        <v>2.6251377059999998</v>
      </c>
      <c r="E273" s="223"/>
      <c r="F273" s="224"/>
      <c r="G273" s="224"/>
      <c r="H273" s="225"/>
      <c r="I273" s="226">
        <v>2</v>
      </c>
      <c r="J273" s="226">
        <v>2</v>
      </c>
      <c r="K273" s="223"/>
      <c r="L273" s="227">
        <v>833.91980000000001</v>
      </c>
      <c r="M273" s="227">
        <v>-689.75621999999998</v>
      </c>
      <c r="N273" s="227">
        <v>144.16358</v>
      </c>
      <c r="O273" s="222">
        <v>54.9165781553099</v>
      </c>
      <c r="P273" s="228">
        <v>212.5</v>
      </c>
      <c r="Q273" s="229">
        <v>0.258430956024988</v>
      </c>
      <c r="R273" s="230">
        <v>-464.99962467730001</v>
      </c>
      <c r="S273" s="224"/>
      <c r="T273" s="224"/>
      <c r="U273" s="231">
        <v>414</v>
      </c>
      <c r="V273" s="232">
        <v>526</v>
      </c>
      <c r="W273" s="223"/>
      <c r="X273" s="231">
        <v>1338.5396599999999</v>
      </c>
      <c r="Y273" s="222">
        <v>509.89312177439001</v>
      </c>
      <c r="Z273" s="233">
        <v>573</v>
      </c>
      <c r="AA273" s="244">
        <v>0.88986583206699799</v>
      </c>
      <c r="AB273" s="227">
        <v>-304.05100484749602</v>
      </c>
      <c r="AC273" s="224"/>
      <c r="AD273" s="224"/>
      <c r="AE273" s="232">
        <v>166</v>
      </c>
      <c r="AF273" s="232">
        <v>467</v>
      </c>
      <c r="AG273" s="223"/>
      <c r="AH273" s="236">
        <v>76.2</v>
      </c>
      <c r="AI273" s="222">
        <v>29.027048686184202</v>
      </c>
      <c r="AJ273" s="237" t="s">
        <v>54</v>
      </c>
      <c r="AK273" s="229">
        <v>0.46074680454260702</v>
      </c>
      <c r="AL273" s="230">
        <v>-104.398973621976</v>
      </c>
      <c r="AM273" s="224"/>
      <c r="AN273" s="224"/>
      <c r="AO273" s="232">
        <v>90</v>
      </c>
      <c r="AP273" s="232">
        <v>123</v>
      </c>
      <c r="AQ273" s="223"/>
      <c r="AR273" s="236">
        <v>6</v>
      </c>
      <c r="AS273" s="222">
        <v>2.28559438473892</v>
      </c>
      <c r="AT273" s="237" t="s">
        <v>55</v>
      </c>
      <c r="AU273" s="229">
        <v>0.142849649046182</v>
      </c>
      <c r="AV273" s="230">
        <v>-39.866405999232001</v>
      </c>
      <c r="AW273" s="224"/>
      <c r="AX273" s="224"/>
      <c r="AY273" s="232">
        <v>37</v>
      </c>
      <c r="AZ273" s="232">
        <v>45</v>
      </c>
      <c r="BA273" s="223"/>
      <c r="BB273" s="240">
        <v>42.6</v>
      </c>
      <c r="BC273" s="236">
        <v>16.227720131646301</v>
      </c>
      <c r="BD273" s="237" t="s">
        <v>56</v>
      </c>
      <c r="BE273" s="229">
        <v>0.50711625411394701</v>
      </c>
      <c r="BF273" s="230">
        <v>-49.132811998464</v>
      </c>
      <c r="BG273" s="224"/>
      <c r="BH273" s="224"/>
      <c r="BI273" s="232">
        <v>42</v>
      </c>
      <c r="BJ273" s="232">
        <v>59</v>
      </c>
      <c r="BK273" s="225"/>
      <c r="BL273" s="241">
        <v>0.8</v>
      </c>
      <c r="BM273" s="238">
        <v>0.82</v>
      </c>
      <c r="BN273" s="242">
        <v>7.5000000000000002E-4</v>
      </c>
      <c r="BO273" s="243">
        <v>0.95</v>
      </c>
      <c r="BP273" s="234">
        <v>1</v>
      </c>
      <c r="BQ273" s="242">
        <v>2.5000000000000001E-3</v>
      </c>
    </row>
    <row r="274" spans="1:69" s="211" customFormat="1" ht="22.35" customHeight="1" x14ac:dyDescent="0.2">
      <c r="A274" s="221" t="s">
        <v>340</v>
      </c>
      <c r="B274" s="221" t="s">
        <v>341</v>
      </c>
      <c r="C274" s="221" t="s">
        <v>346</v>
      </c>
      <c r="D274" s="222">
        <v>4.5014537384444404</v>
      </c>
      <c r="E274" s="223"/>
      <c r="F274" s="224">
        <v>0.01</v>
      </c>
      <c r="G274" s="224">
        <v>0.01</v>
      </c>
      <c r="H274" s="225"/>
      <c r="I274" s="226">
        <v>3</v>
      </c>
      <c r="J274" s="226">
        <v>3</v>
      </c>
      <c r="K274" s="223"/>
      <c r="L274" s="227">
        <v>3027.5766699999999</v>
      </c>
      <c r="M274" s="227">
        <v>-384.52537999999998</v>
      </c>
      <c r="N274" s="227">
        <v>2643.0512899999999</v>
      </c>
      <c r="O274" s="222">
        <v>587.155048918342</v>
      </c>
      <c r="P274" s="228">
        <v>218.52799999999999</v>
      </c>
      <c r="Q274" s="234">
        <v>2.68686414975812</v>
      </c>
      <c r="R274" s="235">
        <v>1568.8577886501701</v>
      </c>
      <c r="S274" s="224">
        <v>0.01</v>
      </c>
      <c r="T274" s="224">
        <v>0.01</v>
      </c>
      <c r="U274" s="231">
        <v>0</v>
      </c>
      <c r="V274" s="232">
        <v>0</v>
      </c>
      <c r="W274" s="223"/>
      <c r="X274" s="231">
        <v>2270.2101600000001</v>
      </c>
      <c r="Y274" s="222">
        <v>504.32822192781401</v>
      </c>
      <c r="Z274" s="233">
        <v>573</v>
      </c>
      <c r="AA274" s="244">
        <v>0.88015396497000797</v>
      </c>
      <c r="AB274" s="227">
        <v>-546.42146740450096</v>
      </c>
      <c r="AC274" s="224"/>
      <c r="AD274" s="224"/>
      <c r="AE274" s="232">
        <v>310</v>
      </c>
      <c r="AF274" s="232">
        <v>825</v>
      </c>
      <c r="AG274" s="223"/>
      <c r="AH274" s="236">
        <v>168.4</v>
      </c>
      <c r="AI274" s="222">
        <v>37.410136765771497</v>
      </c>
      <c r="AJ274" s="237" t="s">
        <v>54</v>
      </c>
      <c r="AK274" s="229">
        <v>0.59381169469478501</v>
      </c>
      <c r="AL274" s="230">
        <v>-141.282011390024</v>
      </c>
      <c r="AM274" s="224"/>
      <c r="AN274" s="224"/>
      <c r="AO274" s="232">
        <v>116</v>
      </c>
      <c r="AP274" s="232">
        <v>172</v>
      </c>
      <c r="AQ274" s="223"/>
      <c r="AR274" s="236">
        <v>19.3</v>
      </c>
      <c r="AS274" s="222">
        <v>4.2875037979773696</v>
      </c>
      <c r="AT274" s="237" t="s">
        <v>55</v>
      </c>
      <c r="AU274" s="229">
        <v>0.26796898737358599</v>
      </c>
      <c r="AV274" s="230">
        <v>-59.349399718101303</v>
      </c>
      <c r="AW274" s="224"/>
      <c r="AX274" s="224"/>
      <c r="AY274" s="232">
        <v>53</v>
      </c>
      <c r="AZ274" s="232">
        <v>68</v>
      </c>
      <c r="BA274" s="223"/>
      <c r="BB274" s="240">
        <v>121.4</v>
      </c>
      <c r="BC274" s="236">
        <v>26.969065340645201</v>
      </c>
      <c r="BD274" s="237" t="s">
        <v>56</v>
      </c>
      <c r="BE274" s="244">
        <v>0.84278329189516299</v>
      </c>
      <c r="BF274" s="227">
        <v>-35.898799436202502</v>
      </c>
      <c r="BG274" s="224"/>
      <c r="BH274" s="224"/>
      <c r="BI274" s="232">
        <v>23</v>
      </c>
      <c r="BJ274" s="232">
        <v>52</v>
      </c>
      <c r="BK274" s="225"/>
      <c r="BL274" s="241">
        <v>0.8</v>
      </c>
      <c r="BM274" s="238">
        <v>0.85</v>
      </c>
      <c r="BN274" s="242">
        <v>1.8749999999999999E-3</v>
      </c>
      <c r="BO274" s="243">
        <v>0.95</v>
      </c>
      <c r="BP274" s="234">
        <v>1</v>
      </c>
      <c r="BQ274" s="242">
        <v>2.5000000000000001E-3</v>
      </c>
    </row>
    <row r="275" spans="1:69" s="211" customFormat="1" ht="22.35" customHeight="1" x14ac:dyDescent="0.2">
      <c r="A275" s="221" t="s">
        <v>340</v>
      </c>
      <c r="B275" s="221" t="s">
        <v>341</v>
      </c>
      <c r="C275" s="221" t="s">
        <v>347</v>
      </c>
      <c r="D275" s="222">
        <v>8.6759634033333306</v>
      </c>
      <c r="E275" s="223"/>
      <c r="F275" s="224">
        <v>0.03</v>
      </c>
      <c r="G275" s="224">
        <v>0.03</v>
      </c>
      <c r="H275" s="225"/>
      <c r="I275" s="226">
        <v>3</v>
      </c>
      <c r="J275" s="226">
        <v>3</v>
      </c>
      <c r="K275" s="223"/>
      <c r="L275" s="227">
        <v>7631.9891200000002</v>
      </c>
      <c r="M275" s="227">
        <v>3186.8014199999998</v>
      </c>
      <c r="N275" s="227">
        <v>10818.79054</v>
      </c>
      <c r="O275" s="222">
        <v>1246.9843447983401</v>
      </c>
      <c r="P275" s="228">
        <v>246.08699999999999</v>
      </c>
      <c r="Q275" s="234">
        <v>5.0672499758148097</v>
      </c>
      <c r="R275" s="235">
        <v>8487.3248878085906</v>
      </c>
      <c r="S275" s="224">
        <v>0.01</v>
      </c>
      <c r="T275" s="224">
        <v>0.01</v>
      </c>
      <c r="U275" s="231">
        <v>0</v>
      </c>
      <c r="V275" s="232">
        <v>0</v>
      </c>
      <c r="W275" s="223"/>
      <c r="X275" s="231">
        <v>4043.9040599999998</v>
      </c>
      <c r="Y275" s="222">
        <v>466.10432432740799</v>
      </c>
      <c r="Z275" s="233">
        <v>573</v>
      </c>
      <c r="AA275" s="244">
        <v>0.81344559219442902</v>
      </c>
      <c r="AB275" s="227">
        <v>-1384.78505688012</v>
      </c>
      <c r="AC275" s="224"/>
      <c r="AD275" s="224"/>
      <c r="AE275" s="232">
        <v>928</v>
      </c>
      <c r="AF275" s="232">
        <v>1922</v>
      </c>
      <c r="AG275" s="223"/>
      <c r="AH275" s="236">
        <v>477.15</v>
      </c>
      <c r="AI275" s="222">
        <v>54.996774169964503</v>
      </c>
      <c r="AJ275" s="237" t="s">
        <v>54</v>
      </c>
      <c r="AK275" s="244">
        <v>0.872964669364516</v>
      </c>
      <c r="AL275" s="227">
        <v>-119.72157829571999</v>
      </c>
      <c r="AM275" s="224"/>
      <c r="AN275" s="224"/>
      <c r="AO275" s="232">
        <v>70</v>
      </c>
      <c r="AP275" s="232">
        <v>179</v>
      </c>
      <c r="AQ275" s="223"/>
      <c r="AR275" s="236">
        <v>45.7</v>
      </c>
      <c r="AS275" s="222">
        <v>5.2674265525880299</v>
      </c>
      <c r="AT275" s="237" t="s">
        <v>55</v>
      </c>
      <c r="AU275" s="229">
        <v>0.32921415953675198</v>
      </c>
      <c r="AV275" s="230">
        <v>-105.88643258304</v>
      </c>
      <c r="AW275" s="224"/>
      <c r="AX275" s="224"/>
      <c r="AY275" s="232">
        <v>94</v>
      </c>
      <c r="AZ275" s="232">
        <v>121</v>
      </c>
      <c r="BA275" s="223"/>
      <c r="BB275" s="240">
        <v>525.79999999999995</v>
      </c>
      <c r="BC275" s="236">
        <v>60.604220598485398</v>
      </c>
      <c r="BD275" s="237" t="s">
        <v>56</v>
      </c>
      <c r="BE275" s="234">
        <v>1.89388189370267</v>
      </c>
      <c r="BF275" s="235">
        <v>222.62713483392</v>
      </c>
      <c r="BG275" s="224">
        <v>0.02</v>
      </c>
      <c r="BH275" s="224">
        <v>0.02</v>
      </c>
      <c r="BI275" s="232">
        <v>0</v>
      </c>
      <c r="BJ275" s="232">
        <v>0</v>
      </c>
      <c r="BK275" s="225"/>
      <c r="BL275" s="241">
        <v>0.8</v>
      </c>
      <c r="BM275" s="244">
        <v>0.74</v>
      </c>
      <c r="BN275" s="242"/>
      <c r="BO275" s="243">
        <v>0.95</v>
      </c>
      <c r="BP275" s="234">
        <v>1</v>
      </c>
      <c r="BQ275" s="242">
        <v>2.5000000000000001E-3</v>
      </c>
    </row>
    <row r="276" spans="1:69" s="211" customFormat="1" ht="22.35" customHeight="1" x14ac:dyDescent="0.2">
      <c r="A276" s="221" t="s">
        <v>340</v>
      </c>
      <c r="B276" s="221" t="s">
        <v>341</v>
      </c>
      <c r="C276" s="221" t="s">
        <v>348</v>
      </c>
      <c r="D276" s="222">
        <v>1.8989247312222199</v>
      </c>
      <c r="E276" s="223"/>
      <c r="F276" s="224">
        <v>0.03</v>
      </c>
      <c r="G276" s="224">
        <v>0.03</v>
      </c>
      <c r="H276" s="225"/>
      <c r="I276" s="226">
        <v>3</v>
      </c>
      <c r="J276" s="226">
        <v>3</v>
      </c>
      <c r="K276" s="223"/>
      <c r="L276" s="227">
        <v>713.65629000000001</v>
      </c>
      <c r="M276" s="227">
        <v>515.44054000000006</v>
      </c>
      <c r="N276" s="227">
        <v>1229.09683</v>
      </c>
      <c r="O276" s="222">
        <v>647.25937252336803</v>
      </c>
      <c r="P276" s="228">
        <v>246.08699999999999</v>
      </c>
      <c r="Q276" s="234">
        <v>2.6302054660480501</v>
      </c>
      <c r="R276" s="235">
        <v>718.80447615714797</v>
      </c>
      <c r="S276" s="224">
        <v>0.01</v>
      </c>
      <c r="T276" s="224">
        <v>0.01</v>
      </c>
      <c r="U276" s="231">
        <v>0</v>
      </c>
      <c r="V276" s="232">
        <v>0</v>
      </c>
      <c r="W276" s="223"/>
      <c r="X276" s="231">
        <v>967.82832499999995</v>
      </c>
      <c r="Y276" s="222">
        <v>509.6717679679</v>
      </c>
      <c r="Z276" s="233">
        <v>573</v>
      </c>
      <c r="AA276" s="244">
        <v>0.88947952524939</v>
      </c>
      <c r="AB276" s="227">
        <v>-220.35926212144301</v>
      </c>
      <c r="AC276" s="224"/>
      <c r="AD276" s="224"/>
      <c r="AE276" s="232">
        <v>121</v>
      </c>
      <c r="AF276" s="232">
        <v>338</v>
      </c>
      <c r="AG276" s="223"/>
      <c r="AH276" s="236">
        <v>99.7</v>
      </c>
      <c r="AI276" s="222">
        <v>52.503397507403697</v>
      </c>
      <c r="AJ276" s="237" t="s">
        <v>54</v>
      </c>
      <c r="AK276" s="244">
        <v>0.83338726202227997</v>
      </c>
      <c r="AL276" s="227">
        <v>-30.938425809163899</v>
      </c>
      <c r="AM276" s="224"/>
      <c r="AN276" s="224"/>
      <c r="AO276" s="232">
        <v>20</v>
      </c>
      <c r="AP276" s="232">
        <v>44</v>
      </c>
      <c r="AQ276" s="223"/>
      <c r="AR276" s="236">
        <v>15.8</v>
      </c>
      <c r="AS276" s="222">
        <v>8.320498301073</v>
      </c>
      <c r="AT276" s="237" t="s">
        <v>55</v>
      </c>
      <c r="AU276" s="229">
        <v>0.52003114381706295</v>
      </c>
      <c r="AV276" s="230">
        <v>-17.378012903914598</v>
      </c>
      <c r="AW276" s="224"/>
      <c r="AX276" s="224"/>
      <c r="AY276" s="232">
        <v>15</v>
      </c>
      <c r="AZ276" s="232">
        <v>21</v>
      </c>
      <c r="BA276" s="223"/>
      <c r="BB276" s="240">
        <v>82.4</v>
      </c>
      <c r="BC276" s="236">
        <v>43.3929784815452</v>
      </c>
      <c r="BD276" s="237" t="s">
        <v>56</v>
      </c>
      <c r="BE276" s="234">
        <v>1.3560305775482899</v>
      </c>
      <c r="BF276" s="235">
        <v>16.043974192170801</v>
      </c>
      <c r="BG276" s="224">
        <v>0.02</v>
      </c>
      <c r="BH276" s="224">
        <v>0.02</v>
      </c>
      <c r="BI276" s="232">
        <v>0</v>
      </c>
      <c r="BJ276" s="232">
        <v>0</v>
      </c>
      <c r="BK276" s="225"/>
      <c r="BL276" s="241">
        <v>0.8</v>
      </c>
      <c r="BM276" s="244">
        <v>0.78</v>
      </c>
      <c r="BN276" s="242"/>
      <c r="BO276" s="243">
        <v>0.95</v>
      </c>
      <c r="BP276" s="234">
        <v>1</v>
      </c>
      <c r="BQ276" s="242">
        <v>2.5000000000000001E-3</v>
      </c>
    </row>
    <row r="277" spans="1:69" s="211" customFormat="1" ht="22.35" customHeight="1" x14ac:dyDescent="0.2">
      <c r="A277" s="221" t="s">
        <v>340</v>
      </c>
      <c r="B277" s="221" t="s">
        <v>341</v>
      </c>
      <c r="C277" s="221" t="s">
        <v>349</v>
      </c>
      <c r="D277" s="222">
        <v>1.8613756613333301</v>
      </c>
      <c r="E277" s="223"/>
      <c r="F277" s="224">
        <v>0.08</v>
      </c>
      <c r="G277" s="224">
        <v>7.8E-2</v>
      </c>
      <c r="H277" s="225"/>
      <c r="I277" s="226">
        <v>7</v>
      </c>
      <c r="J277" s="226">
        <v>7</v>
      </c>
      <c r="K277" s="223"/>
      <c r="L277" s="227">
        <v>1223.3950199999999</v>
      </c>
      <c r="M277" s="227">
        <v>2767.9848499999998</v>
      </c>
      <c r="N277" s="227">
        <v>3991.3798700000002</v>
      </c>
      <c r="O277" s="222">
        <v>2144.3172127548501</v>
      </c>
      <c r="P277" s="228">
        <v>246.08699999999999</v>
      </c>
      <c r="Q277" s="234">
        <v>8.7136549787467406</v>
      </c>
      <c r="R277" s="235">
        <v>3491.1779652113801</v>
      </c>
      <c r="S277" s="224">
        <v>0.01</v>
      </c>
      <c r="T277" s="224">
        <v>0.01</v>
      </c>
      <c r="U277" s="231">
        <v>0</v>
      </c>
      <c r="V277" s="232">
        <v>0</v>
      </c>
      <c r="W277" s="223"/>
      <c r="X277" s="231">
        <v>1735.630355</v>
      </c>
      <c r="Y277" s="222">
        <v>932.44496049590498</v>
      </c>
      <c r="Z277" s="233">
        <v>573</v>
      </c>
      <c r="AA277" s="234">
        <v>1.62730359597889</v>
      </c>
      <c r="AB277" s="235">
        <v>570.93782169315398</v>
      </c>
      <c r="AC277" s="224">
        <v>0.02</v>
      </c>
      <c r="AD277" s="224">
        <v>0.02</v>
      </c>
      <c r="AE277" s="232">
        <v>0</v>
      </c>
      <c r="AF277" s="232">
        <v>0</v>
      </c>
      <c r="AG277" s="223"/>
      <c r="AH277" s="236">
        <v>138.80000000000001</v>
      </c>
      <c r="AI277" s="222">
        <v>74.568504833986793</v>
      </c>
      <c r="AJ277" s="237" t="s">
        <v>54</v>
      </c>
      <c r="AK277" s="234">
        <v>1.1836270608569299</v>
      </c>
      <c r="AL277" s="235">
        <v>10.7448000029122</v>
      </c>
      <c r="AM277" s="224">
        <v>0.02</v>
      </c>
      <c r="AN277" s="224">
        <v>1.7999999999999999E-2</v>
      </c>
      <c r="AO277" s="232">
        <v>0</v>
      </c>
      <c r="AP277" s="232">
        <v>2</v>
      </c>
      <c r="AQ277" s="223"/>
      <c r="AR277" s="236">
        <v>46</v>
      </c>
      <c r="AS277" s="222">
        <v>24.712905060255</v>
      </c>
      <c r="AT277" s="237" t="s">
        <v>55</v>
      </c>
      <c r="AU277" s="234">
        <v>1.54455656626594</v>
      </c>
      <c r="AV277" s="235">
        <v>13.4780444451841</v>
      </c>
      <c r="AW277" s="224">
        <v>0.01</v>
      </c>
      <c r="AX277" s="224">
        <v>0.01</v>
      </c>
      <c r="AY277" s="232">
        <v>0</v>
      </c>
      <c r="AZ277" s="232">
        <v>0</v>
      </c>
      <c r="BA277" s="223"/>
      <c r="BB277" s="240">
        <v>105.8</v>
      </c>
      <c r="BC277" s="236">
        <v>56.839681638586498</v>
      </c>
      <c r="BD277" s="237" t="s">
        <v>56</v>
      </c>
      <c r="BE277" s="234">
        <v>1.7762400512058301</v>
      </c>
      <c r="BF277" s="235">
        <v>40.756088890368098</v>
      </c>
      <c r="BG277" s="224">
        <v>0.02</v>
      </c>
      <c r="BH277" s="224">
        <v>0.02</v>
      </c>
      <c r="BI277" s="232">
        <v>0</v>
      </c>
      <c r="BJ277" s="232">
        <v>0</v>
      </c>
      <c r="BK277" s="225"/>
      <c r="BL277" s="241">
        <v>0.8</v>
      </c>
      <c r="BM277" s="238">
        <v>0.87</v>
      </c>
      <c r="BN277" s="242">
        <v>2.6250000000000002E-3</v>
      </c>
      <c r="BO277" s="243">
        <v>0.95</v>
      </c>
      <c r="BP277" s="234">
        <v>1</v>
      </c>
      <c r="BQ277" s="242">
        <v>2.5000000000000001E-3</v>
      </c>
    </row>
    <row r="278" spans="1:69" s="211" customFormat="1" ht="22.35" customHeight="1" x14ac:dyDescent="0.2">
      <c r="A278" s="221" t="s">
        <v>340</v>
      </c>
      <c r="B278" s="221" t="s">
        <v>341</v>
      </c>
      <c r="C278" s="221" t="s">
        <v>350</v>
      </c>
      <c r="D278" s="222">
        <v>4.0649831650000001</v>
      </c>
      <c r="E278" s="223"/>
      <c r="F278" s="224">
        <v>2.7E-2</v>
      </c>
      <c r="G278" s="224">
        <v>1.6E-2</v>
      </c>
      <c r="H278" s="225"/>
      <c r="I278" s="226">
        <v>3</v>
      </c>
      <c r="J278" s="226">
        <v>3</v>
      </c>
      <c r="K278" s="223"/>
      <c r="L278" s="227">
        <v>986.04044999999996</v>
      </c>
      <c r="M278" s="227">
        <v>549.07835999999998</v>
      </c>
      <c r="N278" s="227">
        <v>1535.1188099999999</v>
      </c>
      <c r="O278" s="222">
        <v>377.64456768666599</v>
      </c>
      <c r="P278" s="228">
        <v>212.5</v>
      </c>
      <c r="Q278" s="234">
        <v>1.77715090676078</v>
      </c>
      <c r="R278" s="235">
        <v>591.83946656174999</v>
      </c>
      <c r="S278" s="224">
        <v>0.01</v>
      </c>
      <c r="T278" s="224">
        <v>0.01</v>
      </c>
      <c r="U278" s="231">
        <v>0</v>
      </c>
      <c r="V278" s="232">
        <v>0</v>
      </c>
      <c r="W278" s="223"/>
      <c r="X278" s="231">
        <v>1466.93417</v>
      </c>
      <c r="Y278" s="222">
        <v>360.87090904348202</v>
      </c>
      <c r="Z278" s="233">
        <v>573</v>
      </c>
      <c r="AA278" s="229">
        <v>0.62979216237954905</v>
      </c>
      <c r="AB278" s="230">
        <v>-1076.5908360711401</v>
      </c>
      <c r="AC278" s="224"/>
      <c r="AD278" s="224"/>
      <c r="AE278" s="232">
        <v>863</v>
      </c>
      <c r="AF278" s="232">
        <v>1329</v>
      </c>
      <c r="AG278" s="223"/>
      <c r="AH278" s="236">
        <v>154.5</v>
      </c>
      <c r="AI278" s="222">
        <v>38.007537480170598</v>
      </c>
      <c r="AJ278" s="237" t="s">
        <v>54</v>
      </c>
      <c r="AK278" s="229">
        <v>0.60329424571699397</v>
      </c>
      <c r="AL278" s="230">
        <v>-125.15458181934</v>
      </c>
      <c r="AM278" s="224"/>
      <c r="AN278" s="224"/>
      <c r="AO278" s="232">
        <v>102</v>
      </c>
      <c r="AP278" s="232">
        <v>153</v>
      </c>
      <c r="AQ278" s="223"/>
      <c r="AR278" s="236">
        <v>23.4</v>
      </c>
      <c r="AS278" s="222">
        <v>5.7564814047636998</v>
      </c>
      <c r="AT278" s="237" t="s">
        <v>55</v>
      </c>
      <c r="AU278" s="229">
        <v>0.35978008779773102</v>
      </c>
      <c r="AV278" s="230">
        <v>-47.623385858879999</v>
      </c>
      <c r="AW278" s="224"/>
      <c r="AX278" s="224"/>
      <c r="AY278" s="232">
        <v>42</v>
      </c>
      <c r="AZ278" s="232">
        <v>55</v>
      </c>
      <c r="BA278" s="223"/>
      <c r="BB278" s="240">
        <v>138.4</v>
      </c>
      <c r="BC278" s="236">
        <v>34.046881470910101</v>
      </c>
      <c r="BD278" s="237" t="s">
        <v>56</v>
      </c>
      <c r="BE278" s="238">
        <v>1.06396504596594</v>
      </c>
      <c r="BF278" s="239">
        <v>-3.6467717177600001</v>
      </c>
      <c r="BG278" s="224">
        <v>1.7000000000000001E-2</v>
      </c>
      <c r="BH278" s="224">
        <v>6.0000000000000001E-3</v>
      </c>
      <c r="BI278" s="232">
        <v>0</v>
      </c>
      <c r="BJ278" s="232">
        <v>18</v>
      </c>
      <c r="BK278" s="225"/>
      <c r="BL278" s="241">
        <v>0.8</v>
      </c>
      <c r="BM278" s="244">
        <v>0.79</v>
      </c>
      <c r="BN278" s="242"/>
      <c r="BO278" s="243">
        <v>0.95</v>
      </c>
      <c r="BP278" s="234">
        <v>1</v>
      </c>
      <c r="BQ278" s="242">
        <v>2.5000000000000001E-3</v>
      </c>
    </row>
    <row r="279" spans="1:69" s="211" customFormat="1" ht="22.35" customHeight="1" x14ac:dyDescent="0.2">
      <c r="A279" s="221" t="s">
        <v>340</v>
      </c>
      <c r="B279" s="221" t="s">
        <v>341</v>
      </c>
      <c r="C279" s="221" t="s">
        <v>351</v>
      </c>
      <c r="D279" s="222">
        <v>2.7843147968888902</v>
      </c>
      <c r="E279" s="223"/>
      <c r="F279" s="224">
        <v>0.01</v>
      </c>
      <c r="G279" s="224">
        <v>0.01</v>
      </c>
      <c r="H279" s="225"/>
      <c r="I279" s="226">
        <v>3</v>
      </c>
      <c r="J279" s="226">
        <v>3</v>
      </c>
      <c r="K279" s="223"/>
      <c r="L279" s="227">
        <v>1261.4038700000001</v>
      </c>
      <c r="M279" s="227">
        <v>689.34803999999997</v>
      </c>
      <c r="N279" s="227">
        <v>1950.75191</v>
      </c>
      <c r="O279" s="222">
        <v>700.62189526116504</v>
      </c>
      <c r="P279" s="228">
        <v>243.43</v>
      </c>
      <c r="Q279" s="234">
        <v>2.8781246981110198</v>
      </c>
      <c r="R279" s="235">
        <v>1210.60986990072</v>
      </c>
      <c r="S279" s="224">
        <v>0.01</v>
      </c>
      <c r="T279" s="224">
        <v>0.01</v>
      </c>
      <c r="U279" s="231">
        <v>0</v>
      </c>
      <c r="V279" s="232">
        <v>0</v>
      </c>
      <c r="W279" s="223"/>
      <c r="X279" s="231">
        <v>761.92287499999998</v>
      </c>
      <c r="Y279" s="222">
        <v>273.64825121475099</v>
      </c>
      <c r="Z279" s="233">
        <v>573</v>
      </c>
      <c r="AA279" s="229">
        <v>0.47757111904843202</v>
      </c>
      <c r="AB279" s="230">
        <v>-980.26744245012901</v>
      </c>
      <c r="AC279" s="224"/>
      <c r="AD279" s="224"/>
      <c r="AE279" s="232">
        <v>834</v>
      </c>
      <c r="AF279" s="232">
        <v>1153</v>
      </c>
      <c r="AG279" s="223"/>
      <c r="AH279" s="236">
        <v>150.19999999999999</v>
      </c>
      <c r="AI279" s="222">
        <v>53.945049664581397</v>
      </c>
      <c r="AJ279" s="237" t="s">
        <v>54</v>
      </c>
      <c r="AK279" s="244">
        <v>0.85627062959653</v>
      </c>
      <c r="AL279" s="227">
        <v>-41.349720766768101</v>
      </c>
      <c r="AM279" s="224"/>
      <c r="AN279" s="224"/>
      <c r="AO279" s="232">
        <v>26</v>
      </c>
      <c r="AP279" s="232">
        <v>61</v>
      </c>
      <c r="AQ279" s="223"/>
      <c r="AR279" s="236">
        <v>8.8000000000000007</v>
      </c>
      <c r="AS279" s="222">
        <v>3.1605621641032999</v>
      </c>
      <c r="AT279" s="237" t="s">
        <v>55</v>
      </c>
      <c r="AU279" s="229">
        <v>0.197535135256456</v>
      </c>
      <c r="AV279" s="230">
        <v>-39.847548131242696</v>
      </c>
      <c r="AW279" s="224"/>
      <c r="AX279" s="224"/>
      <c r="AY279" s="232">
        <v>36</v>
      </c>
      <c r="AZ279" s="232">
        <v>45</v>
      </c>
      <c r="BA279" s="223"/>
      <c r="BB279" s="240">
        <v>78.8</v>
      </c>
      <c r="BC279" s="236">
        <v>28.301397560379598</v>
      </c>
      <c r="BD279" s="237" t="s">
        <v>56</v>
      </c>
      <c r="BE279" s="244">
        <v>0.88441867376186201</v>
      </c>
      <c r="BF279" s="227">
        <v>-18.495096262485401</v>
      </c>
      <c r="BG279" s="224"/>
      <c r="BH279" s="224"/>
      <c r="BI279" s="232">
        <v>11</v>
      </c>
      <c r="BJ279" s="232">
        <v>29</v>
      </c>
      <c r="BK279" s="225"/>
      <c r="BL279" s="241">
        <v>0.8</v>
      </c>
      <c r="BM279" s="238">
        <v>0.82</v>
      </c>
      <c r="BN279" s="242">
        <v>7.5000000000000002E-4</v>
      </c>
      <c r="BO279" s="243">
        <v>0.95</v>
      </c>
      <c r="BP279" s="234">
        <v>1</v>
      </c>
      <c r="BQ279" s="242">
        <v>2.5000000000000001E-3</v>
      </c>
    </row>
    <row r="280" spans="1:69" s="211" customFormat="1" ht="22.35" customHeight="1" x14ac:dyDescent="0.2">
      <c r="A280" s="221" t="s">
        <v>340</v>
      </c>
      <c r="B280" s="221" t="s">
        <v>341</v>
      </c>
      <c r="C280" s="221" t="s">
        <v>352</v>
      </c>
      <c r="D280" s="222">
        <v>4.6097894054444399</v>
      </c>
      <c r="E280" s="223"/>
      <c r="F280" s="224"/>
      <c r="G280" s="224"/>
      <c r="H280" s="225"/>
      <c r="I280" s="226">
        <v>1</v>
      </c>
      <c r="J280" s="226">
        <v>1</v>
      </c>
      <c r="K280" s="223"/>
      <c r="L280" s="227">
        <v>1167.36924</v>
      </c>
      <c r="M280" s="227">
        <v>-308.61471</v>
      </c>
      <c r="N280" s="227">
        <v>858.75453000000005</v>
      </c>
      <c r="O280" s="222">
        <v>186.28931920095101</v>
      </c>
      <c r="P280" s="228">
        <v>254.44499999999999</v>
      </c>
      <c r="Q280" s="244">
        <v>0.73213983061545895</v>
      </c>
      <c r="R280" s="227">
        <v>-422.09361887299502</v>
      </c>
      <c r="S280" s="224"/>
      <c r="T280" s="224"/>
      <c r="U280" s="231">
        <v>315</v>
      </c>
      <c r="V280" s="232">
        <v>549</v>
      </c>
      <c r="W280" s="223"/>
      <c r="X280" s="231">
        <v>1691.0319</v>
      </c>
      <c r="Y280" s="222">
        <v>366.834957363299</v>
      </c>
      <c r="Z280" s="233">
        <v>573</v>
      </c>
      <c r="AA280" s="229">
        <v>0.64020062367067898</v>
      </c>
      <c r="AB280" s="230">
        <v>-1193.3870876170699</v>
      </c>
      <c r="AC280" s="224"/>
      <c r="AD280" s="224"/>
      <c r="AE280" s="232">
        <v>951</v>
      </c>
      <c r="AF280" s="232">
        <v>1479</v>
      </c>
      <c r="AG280" s="223"/>
      <c r="AH280" s="236">
        <v>235.7</v>
      </c>
      <c r="AI280" s="222">
        <v>51.130318387565303</v>
      </c>
      <c r="AJ280" s="237" t="s">
        <v>54</v>
      </c>
      <c r="AK280" s="244">
        <v>0.81159235535817997</v>
      </c>
      <c r="AL280" s="227">
        <v>-81.435071936955694</v>
      </c>
      <c r="AM280" s="224"/>
      <c r="AN280" s="224"/>
      <c r="AO280" s="232">
        <v>55</v>
      </c>
      <c r="AP280" s="232">
        <v>113</v>
      </c>
      <c r="AQ280" s="223"/>
      <c r="AR280" s="236">
        <v>12</v>
      </c>
      <c r="AS280" s="222">
        <v>2.6031557940211498</v>
      </c>
      <c r="AT280" s="237" t="s">
        <v>55</v>
      </c>
      <c r="AU280" s="229">
        <v>0.162697237126322</v>
      </c>
      <c r="AV280" s="230">
        <v>-68.542240491925298</v>
      </c>
      <c r="AW280" s="224"/>
      <c r="AX280" s="224"/>
      <c r="AY280" s="232">
        <v>62</v>
      </c>
      <c r="AZ280" s="232">
        <v>77</v>
      </c>
      <c r="BA280" s="223"/>
      <c r="BB280" s="240">
        <v>117.2</v>
      </c>
      <c r="BC280" s="236">
        <v>25.424154921606501</v>
      </c>
      <c r="BD280" s="237" t="s">
        <v>56</v>
      </c>
      <c r="BE280" s="244">
        <v>0.79450484130020405</v>
      </c>
      <c r="BF280" s="227">
        <v>-43.884480983850501</v>
      </c>
      <c r="BG280" s="224"/>
      <c r="BH280" s="224"/>
      <c r="BI280" s="232">
        <v>31</v>
      </c>
      <c r="BJ280" s="232">
        <v>60</v>
      </c>
      <c r="BK280" s="225"/>
      <c r="BL280" s="241">
        <v>0.8</v>
      </c>
      <c r="BM280" s="244">
        <v>0.78</v>
      </c>
      <c r="BN280" s="242"/>
      <c r="BO280" s="243">
        <v>0.95</v>
      </c>
      <c r="BP280" s="234">
        <v>1</v>
      </c>
      <c r="BQ280" s="242">
        <v>2.5000000000000001E-3</v>
      </c>
    </row>
    <row r="281" spans="1:69" s="211" customFormat="1" ht="22.35" customHeight="1" x14ac:dyDescent="0.2">
      <c r="A281" s="221" t="s">
        <v>340</v>
      </c>
      <c r="B281" s="221" t="s">
        <v>341</v>
      </c>
      <c r="C281" s="221" t="s">
        <v>353</v>
      </c>
      <c r="D281" s="222">
        <v>4.6161616162222199</v>
      </c>
      <c r="E281" s="223"/>
      <c r="F281" s="224">
        <v>2.3E-2</v>
      </c>
      <c r="G281" s="224">
        <v>1.0999999999999999E-2</v>
      </c>
      <c r="H281" s="225"/>
      <c r="I281" s="226">
        <v>4</v>
      </c>
      <c r="J281" s="226">
        <v>3</v>
      </c>
      <c r="K281" s="223"/>
      <c r="L281" s="227">
        <v>2390.1131</v>
      </c>
      <c r="M281" s="227">
        <v>2494.7985399999998</v>
      </c>
      <c r="N281" s="227">
        <v>4884.9116400000003</v>
      </c>
      <c r="O281" s="222">
        <v>1058.21937057692</v>
      </c>
      <c r="P281" s="228">
        <v>212.5</v>
      </c>
      <c r="Q281" s="234">
        <v>4.9798558615384501</v>
      </c>
      <c r="R281" s="235">
        <v>3813.73133695563</v>
      </c>
      <c r="S281" s="224">
        <v>0.01</v>
      </c>
      <c r="T281" s="224">
        <v>0.01</v>
      </c>
      <c r="U281" s="231">
        <v>0</v>
      </c>
      <c r="V281" s="232">
        <v>0</v>
      </c>
      <c r="W281" s="223"/>
      <c r="X281" s="231">
        <v>2472.6652250000002</v>
      </c>
      <c r="Y281" s="222">
        <v>535.65395464285803</v>
      </c>
      <c r="Z281" s="233">
        <v>573</v>
      </c>
      <c r="AA281" s="238">
        <v>0.93482365557217795</v>
      </c>
      <c r="AB281" s="239">
        <v>-415.740956856102</v>
      </c>
      <c r="AC281" s="224">
        <v>3.0000000000000001E-3</v>
      </c>
      <c r="AD281" s="224"/>
      <c r="AE281" s="232">
        <v>173</v>
      </c>
      <c r="AF281" s="232">
        <v>702</v>
      </c>
      <c r="AG281" s="223"/>
      <c r="AH281" s="236">
        <v>167.45</v>
      </c>
      <c r="AI281" s="222">
        <v>36.274726476547798</v>
      </c>
      <c r="AJ281" s="237" t="s">
        <v>54</v>
      </c>
      <c r="AK281" s="229">
        <v>0.57578930915155302</v>
      </c>
      <c r="AL281" s="230">
        <v>-150.123454549624</v>
      </c>
      <c r="AM281" s="224"/>
      <c r="AN281" s="224"/>
      <c r="AO281" s="232">
        <v>124</v>
      </c>
      <c r="AP281" s="232">
        <v>182</v>
      </c>
      <c r="AQ281" s="223"/>
      <c r="AR281" s="236">
        <v>35.799999999999997</v>
      </c>
      <c r="AS281" s="222">
        <v>7.7553610502264103</v>
      </c>
      <c r="AT281" s="237" t="s">
        <v>55</v>
      </c>
      <c r="AU281" s="229">
        <v>0.48471006563915098</v>
      </c>
      <c r="AV281" s="230">
        <v>-44.853575758634598</v>
      </c>
      <c r="AW281" s="224"/>
      <c r="AX281" s="224"/>
      <c r="AY281" s="232">
        <v>39</v>
      </c>
      <c r="AZ281" s="232">
        <v>53</v>
      </c>
      <c r="BA281" s="223"/>
      <c r="BB281" s="240">
        <v>148.19999999999999</v>
      </c>
      <c r="BC281" s="236">
        <v>32.104595185574098</v>
      </c>
      <c r="BD281" s="237" t="s">
        <v>56</v>
      </c>
      <c r="BE281" s="238">
        <v>1.0032685995491899</v>
      </c>
      <c r="BF281" s="239">
        <v>-13.1071515172692</v>
      </c>
      <c r="BG281" s="224">
        <v>0.01</v>
      </c>
      <c r="BH281" s="224">
        <v>1E-3</v>
      </c>
      <c r="BI281" s="232">
        <v>0</v>
      </c>
      <c r="BJ281" s="232">
        <v>30</v>
      </c>
      <c r="BK281" s="225"/>
      <c r="BL281" s="241">
        <v>0.8</v>
      </c>
      <c r="BM281" s="244">
        <v>0.76</v>
      </c>
      <c r="BN281" s="242"/>
      <c r="BO281" s="243">
        <v>0.95</v>
      </c>
      <c r="BP281" s="234">
        <v>1</v>
      </c>
      <c r="BQ281" s="242">
        <v>2.5000000000000001E-3</v>
      </c>
    </row>
    <row r="282" spans="1:69" s="211" customFormat="1" ht="22.35" customHeight="1" x14ac:dyDescent="0.2">
      <c r="A282" s="221" t="s">
        <v>340</v>
      </c>
      <c r="B282" s="221" t="s">
        <v>341</v>
      </c>
      <c r="C282" s="221" t="s">
        <v>354</v>
      </c>
      <c r="D282" s="222">
        <v>6.3981030344444401</v>
      </c>
      <c r="E282" s="223"/>
      <c r="F282" s="224">
        <v>0.03</v>
      </c>
      <c r="G282" s="224">
        <v>2.3E-2</v>
      </c>
      <c r="H282" s="225"/>
      <c r="I282" s="226">
        <v>3</v>
      </c>
      <c r="J282" s="226">
        <v>3</v>
      </c>
      <c r="K282" s="223"/>
      <c r="L282" s="227">
        <v>2133.5116899999998</v>
      </c>
      <c r="M282" s="227">
        <v>3248.40218</v>
      </c>
      <c r="N282" s="227">
        <v>5381.9138700000003</v>
      </c>
      <c r="O282" s="222">
        <v>841.17336670357599</v>
      </c>
      <c r="P282" s="228">
        <v>250.489</v>
      </c>
      <c r="Q282" s="234">
        <v>3.3581249743644501</v>
      </c>
      <c r="R282" s="235">
        <v>3631.8152313535102</v>
      </c>
      <c r="S282" s="224">
        <v>0.01</v>
      </c>
      <c r="T282" s="224">
        <v>0.01</v>
      </c>
      <c r="U282" s="231">
        <v>0</v>
      </c>
      <c r="V282" s="232">
        <v>0</v>
      </c>
      <c r="W282" s="223"/>
      <c r="X282" s="231">
        <v>2489.0162500000001</v>
      </c>
      <c r="Y282" s="222">
        <v>389.024096142291</v>
      </c>
      <c r="Z282" s="233">
        <v>573</v>
      </c>
      <c r="AA282" s="229">
        <v>0.678925124157576</v>
      </c>
      <c r="AB282" s="230">
        <v>-1514.3791883004401</v>
      </c>
      <c r="AC282" s="224"/>
      <c r="AD282" s="224"/>
      <c r="AE282" s="232">
        <v>1178</v>
      </c>
      <c r="AF282" s="232">
        <v>1911</v>
      </c>
      <c r="AG282" s="223"/>
      <c r="AH282" s="236">
        <v>240.4</v>
      </c>
      <c r="AI282" s="222">
        <v>37.573636858580898</v>
      </c>
      <c r="AJ282" s="237" t="s">
        <v>54</v>
      </c>
      <c r="AK282" s="229">
        <v>0.59640693426318903</v>
      </c>
      <c r="AL282" s="230">
        <v>-199.76389635763999</v>
      </c>
      <c r="AM282" s="224"/>
      <c r="AN282" s="224"/>
      <c r="AO282" s="232">
        <v>163</v>
      </c>
      <c r="AP282" s="232">
        <v>244</v>
      </c>
      <c r="AQ282" s="223"/>
      <c r="AR282" s="236">
        <v>46.4</v>
      </c>
      <c r="AS282" s="222">
        <v>7.2521495434199403</v>
      </c>
      <c r="AT282" s="237" t="s">
        <v>55</v>
      </c>
      <c r="AU282" s="229">
        <v>0.45325934646374599</v>
      </c>
      <c r="AV282" s="230">
        <v>-65.387656217813301</v>
      </c>
      <c r="AW282" s="224"/>
      <c r="AX282" s="224"/>
      <c r="AY282" s="232">
        <v>56</v>
      </c>
      <c r="AZ282" s="232">
        <v>77</v>
      </c>
      <c r="BA282" s="223"/>
      <c r="BB282" s="240">
        <v>230.8</v>
      </c>
      <c r="BC282" s="236">
        <v>36.073192125459499</v>
      </c>
      <c r="BD282" s="237" t="s">
        <v>56</v>
      </c>
      <c r="BE282" s="234">
        <v>1.12728725392061</v>
      </c>
      <c r="BF282" s="235">
        <v>7.2246875643734798</v>
      </c>
      <c r="BG282" s="224">
        <v>0.02</v>
      </c>
      <c r="BH282" s="224">
        <v>1.2999999999999999E-2</v>
      </c>
      <c r="BI282" s="232">
        <v>0</v>
      </c>
      <c r="BJ282" s="232">
        <v>15</v>
      </c>
      <c r="BK282" s="225"/>
      <c r="BL282" s="241">
        <v>0.8</v>
      </c>
      <c r="BM282" s="244">
        <v>0.77</v>
      </c>
      <c r="BN282" s="242"/>
      <c r="BO282" s="243">
        <v>0.95</v>
      </c>
      <c r="BP282" s="234">
        <v>1</v>
      </c>
      <c r="BQ282" s="242">
        <v>2.5000000000000001E-3</v>
      </c>
    </row>
    <row r="283" spans="1:69" s="211" customFormat="1" ht="22.35" customHeight="1" x14ac:dyDescent="0.2">
      <c r="A283" s="221" t="s">
        <v>340</v>
      </c>
      <c r="B283" s="221" t="s">
        <v>341</v>
      </c>
      <c r="C283" s="221" t="s">
        <v>355</v>
      </c>
      <c r="D283" s="222">
        <v>5.0444772765555603</v>
      </c>
      <c r="E283" s="223"/>
      <c r="F283" s="224">
        <v>4.5999999999999999E-2</v>
      </c>
      <c r="G283" s="224">
        <v>2.7E-2</v>
      </c>
      <c r="H283" s="225"/>
      <c r="I283" s="226">
        <v>4</v>
      </c>
      <c r="J283" s="226">
        <v>4</v>
      </c>
      <c r="K283" s="223"/>
      <c r="L283" s="227">
        <v>1628.31556</v>
      </c>
      <c r="M283" s="227">
        <v>1035.5816299999999</v>
      </c>
      <c r="N283" s="227">
        <v>2663.8971900000001</v>
      </c>
      <c r="O283" s="222">
        <v>528.08190897807901</v>
      </c>
      <c r="P283" s="228">
        <v>216.363</v>
      </c>
      <c r="Q283" s="234">
        <v>2.4407218839546498</v>
      </c>
      <c r="R283" s="235">
        <v>1472.0466352097701</v>
      </c>
      <c r="S283" s="224">
        <v>0.01</v>
      </c>
      <c r="T283" s="224">
        <v>0.01</v>
      </c>
      <c r="U283" s="231">
        <v>0</v>
      </c>
      <c r="V283" s="232">
        <v>0</v>
      </c>
      <c r="W283" s="223"/>
      <c r="X283" s="231">
        <v>3040.14626</v>
      </c>
      <c r="Y283" s="222">
        <v>602.66824357188</v>
      </c>
      <c r="Z283" s="233">
        <v>573</v>
      </c>
      <c r="AA283" s="238">
        <v>1.0517770393924599</v>
      </c>
      <c r="AB283" s="239">
        <v>-116.263883577239</v>
      </c>
      <c r="AC283" s="224">
        <v>1.6E-2</v>
      </c>
      <c r="AD283" s="224">
        <v>5.0000000000000001E-3</v>
      </c>
      <c r="AE283" s="232">
        <v>0</v>
      </c>
      <c r="AF283" s="232">
        <v>429</v>
      </c>
      <c r="AG283" s="223"/>
      <c r="AH283" s="236">
        <v>189.6</v>
      </c>
      <c r="AI283" s="222">
        <v>37.585658454875997</v>
      </c>
      <c r="AJ283" s="237" t="s">
        <v>54</v>
      </c>
      <c r="AK283" s="229">
        <v>0.59659775325199904</v>
      </c>
      <c r="AL283" s="230">
        <v>-157.439858717916</v>
      </c>
      <c r="AM283" s="224"/>
      <c r="AN283" s="224"/>
      <c r="AO283" s="232">
        <v>129</v>
      </c>
      <c r="AP283" s="232">
        <v>192</v>
      </c>
      <c r="AQ283" s="223"/>
      <c r="AR283" s="236">
        <v>26.8</v>
      </c>
      <c r="AS283" s="222">
        <v>5.3127407520605301</v>
      </c>
      <c r="AT283" s="237" t="s">
        <v>55</v>
      </c>
      <c r="AU283" s="229">
        <v>0.33204629700378302</v>
      </c>
      <c r="AV283" s="230">
        <v>-61.337106975978699</v>
      </c>
      <c r="AW283" s="224"/>
      <c r="AX283" s="224"/>
      <c r="AY283" s="232">
        <v>54</v>
      </c>
      <c r="AZ283" s="232">
        <v>71</v>
      </c>
      <c r="BA283" s="223"/>
      <c r="BB283" s="240">
        <v>180.2</v>
      </c>
      <c r="BC283" s="236">
        <v>35.722234459750197</v>
      </c>
      <c r="BD283" s="237" t="s">
        <v>56</v>
      </c>
      <c r="BE283" s="234">
        <v>1.1163198268672001</v>
      </c>
      <c r="BF283" s="235">
        <v>3.9257860480425402</v>
      </c>
      <c r="BG283" s="224">
        <v>0.02</v>
      </c>
      <c r="BH283" s="224">
        <v>1.2E-2</v>
      </c>
      <c r="BI283" s="232">
        <v>0</v>
      </c>
      <c r="BJ283" s="232">
        <v>14</v>
      </c>
      <c r="BK283" s="225"/>
      <c r="BL283" s="241">
        <v>0.8</v>
      </c>
      <c r="BM283" s="244">
        <v>0.79</v>
      </c>
      <c r="BN283" s="242"/>
      <c r="BO283" s="243">
        <v>0.95</v>
      </c>
      <c r="BP283" s="234">
        <v>1</v>
      </c>
      <c r="BQ283" s="242">
        <v>2.5000000000000001E-3</v>
      </c>
    </row>
    <row r="284" spans="1:69" s="211" customFormat="1" ht="22.35" customHeight="1" x14ac:dyDescent="0.2">
      <c r="A284" s="221" t="s">
        <v>340</v>
      </c>
      <c r="B284" s="221" t="s">
        <v>341</v>
      </c>
      <c r="C284" s="221" t="s">
        <v>356</v>
      </c>
      <c r="D284" s="222">
        <v>3.2630691803333298</v>
      </c>
      <c r="E284" s="223"/>
      <c r="F284" s="224">
        <v>4.2999999999999997E-2</v>
      </c>
      <c r="G284" s="224">
        <v>2.4E-2</v>
      </c>
      <c r="H284" s="225"/>
      <c r="I284" s="226">
        <v>6</v>
      </c>
      <c r="J284" s="226">
        <v>4</v>
      </c>
      <c r="K284" s="223"/>
      <c r="L284" s="227">
        <v>2012.2664299999999</v>
      </c>
      <c r="M284" s="227">
        <v>740.51541999999995</v>
      </c>
      <c r="N284" s="227">
        <v>2752.7818499999998</v>
      </c>
      <c r="O284" s="222">
        <v>843.61737305207703</v>
      </c>
      <c r="P284" s="228">
        <v>249.714</v>
      </c>
      <c r="Q284" s="234">
        <v>3.3783343066551201</v>
      </c>
      <c r="R284" s="235">
        <v>1862.9830594308501</v>
      </c>
      <c r="S284" s="224">
        <v>0.01</v>
      </c>
      <c r="T284" s="224">
        <v>0.01</v>
      </c>
      <c r="U284" s="231">
        <v>0</v>
      </c>
      <c r="V284" s="232">
        <v>0</v>
      </c>
      <c r="W284" s="223"/>
      <c r="X284" s="231">
        <v>1762.0960600000001</v>
      </c>
      <c r="Y284" s="222">
        <v>540.01186080277796</v>
      </c>
      <c r="Z284" s="233">
        <v>573</v>
      </c>
      <c r="AA284" s="238">
        <v>0.94242907644463902</v>
      </c>
      <c r="AB284" s="239">
        <v>-279.65853524145001</v>
      </c>
      <c r="AC284" s="224">
        <v>4.0000000000000001E-3</v>
      </c>
      <c r="AD284" s="224"/>
      <c r="AE284" s="232">
        <v>108</v>
      </c>
      <c r="AF284" s="232">
        <v>482</v>
      </c>
      <c r="AG284" s="223"/>
      <c r="AH284" s="236">
        <v>204.3</v>
      </c>
      <c r="AI284" s="222">
        <v>62.609766667322098</v>
      </c>
      <c r="AJ284" s="237" t="s">
        <v>54</v>
      </c>
      <c r="AK284" s="238">
        <v>0.99380582011622398</v>
      </c>
      <c r="AL284" s="239">
        <v>-20.186107330211801</v>
      </c>
      <c r="AM284" s="224">
        <v>8.9999999999999993E-3</v>
      </c>
      <c r="AN284" s="224"/>
      <c r="AO284" s="232">
        <v>2</v>
      </c>
      <c r="AP284" s="232">
        <v>43</v>
      </c>
      <c r="AQ284" s="223"/>
      <c r="AR284" s="236">
        <v>12.3</v>
      </c>
      <c r="AS284" s="222">
        <v>3.7694573177095498</v>
      </c>
      <c r="AT284" s="237" t="s">
        <v>55</v>
      </c>
      <c r="AU284" s="229">
        <v>0.235591082356847</v>
      </c>
      <c r="AV284" s="230">
        <v>-44.712344718783903</v>
      </c>
      <c r="AW284" s="224"/>
      <c r="AX284" s="224"/>
      <c r="AY284" s="232">
        <v>40</v>
      </c>
      <c r="AZ284" s="232">
        <v>51</v>
      </c>
      <c r="BA284" s="223"/>
      <c r="BB284" s="240">
        <v>119.2</v>
      </c>
      <c r="BC284" s="236">
        <v>36.5300253878844</v>
      </c>
      <c r="BD284" s="237" t="s">
        <v>56</v>
      </c>
      <c r="BE284" s="234">
        <v>1.14156329337139</v>
      </c>
      <c r="BF284" s="235">
        <v>5.1753105624321201</v>
      </c>
      <c r="BG284" s="224">
        <v>0.02</v>
      </c>
      <c r="BH284" s="224">
        <v>1.4E-2</v>
      </c>
      <c r="BI284" s="232">
        <v>0</v>
      </c>
      <c r="BJ284" s="232">
        <v>7</v>
      </c>
      <c r="BK284" s="225"/>
      <c r="BL284" s="241">
        <v>0.8</v>
      </c>
      <c r="BM284" s="238">
        <v>0.84</v>
      </c>
      <c r="BN284" s="242">
        <v>1.5E-3</v>
      </c>
      <c r="BO284" s="243">
        <v>0.95</v>
      </c>
      <c r="BP284" s="234">
        <v>1</v>
      </c>
      <c r="BQ284" s="242">
        <v>2.5000000000000001E-3</v>
      </c>
    </row>
    <row r="285" spans="1:69" s="211" customFormat="1" ht="22.35" customHeight="1" x14ac:dyDescent="0.2">
      <c r="A285" s="221" t="s">
        <v>340</v>
      </c>
      <c r="B285" s="221" t="s">
        <v>341</v>
      </c>
      <c r="C285" s="221" t="s">
        <v>357</v>
      </c>
      <c r="D285" s="222">
        <v>2.6091871092222201</v>
      </c>
      <c r="E285" s="223"/>
      <c r="F285" s="224">
        <v>5.5E-2</v>
      </c>
      <c r="G285" s="224">
        <v>0.05</v>
      </c>
      <c r="H285" s="225"/>
      <c r="I285" s="226">
        <v>6</v>
      </c>
      <c r="J285" s="226">
        <v>5</v>
      </c>
      <c r="K285" s="223"/>
      <c r="L285" s="227">
        <v>770.84589000000005</v>
      </c>
      <c r="M285" s="227">
        <v>213.54956999999999</v>
      </c>
      <c r="N285" s="227">
        <v>984.39545999999996</v>
      </c>
      <c r="O285" s="222">
        <v>377.28051641855598</v>
      </c>
      <c r="P285" s="228">
        <v>212.5</v>
      </c>
      <c r="Q285" s="234">
        <v>1.77543772432262</v>
      </c>
      <c r="R285" s="235">
        <v>378.93359130498402</v>
      </c>
      <c r="S285" s="224">
        <v>0.01</v>
      </c>
      <c r="T285" s="224">
        <v>0.01</v>
      </c>
      <c r="U285" s="231">
        <v>0</v>
      </c>
      <c r="V285" s="232">
        <v>0</v>
      </c>
      <c r="W285" s="223"/>
      <c r="X285" s="231">
        <v>1832.7377650000001</v>
      </c>
      <c r="Y285" s="222">
        <v>702.41714690454899</v>
      </c>
      <c r="Z285" s="233">
        <v>573</v>
      </c>
      <c r="AA285" s="234">
        <v>1.22585889512138</v>
      </c>
      <c r="AB285" s="235">
        <v>200.127643765909</v>
      </c>
      <c r="AC285" s="224">
        <v>0.02</v>
      </c>
      <c r="AD285" s="224">
        <v>0.02</v>
      </c>
      <c r="AE285" s="232">
        <v>0</v>
      </c>
      <c r="AF285" s="232">
        <v>0</v>
      </c>
      <c r="AG285" s="223"/>
      <c r="AH285" s="236">
        <v>156.4</v>
      </c>
      <c r="AI285" s="222">
        <v>59.942040740275502</v>
      </c>
      <c r="AJ285" s="237" t="s">
        <v>54</v>
      </c>
      <c r="AK285" s="238">
        <v>0.95146096413135595</v>
      </c>
      <c r="AL285" s="239">
        <v>-23.101636366051899</v>
      </c>
      <c r="AM285" s="224">
        <v>5.0000000000000001E-3</v>
      </c>
      <c r="AN285" s="224"/>
      <c r="AO285" s="232">
        <v>8</v>
      </c>
      <c r="AP285" s="232">
        <v>41</v>
      </c>
      <c r="AQ285" s="223"/>
      <c r="AR285" s="236">
        <v>12.2</v>
      </c>
      <c r="AS285" s="222">
        <v>4.6757857866455304</v>
      </c>
      <c r="AT285" s="237" t="s">
        <v>55</v>
      </c>
      <c r="AU285" s="229">
        <v>0.29223661166534598</v>
      </c>
      <c r="AV285" s="230">
        <v>-33.387717172330603</v>
      </c>
      <c r="AW285" s="224"/>
      <c r="AX285" s="224"/>
      <c r="AY285" s="232">
        <v>30</v>
      </c>
      <c r="AZ285" s="232">
        <v>38</v>
      </c>
      <c r="BA285" s="223"/>
      <c r="BB285" s="240">
        <v>117</v>
      </c>
      <c r="BC285" s="236">
        <v>44.841552216190699</v>
      </c>
      <c r="BD285" s="237" t="s">
        <v>56</v>
      </c>
      <c r="BE285" s="234">
        <v>1.40129850675596</v>
      </c>
      <c r="BF285" s="235">
        <v>25.824565655338699</v>
      </c>
      <c r="BG285" s="224">
        <v>0.02</v>
      </c>
      <c r="BH285" s="224">
        <v>0.02</v>
      </c>
      <c r="BI285" s="232">
        <v>0</v>
      </c>
      <c r="BJ285" s="232">
        <v>0</v>
      </c>
      <c r="BK285" s="225"/>
      <c r="BL285" s="241">
        <v>0.8</v>
      </c>
      <c r="BM285" s="238">
        <v>0.85</v>
      </c>
      <c r="BN285" s="242">
        <v>1.8749999999999999E-3</v>
      </c>
      <c r="BO285" s="243">
        <v>0.95</v>
      </c>
      <c r="BP285" s="234">
        <v>1</v>
      </c>
      <c r="BQ285" s="242">
        <v>2.5000000000000001E-3</v>
      </c>
    </row>
    <row r="286" spans="1:69" s="211" customFormat="1" ht="22.35" customHeight="1" x14ac:dyDescent="0.2">
      <c r="A286" s="221" t="s">
        <v>340</v>
      </c>
      <c r="B286" s="221" t="s">
        <v>358</v>
      </c>
      <c r="C286" s="221" t="s">
        <v>359</v>
      </c>
      <c r="D286" s="222">
        <v>2.5673660413333299</v>
      </c>
      <c r="E286" s="223"/>
      <c r="F286" s="224">
        <v>7.0000000000000007E-2</v>
      </c>
      <c r="G286" s="224">
        <v>7.0000000000000007E-2</v>
      </c>
      <c r="H286" s="225"/>
      <c r="I286" s="226">
        <v>6</v>
      </c>
      <c r="J286" s="226">
        <v>6</v>
      </c>
      <c r="K286" s="223"/>
      <c r="L286" s="227">
        <v>2034.1059399999999</v>
      </c>
      <c r="M286" s="227">
        <v>1152.6286</v>
      </c>
      <c r="N286" s="227">
        <v>3186.7345399999999</v>
      </c>
      <c r="O286" s="222">
        <v>1241.2466663090299</v>
      </c>
      <c r="P286" s="228">
        <v>212.5</v>
      </c>
      <c r="Q286" s="234">
        <v>5.8411607826307304</v>
      </c>
      <c r="R286" s="235">
        <v>2590.9772501085999</v>
      </c>
      <c r="S286" s="224">
        <v>0.01</v>
      </c>
      <c r="T286" s="224">
        <v>0.01</v>
      </c>
      <c r="U286" s="231">
        <v>0</v>
      </c>
      <c r="V286" s="232">
        <v>0</v>
      </c>
      <c r="W286" s="223"/>
      <c r="X286" s="231">
        <v>2154.8023699999999</v>
      </c>
      <c r="Y286" s="222">
        <v>839.30469411402203</v>
      </c>
      <c r="Z286" s="233">
        <v>573</v>
      </c>
      <c r="AA286" s="234">
        <v>1.46475513806985</v>
      </c>
      <c r="AB286" s="235">
        <v>548.36036008107499</v>
      </c>
      <c r="AC286" s="224">
        <v>0.02</v>
      </c>
      <c r="AD286" s="224">
        <v>0.02</v>
      </c>
      <c r="AE286" s="232">
        <v>0</v>
      </c>
      <c r="AF286" s="232">
        <v>0</v>
      </c>
      <c r="AG286" s="223"/>
      <c r="AH286" s="236">
        <v>210.8</v>
      </c>
      <c r="AI286" s="222">
        <v>82.1074971804657</v>
      </c>
      <c r="AJ286" s="237" t="s">
        <v>54</v>
      </c>
      <c r="AK286" s="234">
        <v>1.30329360603914</v>
      </c>
      <c r="AL286" s="235">
        <v>34.175485820432201</v>
      </c>
      <c r="AM286" s="224">
        <v>0.02</v>
      </c>
      <c r="AN286" s="224">
        <v>0.02</v>
      </c>
      <c r="AO286" s="232">
        <v>0</v>
      </c>
      <c r="AP286" s="232">
        <v>0</v>
      </c>
      <c r="AQ286" s="223"/>
      <c r="AR286" s="236">
        <v>22.4</v>
      </c>
      <c r="AS286" s="222">
        <v>8.7248953360646606</v>
      </c>
      <c r="AT286" s="237" t="s">
        <v>55</v>
      </c>
      <c r="AU286" s="229">
        <v>0.54530595850404096</v>
      </c>
      <c r="AV286" s="230">
        <v>-22.457019474175901</v>
      </c>
      <c r="AW286" s="224"/>
      <c r="AX286" s="224"/>
      <c r="AY286" s="232">
        <v>19</v>
      </c>
      <c r="AZ286" s="232">
        <v>27</v>
      </c>
      <c r="BA286" s="223"/>
      <c r="BB286" s="240">
        <v>130.4</v>
      </c>
      <c r="BC286" s="236">
        <v>50.791354992090703</v>
      </c>
      <c r="BD286" s="237" t="s">
        <v>56</v>
      </c>
      <c r="BE286" s="234">
        <v>1.58722984350283</v>
      </c>
      <c r="BF286" s="235">
        <v>40.6859610516481</v>
      </c>
      <c r="BG286" s="224">
        <v>0.02</v>
      </c>
      <c r="BH286" s="224">
        <v>0.02</v>
      </c>
      <c r="BI286" s="232">
        <v>0</v>
      </c>
      <c r="BJ286" s="232">
        <v>0</v>
      </c>
      <c r="BK286" s="225"/>
      <c r="BL286" s="241">
        <v>0.8</v>
      </c>
      <c r="BM286" s="238">
        <v>0.81</v>
      </c>
      <c r="BN286" s="242">
        <v>3.7500000000000001E-4</v>
      </c>
      <c r="BO286" s="243">
        <v>0.95</v>
      </c>
      <c r="BP286" s="234">
        <v>1</v>
      </c>
      <c r="BQ286" s="242">
        <v>2.5000000000000001E-3</v>
      </c>
    </row>
    <row r="287" spans="1:69" s="211" customFormat="1" ht="22.35" customHeight="1" x14ac:dyDescent="0.2">
      <c r="A287" s="221" t="s">
        <v>340</v>
      </c>
      <c r="B287" s="221" t="s">
        <v>358</v>
      </c>
      <c r="C287" s="221" t="s">
        <v>360</v>
      </c>
      <c r="D287" s="222">
        <v>2.9278143756666699</v>
      </c>
      <c r="E287" s="223"/>
      <c r="F287" s="224">
        <v>6.6000000000000003E-2</v>
      </c>
      <c r="G287" s="224">
        <v>5.0999999999999997E-2</v>
      </c>
      <c r="H287" s="225"/>
      <c r="I287" s="226">
        <v>6</v>
      </c>
      <c r="J287" s="226">
        <v>6</v>
      </c>
      <c r="K287" s="223"/>
      <c r="L287" s="227">
        <v>1753.98982</v>
      </c>
      <c r="M287" s="227">
        <v>973.01892999999995</v>
      </c>
      <c r="N287" s="227">
        <v>2727.00875</v>
      </c>
      <c r="O287" s="222">
        <v>931.41449562664195</v>
      </c>
      <c r="P287" s="228">
        <v>220.75700000000001</v>
      </c>
      <c r="Q287" s="234">
        <v>4.2191844228116997</v>
      </c>
      <c r="R287" s="235">
        <v>2021.21036420308</v>
      </c>
      <c r="S287" s="224">
        <v>0.01</v>
      </c>
      <c r="T287" s="224">
        <v>0.01</v>
      </c>
      <c r="U287" s="231">
        <v>0</v>
      </c>
      <c r="V287" s="232">
        <v>0</v>
      </c>
      <c r="W287" s="223"/>
      <c r="X287" s="231">
        <v>1927.3906050000001</v>
      </c>
      <c r="Y287" s="222">
        <v>658.303552649621</v>
      </c>
      <c r="Z287" s="233">
        <v>573</v>
      </c>
      <c r="AA287" s="234">
        <v>1.14887181963285</v>
      </c>
      <c r="AB287" s="235">
        <v>95.410305115354006</v>
      </c>
      <c r="AC287" s="224">
        <v>0.02</v>
      </c>
      <c r="AD287" s="224">
        <v>1.4999999999999999E-2</v>
      </c>
      <c r="AE287" s="232">
        <v>0</v>
      </c>
      <c r="AF287" s="232">
        <v>86</v>
      </c>
      <c r="AG287" s="223"/>
      <c r="AH287" s="236">
        <v>195.4</v>
      </c>
      <c r="AI287" s="222">
        <v>66.739203695421196</v>
      </c>
      <c r="AJ287" s="237" t="s">
        <v>54</v>
      </c>
      <c r="AK287" s="238">
        <v>1.0593524396098599</v>
      </c>
      <c r="AL287" s="239">
        <v>-6.0219177883642496</v>
      </c>
      <c r="AM287" s="224">
        <v>1.6E-2</v>
      </c>
      <c r="AN287" s="224">
        <v>6.0000000000000001E-3</v>
      </c>
      <c r="AO287" s="232">
        <v>0</v>
      </c>
      <c r="AP287" s="232">
        <v>26</v>
      </c>
      <c r="AQ287" s="223"/>
      <c r="AR287" s="236">
        <v>11</v>
      </c>
      <c r="AS287" s="222">
        <v>3.7570687853103002</v>
      </c>
      <c r="AT287" s="237" t="s">
        <v>55</v>
      </c>
      <c r="AU287" s="229">
        <v>0.23481679908189401</v>
      </c>
      <c r="AV287" s="230">
        <v>-40.154772771648098</v>
      </c>
      <c r="AW287" s="224"/>
      <c r="AX287" s="224"/>
      <c r="AY287" s="232">
        <v>36</v>
      </c>
      <c r="AZ287" s="232">
        <v>46</v>
      </c>
      <c r="BA287" s="223"/>
      <c r="BB287" s="240">
        <v>115.8</v>
      </c>
      <c r="BC287" s="236">
        <v>39.551687758084803</v>
      </c>
      <c r="BD287" s="237" t="s">
        <v>56</v>
      </c>
      <c r="BE287" s="234">
        <v>1.2359902424401501</v>
      </c>
      <c r="BF287" s="235">
        <v>13.490454456703899</v>
      </c>
      <c r="BG287" s="224">
        <v>0.02</v>
      </c>
      <c r="BH287" s="224">
        <v>0.02</v>
      </c>
      <c r="BI287" s="232">
        <v>0</v>
      </c>
      <c r="BJ287" s="232">
        <v>0</v>
      </c>
      <c r="BK287" s="225"/>
      <c r="BL287" s="241">
        <v>0.8</v>
      </c>
      <c r="BM287" s="238">
        <v>0.87</v>
      </c>
      <c r="BN287" s="242">
        <v>2.6250000000000002E-3</v>
      </c>
      <c r="BO287" s="243">
        <v>0.95</v>
      </c>
      <c r="BP287" s="234">
        <v>1</v>
      </c>
      <c r="BQ287" s="242">
        <v>2.5000000000000001E-3</v>
      </c>
    </row>
    <row r="288" spans="1:69" s="211" customFormat="1" ht="22.35" customHeight="1" x14ac:dyDescent="0.2">
      <c r="A288" s="221" t="s">
        <v>340</v>
      </c>
      <c r="B288" s="221" t="s">
        <v>358</v>
      </c>
      <c r="C288" s="221" t="s">
        <v>361</v>
      </c>
      <c r="D288" s="222">
        <v>3.9837235643333302</v>
      </c>
      <c r="E288" s="223"/>
      <c r="F288" s="224">
        <v>3.3000000000000002E-2</v>
      </c>
      <c r="G288" s="224">
        <v>1.4999999999999999E-2</v>
      </c>
      <c r="H288" s="225"/>
      <c r="I288" s="226">
        <v>5</v>
      </c>
      <c r="J288" s="226">
        <v>4</v>
      </c>
      <c r="K288" s="223"/>
      <c r="L288" s="227">
        <v>1836.29216</v>
      </c>
      <c r="M288" s="227">
        <v>307.35566</v>
      </c>
      <c r="N288" s="227">
        <v>2143.6478200000001</v>
      </c>
      <c r="O288" s="222">
        <v>538.101548810336</v>
      </c>
      <c r="P288" s="228">
        <v>222.58099999999999</v>
      </c>
      <c r="Q288" s="234">
        <v>2.4175538289896101</v>
      </c>
      <c r="R288" s="235">
        <v>1175.37013725722</v>
      </c>
      <c r="S288" s="224">
        <v>0.01</v>
      </c>
      <c r="T288" s="224">
        <v>0.01</v>
      </c>
      <c r="U288" s="231">
        <v>0</v>
      </c>
      <c r="V288" s="232">
        <v>0</v>
      </c>
      <c r="W288" s="223"/>
      <c r="X288" s="231">
        <v>2239.0603099999998</v>
      </c>
      <c r="Y288" s="222">
        <v>562.05212882905005</v>
      </c>
      <c r="Z288" s="233">
        <v>573</v>
      </c>
      <c r="AA288" s="238">
        <v>0.98089376758996405</v>
      </c>
      <c r="AB288" s="239">
        <v>-253.61926378039399</v>
      </c>
      <c r="AC288" s="224">
        <v>8.0000000000000002E-3</v>
      </c>
      <c r="AD288" s="224"/>
      <c r="AE288" s="232">
        <v>44</v>
      </c>
      <c r="AF288" s="232">
        <v>501</v>
      </c>
      <c r="AG288" s="223"/>
      <c r="AH288" s="236">
        <v>191.45</v>
      </c>
      <c r="AI288" s="222">
        <v>48.058053453826602</v>
      </c>
      <c r="AJ288" s="237" t="s">
        <v>54</v>
      </c>
      <c r="AK288" s="244">
        <v>0.76282624529883503</v>
      </c>
      <c r="AL288" s="227">
        <v>-82.614246331875805</v>
      </c>
      <c r="AM288" s="224"/>
      <c r="AN288" s="224"/>
      <c r="AO288" s="232">
        <v>60</v>
      </c>
      <c r="AP288" s="232">
        <v>110</v>
      </c>
      <c r="AQ288" s="223"/>
      <c r="AR288" s="236">
        <v>12.8</v>
      </c>
      <c r="AS288" s="222">
        <v>3.2130743494853999</v>
      </c>
      <c r="AT288" s="237" t="s">
        <v>55</v>
      </c>
      <c r="AU288" s="229">
        <v>0.200817146842837</v>
      </c>
      <c r="AV288" s="230">
        <v>-56.803618116031899</v>
      </c>
      <c r="AW288" s="224"/>
      <c r="AX288" s="224"/>
      <c r="AY288" s="232">
        <v>51</v>
      </c>
      <c r="AZ288" s="232">
        <v>64</v>
      </c>
      <c r="BA288" s="223"/>
      <c r="BB288" s="240">
        <v>133.6</v>
      </c>
      <c r="BC288" s="236">
        <v>33.536463522753898</v>
      </c>
      <c r="BD288" s="237" t="s">
        <v>56</v>
      </c>
      <c r="BE288" s="238">
        <v>1.04801448508606</v>
      </c>
      <c r="BF288" s="239">
        <v>-5.6072362320638804</v>
      </c>
      <c r="BG288" s="224">
        <v>1.4999999999999999E-2</v>
      </c>
      <c r="BH288" s="224">
        <v>5.0000000000000001E-3</v>
      </c>
      <c r="BI288" s="232">
        <v>0</v>
      </c>
      <c r="BJ288" s="232">
        <v>20</v>
      </c>
      <c r="BK288" s="225"/>
      <c r="BL288" s="241">
        <v>0.8</v>
      </c>
      <c r="BM288" s="238">
        <v>0.82</v>
      </c>
      <c r="BN288" s="242">
        <v>7.5000000000000002E-4</v>
      </c>
      <c r="BO288" s="243">
        <v>0.95</v>
      </c>
      <c r="BP288" s="234">
        <v>1</v>
      </c>
      <c r="BQ288" s="242">
        <v>2.5000000000000001E-3</v>
      </c>
    </row>
    <row r="289" spans="1:69" s="211" customFormat="1" ht="22.35" customHeight="1" x14ac:dyDescent="0.2">
      <c r="A289" s="221" t="s">
        <v>340</v>
      </c>
      <c r="B289" s="221" t="s">
        <v>358</v>
      </c>
      <c r="C289" s="221" t="s">
        <v>362</v>
      </c>
      <c r="D289" s="222">
        <v>5.0138817773333297</v>
      </c>
      <c r="E289" s="223"/>
      <c r="F289" s="224">
        <v>0.05</v>
      </c>
      <c r="G289" s="224">
        <v>3.3000000000000002E-2</v>
      </c>
      <c r="H289" s="225"/>
      <c r="I289" s="226">
        <v>6</v>
      </c>
      <c r="J289" s="226">
        <v>5</v>
      </c>
      <c r="K289" s="223"/>
      <c r="L289" s="227">
        <v>4991.2485999999999</v>
      </c>
      <c r="M289" s="227">
        <v>4309.3116399999999</v>
      </c>
      <c r="N289" s="227">
        <v>9300.5602400000007</v>
      </c>
      <c r="O289" s="222">
        <v>1854.96201407177</v>
      </c>
      <c r="P289" s="228">
        <v>268.01799999999997</v>
      </c>
      <c r="Q289" s="234">
        <v>6.92103520685838</v>
      </c>
      <c r="R289" s="235">
        <v>7833.1191017125202</v>
      </c>
      <c r="S289" s="224">
        <v>0.01</v>
      </c>
      <c r="T289" s="224">
        <v>0.01</v>
      </c>
      <c r="U289" s="231">
        <v>0</v>
      </c>
      <c r="V289" s="232">
        <v>0</v>
      </c>
      <c r="W289" s="223"/>
      <c r="X289" s="231">
        <v>3096.300835</v>
      </c>
      <c r="Y289" s="222">
        <v>617.545640784292</v>
      </c>
      <c r="Z289" s="233">
        <v>573</v>
      </c>
      <c r="AA289" s="238">
        <v>1.07774108339318</v>
      </c>
      <c r="AB289" s="239">
        <v>-40.965215185901798</v>
      </c>
      <c r="AC289" s="224">
        <v>1.7999999999999999E-2</v>
      </c>
      <c r="AD289" s="224">
        <v>8.0000000000000002E-3</v>
      </c>
      <c r="AE289" s="232">
        <v>0</v>
      </c>
      <c r="AF289" s="232">
        <v>352</v>
      </c>
      <c r="AG289" s="223"/>
      <c r="AH289" s="236">
        <v>292.14999999999998</v>
      </c>
      <c r="AI289" s="222">
        <v>58.2682266902954</v>
      </c>
      <c r="AJ289" s="237" t="s">
        <v>54</v>
      </c>
      <c r="AK289" s="238">
        <v>0.92489248714754602</v>
      </c>
      <c r="AL289" s="239">
        <v>-52.785010753423798</v>
      </c>
      <c r="AM289" s="224">
        <v>2E-3</v>
      </c>
      <c r="AN289" s="224"/>
      <c r="AO289" s="232">
        <v>24</v>
      </c>
      <c r="AP289" s="232">
        <v>87</v>
      </c>
      <c r="AQ289" s="223"/>
      <c r="AR289" s="236">
        <v>52.5</v>
      </c>
      <c r="AS289" s="222">
        <v>10.4709289790878</v>
      </c>
      <c r="AT289" s="237" t="s">
        <v>55</v>
      </c>
      <c r="AU289" s="229">
        <v>0.65443306119298905</v>
      </c>
      <c r="AV289" s="230">
        <v>-35.102542413567903</v>
      </c>
      <c r="AW289" s="224"/>
      <c r="AX289" s="224"/>
      <c r="AY289" s="232">
        <v>28</v>
      </c>
      <c r="AZ289" s="232">
        <v>44</v>
      </c>
      <c r="BA289" s="223"/>
      <c r="BB289" s="240">
        <v>184.2</v>
      </c>
      <c r="BC289" s="236">
        <v>36.738002246628199</v>
      </c>
      <c r="BD289" s="237" t="s">
        <v>56</v>
      </c>
      <c r="BE289" s="234">
        <v>1.1480625702071301</v>
      </c>
      <c r="BF289" s="235">
        <v>8.9949151728641308</v>
      </c>
      <c r="BG289" s="224">
        <v>0.02</v>
      </c>
      <c r="BH289" s="224">
        <v>1.4999999999999999E-2</v>
      </c>
      <c r="BI289" s="232">
        <v>0</v>
      </c>
      <c r="BJ289" s="232">
        <v>9</v>
      </c>
      <c r="BK289" s="225"/>
      <c r="BL289" s="241">
        <v>0.8</v>
      </c>
      <c r="BM289" s="238">
        <v>0.82</v>
      </c>
      <c r="BN289" s="242">
        <v>7.5000000000000002E-4</v>
      </c>
      <c r="BO289" s="243">
        <v>0.95</v>
      </c>
      <c r="BP289" s="234">
        <v>1</v>
      </c>
      <c r="BQ289" s="242">
        <v>2.5000000000000001E-3</v>
      </c>
    </row>
    <row r="290" spans="1:69" s="211" customFormat="1" ht="22.35" customHeight="1" x14ac:dyDescent="0.2">
      <c r="A290" s="221" t="s">
        <v>340</v>
      </c>
      <c r="B290" s="221" t="s">
        <v>358</v>
      </c>
      <c r="C290" s="221" t="s">
        <v>363</v>
      </c>
      <c r="D290" s="222">
        <v>1.8723945526666701</v>
      </c>
      <c r="E290" s="223"/>
      <c r="F290" s="224">
        <v>7.0000000000000007E-2</v>
      </c>
      <c r="G290" s="224">
        <v>6.8500000000000005E-2</v>
      </c>
      <c r="H290" s="225"/>
      <c r="I290" s="226">
        <v>6</v>
      </c>
      <c r="J290" s="226">
        <v>6</v>
      </c>
      <c r="K290" s="223"/>
      <c r="L290" s="227">
        <v>261.03483999999997</v>
      </c>
      <c r="M290" s="227">
        <v>216.99044000000001</v>
      </c>
      <c r="N290" s="227">
        <v>478.02528000000001</v>
      </c>
      <c r="O290" s="222">
        <v>255.30157589873099</v>
      </c>
      <c r="P290" s="228">
        <v>218.47</v>
      </c>
      <c r="Q290" s="234">
        <v>1.1685887119454901</v>
      </c>
      <c r="R290" s="235">
        <v>31.329534590172599</v>
      </c>
      <c r="S290" s="224">
        <v>0.01</v>
      </c>
      <c r="T290" s="224">
        <v>8.5000000000000006E-3</v>
      </c>
      <c r="U290" s="231">
        <v>0</v>
      </c>
      <c r="V290" s="232">
        <v>13</v>
      </c>
      <c r="W290" s="223"/>
      <c r="X290" s="231">
        <v>1861.2276099999999</v>
      </c>
      <c r="Y290" s="222">
        <v>994.03600985125502</v>
      </c>
      <c r="Z290" s="233">
        <v>573</v>
      </c>
      <c r="AA290" s="234">
        <v>1.73479233830935</v>
      </c>
      <c r="AB290" s="235">
        <v>689.64038008362195</v>
      </c>
      <c r="AC290" s="224">
        <v>0.02</v>
      </c>
      <c r="AD290" s="224">
        <v>0.02</v>
      </c>
      <c r="AE290" s="232">
        <v>0</v>
      </c>
      <c r="AF290" s="232">
        <v>0</v>
      </c>
      <c r="AG290" s="223"/>
      <c r="AH290" s="236">
        <v>173</v>
      </c>
      <c r="AI290" s="222">
        <v>92.395056241545404</v>
      </c>
      <c r="AJ290" s="237" t="s">
        <v>54</v>
      </c>
      <c r="AK290" s="234">
        <v>1.4665881943102499</v>
      </c>
      <c r="AL290" s="235">
        <v>44.186744354743801</v>
      </c>
      <c r="AM290" s="224">
        <v>0.02</v>
      </c>
      <c r="AN290" s="224">
        <v>0.02</v>
      </c>
      <c r="AO290" s="232">
        <v>0</v>
      </c>
      <c r="AP290" s="232">
        <v>0</v>
      </c>
      <c r="AQ290" s="223"/>
      <c r="AR290" s="236">
        <v>8</v>
      </c>
      <c r="AS290" s="222">
        <v>4.2726037568344699</v>
      </c>
      <c r="AT290" s="237" t="s">
        <v>55</v>
      </c>
      <c r="AU290" s="229">
        <v>0.26703773480215398</v>
      </c>
      <c r="AV290" s="230">
        <v>-24.714477624192099</v>
      </c>
      <c r="AW290" s="224"/>
      <c r="AX290" s="224"/>
      <c r="AY290" s="232">
        <v>22</v>
      </c>
      <c r="AZ290" s="232">
        <v>28</v>
      </c>
      <c r="BA290" s="223"/>
      <c r="BB290" s="240">
        <v>85.4</v>
      </c>
      <c r="BC290" s="236">
        <v>45.610045104207998</v>
      </c>
      <c r="BD290" s="237" t="s">
        <v>56</v>
      </c>
      <c r="BE290" s="234">
        <v>1.4253139095064999</v>
      </c>
      <c r="BF290" s="235">
        <v>19.971044751615899</v>
      </c>
      <c r="BG290" s="224">
        <v>0.02</v>
      </c>
      <c r="BH290" s="224">
        <v>0.02</v>
      </c>
      <c r="BI290" s="232">
        <v>0</v>
      </c>
      <c r="BJ290" s="232">
        <v>0</v>
      </c>
      <c r="BK290" s="225"/>
      <c r="BL290" s="241">
        <v>0.8</v>
      </c>
      <c r="BM290" s="238">
        <v>0.84</v>
      </c>
      <c r="BN290" s="242">
        <v>1.5E-3</v>
      </c>
      <c r="BO290" s="243">
        <v>0.95</v>
      </c>
      <c r="BP290" s="234">
        <v>1</v>
      </c>
      <c r="BQ290" s="242">
        <v>2.5000000000000001E-3</v>
      </c>
    </row>
    <row r="291" spans="1:69" s="211" customFormat="1" ht="22.35" customHeight="1" x14ac:dyDescent="0.2">
      <c r="A291" s="221" t="s">
        <v>340</v>
      </c>
      <c r="B291" s="221" t="s">
        <v>358</v>
      </c>
      <c r="C291" s="221" t="s">
        <v>364</v>
      </c>
      <c r="D291" s="222">
        <v>2.0195966231111102</v>
      </c>
      <c r="E291" s="223"/>
      <c r="F291" s="224">
        <v>0.01</v>
      </c>
      <c r="G291" s="224">
        <v>0.01</v>
      </c>
      <c r="H291" s="225"/>
      <c r="I291" s="226">
        <v>2</v>
      </c>
      <c r="J291" s="226">
        <v>2</v>
      </c>
      <c r="K291" s="223"/>
      <c r="L291" s="227">
        <v>1181.7398499999999</v>
      </c>
      <c r="M291" s="227">
        <v>-154.14221000000001</v>
      </c>
      <c r="N291" s="227">
        <v>1027.59764</v>
      </c>
      <c r="O291" s="222">
        <v>508.81330867795998</v>
      </c>
      <c r="P291" s="228">
        <v>212.5</v>
      </c>
      <c r="Q291" s="234">
        <v>2.3944155702492198</v>
      </c>
      <c r="R291" s="235">
        <v>558.95024360706702</v>
      </c>
      <c r="S291" s="224">
        <v>0.01</v>
      </c>
      <c r="T291" s="224">
        <v>0.01</v>
      </c>
      <c r="U291" s="231">
        <v>0</v>
      </c>
      <c r="V291" s="232">
        <v>0</v>
      </c>
      <c r="W291" s="223"/>
      <c r="X291" s="231">
        <v>946.11016500000005</v>
      </c>
      <c r="Y291" s="222">
        <v>468.46491728756899</v>
      </c>
      <c r="Z291" s="233">
        <v>573</v>
      </c>
      <c r="AA291" s="244">
        <v>0.817565300676385</v>
      </c>
      <c r="AB291" s="227">
        <v>-317.58375562659103</v>
      </c>
      <c r="AC291" s="224"/>
      <c r="AD291" s="224"/>
      <c r="AE291" s="232">
        <v>212</v>
      </c>
      <c r="AF291" s="232">
        <v>443</v>
      </c>
      <c r="AG291" s="223"/>
      <c r="AH291" s="236">
        <v>76.7</v>
      </c>
      <c r="AI291" s="222">
        <v>37.977880890812003</v>
      </c>
      <c r="AJ291" s="237" t="s">
        <v>54</v>
      </c>
      <c r="AK291" s="229">
        <v>0.602823506203366</v>
      </c>
      <c r="AL291" s="230">
        <v>-62.2401692835519</v>
      </c>
      <c r="AM291" s="224"/>
      <c r="AN291" s="224"/>
      <c r="AO291" s="232">
        <v>51</v>
      </c>
      <c r="AP291" s="232">
        <v>76</v>
      </c>
      <c r="AQ291" s="223"/>
      <c r="AR291" s="236">
        <v>6</v>
      </c>
      <c r="AS291" s="222">
        <v>2.9708902913281898</v>
      </c>
      <c r="AT291" s="237" t="s">
        <v>55</v>
      </c>
      <c r="AU291" s="229">
        <v>0.185680643208012</v>
      </c>
      <c r="AV291" s="230">
        <v>-29.286392198997302</v>
      </c>
      <c r="AW291" s="224"/>
      <c r="AX291" s="224"/>
      <c r="AY291" s="232">
        <v>27</v>
      </c>
      <c r="AZ291" s="232">
        <v>33</v>
      </c>
      <c r="BA291" s="223"/>
      <c r="BB291" s="240">
        <v>55</v>
      </c>
      <c r="BC291" s="236">
        <v>27.233161003841701</v>
      </c>
      <c r="BD291" s="237" t="s">
        <v>56</v>
      </c>
      <c r="BE291" s="244">
        <v>0.85103628137005505</v>
      </c>
      <c r="BF291" s="227">
        <v>-15.572784397994599</v>
      </c>
      <c r="BG291" s="224"/>
      <c r="BH291" s="224"/>
      <c r="BI291" s="232">
        <v>10</v>
      </c>
      <c r="BJ291" s="232">
        <v>23</v>
      </c>
      <c r="BK291" s="225"/>
      <c r="BL291" s="241">
        <v>0.8</v>
      </c>
      <c r="BM291" s="244">
        <v>0.75</v>
      </c>
      <c r="BN291" s="242"/>
      <c r="BO291" s="243">
        <v>0.95</v>
      </c>
      <c r="BP291" s="234">
        <v>1</v>
      </c>
      <c r="BQ291" s="242">
        <v>2.5000000000000001E-3</v>
      </c>
    </row>
    <row r="292" spans="1:69" s="211" customFormat="1" ht="22.35" customHeight="1" x14ac:dyDescent="0.2">
      <c r="A292" s="221" t="s">
        <v>340</v>
      </c>
      <c r="B292" s="221" t="s">
        <v>358</v>
      </c>
      <c r="C292" s="221" t="s">
        <v>365</v>
      </c>
      <c r="D292" s="222">
        <v>2.89402288477778</v>
      </c>
      <c r="E292" s="223"/>
      <c r="F292" s="224">
        <v>0.01</v>
      </c>
      <c r="G292" s="224">
        <v>0.01</v>
      </c>
      <c r="H292" s="225"/>
      <c r="I292" s="226">
        <v>3</v>
      </c>
      <c r="J292" s="226">
        <v>3</v>
      </c>
      <c r="K292" s="223"/>
      <c r="L292" s="227">
        <v>1071.0959399999999</v>
      </c>
      <c r="M292" s="227">
        <v>476.12682999999998</v>
      </c>
      <c r="N292" s="227">
        <v>1547.2227700000001</v>
      </c>
      <c r="O292" s="222">
        <v>534.62699902554698</v>
      </c>
      <c r="P292" s="228">
        <v>212.5</v>
      </c>
      <c r="Q292" s="234">
        <v>2.51589176012022</v>
      </c>
      <c r="R292" s="235">
        <v>875.66475958731598</v>
      </c>
      <c r="S292" s="224">
        <v>0.01</v>
      </c>
      <c r="T292" s="224">
        <v>0.01</v>
      </c>
      <c r="U292" s="231">
        <v>0</v>
      </c>
      <c r="V292" s="232">
        <v>0</v>
      </c>
      <c r="W292" s="223"/>
      <c r="X292" s="231">
        <v>1361.614865</v>
      </c>
      <c r="Y292" s="222">
        <v>470.49208634870701</v>
      </c>
      <c r="Z292" s="233">
        <v>573</v>
      </c>
      <c r="AA292" s="244">
        <v>0.82110311753701004</v>
      </c>
      <c r="AB292" s="227">
        <v>-449.22155837161301</v>
      </c>
      <c r="AC292" s="224"/>
      <c r="AD292" s="224"/>
      <c r="AE292" s="232">
        <v>297</v>
      </c>
      <c r="AF292" s="232">
        <v>629</v>
      </c>
      <c r="AG292" s="223"/>
      <c r="AH292" s="236">
        <v>93.9</v>
      </c>
      <c r="AI292" s="222">
        <v>32.446184338728997</v>
      </c>
      <c r="AJ292" s="237" t="s">
        <v>54</v>
      </c>
      <c r="AK292" s="229">
        <v>0.51501879902744396</v>
      </c>
      <c r="AL292" s="230">
        <v>-105.197198381172</v>
      </c>
      <c r="AM292" s="224"/>
      <c r="AN292" s="224"/>
      <c r="AO292" s="232">
        <v>89</v>
      </c>
      <c r="AP292" s="232">
        <v>125</v>
      </c>
      <c r="AQ292" s="223"/>
      <c r="AR292" s="236">
        <v>1</v>
      </c>
      <c r="AS292" s="222">
        <v>0.34553976931553798</v>
      </c>
      <c r="AT292" s="237" t="s">
        <v>55</v>
      </c>
      <c r="AU292" s="229">
        <v>2.15962355822211E-2</v>
      </c>
      <c r="AV292" s="230">
        <v>-49.564367842837399</v>
      </c>
      <c r="AW292" s="224"/>
      <c r="AX292" s="224"/>
      <c r="AY292" s="232">
        <v>46</v>
      </c>
      <c r="AZ292" s="232">
        <v>55</v>
      </c>
      <c r="BA292" s="223"/>
      <c r="BB292" s="240">
        <v>63.2</v>
      </c>
      <c r="BC292" s="236">
        <v>21.838113420742001</v>
      </c>
      <c r="BD292" s="237" t="s">
        <v>56</v>
      </c>
      <c r="BE292" s="229">
        <v>0.68244104439818698</v>
      </c>
      <c r="BF292" s="230">
        <v>-37.928735685674802</v>
      </c>
      <c r="BG292" s="224"/>
      <c r="BH292" s="224"/>
      <c r="BI292" s="232">
        <v>30</v>
      </c>
      <c r="BJ292" s="232">
        <v>48</v>
      </c>
      <c r="BK292" s="225"/>
      <c r="BL292" s="241">
        <v>0.8</v>
      </c>
      <c r="BM292" s="238">
        <v>0.85</v>
      </c>
      <c r="BN292" s="242">
        <v>1.8749999999999999E-3</v>
      </c>
      <c r="BO292" s="243">
        <v>0.95</v>
      </c>
      <c r="BP292" s="234">
        <v>1</v>
      </c>
      <c r="BQ292" s="242">
        <v>2.5000000000000001E-3</v>
      </c>
    </row>
    <row r="293" spans="1:69" s="211" customFormat="1" ht="22.35" customHeight="1" x14ac:dyDescent="0.2">
      <c r="A293" s="221" t="s">
        <v>340</v>
      </c>
      <c r="B293" s="221" t="s">
        <v>358</v>
      </c>
      <c r="C293" s="221" t="s">
        <v>366</v>
      </c>
      <c r="D293" s="222">
        <v>3.7017378756666699</v>
      </c>
      <c r="E293" s="223"/>
      <c r="F293" s="224">
        <v>0.04</v>
      </c>
      <c r="G293" s="224">
        <v>2.1000000000000001E-2</v>
      </c>
      <c r="H293" s="225"/>
      <c r="I293" s="226">
        <v>4</v>
      </c>
      <c r="J293" s="226">
        <v>4</v>
      </c>
      <c r="K293" s="223"/>
      <c r="L293" s="227">
        <v>2120.3780499999998</v>
      </c>
      <c r="M293" s="227">
        <v>-388.98426000000001</v>
      </c>
      <c r="N293" s="227">
        <v>1731.3937900000001</v>
      </c>
      <c r="O293" s="222">
        <v>467.724579144649</v>
      </c>
      <c r="P293" s="228">
        <v>229.78899999999999</v>
      </c>
      <c r="Q293" s="234">
        <v>2.0354524330783899</v>
      </c>
      <c r="R293" s="235">
        <v>802.51822997496697</v>
      </c>
      <c r="S293" s="224">
        <v>0.01</v>
      </c>
      <c r="T293" s="224">
        <v>0.01</v>
      </c>
      <c r="U293" s="231">
        <v>0</v>
      </c>
      <c r="V293" s="232">
        <v>0</v>
      </c>
      <c r="W293" s="223"/>
      <c r="X293" s="231">
        <v>2122.18291</v>
      </c>
      <c r="Y293" s="222">
        <v>573.29367483044803</v>
      </c>
      <c r="Z293" s="233">
        <v>573</v>
      </c>
      <c r="AA293" s="238">
        <v>1.00051252151911</v>
      </c>
      <c r="AB293" s="239">
        <v>-194.053706610646</v>
      </c>
      <c r="AC293" s="224">
        <v>0.01</v>
      </c>
      <c r="AD293" s="224">
        <v>1E-3</v>
      </c>
      <c r="AE293" s="232">
        <v>0</v>
      </c>
      <c r="AF293" s="232">
        <v>424</v>
      </c>
      <c r="AG293" s="223"/>
      <c r="AH293" s="236">
        <v>161.19999999999999</v>
      </c>
      <c r="AI293" s="222">
        <v>43.547113656978901</v>
      </c>
      <c r="AJ293" s="237" t="s">
        <v>54</v>
      </c>
      <c r="AK293" s="229">
        <v>0.69122402630125201</v>
      </c>
      <c r="AL293" s="230">
        <v>-93.464758894364195</v>
      </c>
      <c r="AM293" s="224"/>
      <c r="AN293" s="224"/>
      <c r="AO293" s="232">
        <v>73</v>
      </c>
      <c r="AP293" s="232">
        <v>119</v>
      </c>
      <c r="AQ293" s="223"/>
      <c r="AR293" s="236">
        <v>18</v>
      </c>
      <c r="AS293" s="222">
        <v>4.8625809294393303</v>
      </c>
      <c r="AT293" s="237" t="s">
        <v>55</v>
      </c>
      <c r="AU293" s="229">
        <v>0.30391130808995798</v>
      </c>
      <c r="AV293" s="230">
        <v>-46.676764163648102</v>
      </c>
      <c r="AW293" s="224"/>
      <c r="AX293" s="224"/>
      <c r="AY293" s="232">
        <v>42</v>
      </c>
      <c r="AZ293" s="232">
        <v>54</v>
      </c>
      <c r="BA293" s="223"/>
      <c r="BB293" s="240">
        <v>130.80000000000001</v>
      </c>
      <c r="BC293" s="236">
        <v>35.3347547539258</v>
      </c>
      <c r="BD293" s="237" t="s">
        <v>56</v>
      </c>
      <c r="BE293" s="234">
        <v>1.1042110860601799</v>
      </c>
      <c r="BF293" s="235">
        <v>1.44647167270389</v>
      </c>
      <c r="BG293" s="224">
        <v>0.02</v>
      </c>
      <c r="BH293" s="224">
        <v>0.01</v>
      </c>
      <c r="BI293" s="232">
        <v>0</v>
      </c>
      <c r="BJ293" s="232">
        <v>12</v>
      </c>
      <c r="BK293" s="225"/>
      <c r="BL293" s="241">
        <v>0.8</v>
      </c>
      <c r="BM293" s="244">
        <v>0.76</v>
      </c>
      <c r="BN293" s="242"/>
      <c r="BO293" s="243">
        <v>0.95</v>
      </c>
      <c r="BP293" s="234">
        <v>1</v>
      </c>
      <c r="BQ293" s="242">
        <v>2.5000000000000001E-3</v>
      </c>
    </row>
    <row r="294" spans="1:69" s="211" customFormat="1" ht="22.35" customHeight="1" x14ac:dyDescent="0.2">
      <c r="A294" s="221" t="s">
        <v>340</v>
      </c>
      <c r="B294" s="221" t="s">
        <v>358</v>
      </c>
      <c r="C294" s="221" t="s">
        <v>367</v>
      </c>
      <c r="D294" s="222">
        <v>3.4620816407777801</v>
      </c>
      <c r="E294" s="223"/>
      <c r="F294" s="224">
        <v>0.05</v>
      </c>
      <c r="G294" s="224">
        <v>4.3999999999999997E-2</v>
      </c>
      <c r="H294" s="225"/>
      <c r="I294" s="226">
        <v>5</v>
      </c>
      <c r="J294" s="226">
        <v>5</v>
      </c>
      <c r="K294" s="223"/>
      <c r="L294" s="227">
        <v>1295.2341899999999</v>
      </c>
      <c r="M294" s="227">
        <v>-89.063180000000003</v>
      </c>
      <c r="N294" s="227">
        <v>1206.17101</v>
      </c>
      <c r="O294" s="222">
        <v>348.39473332842198</v>
      </c>
      <c r="P294" s="228">
        <v>212.5</v>
      </c>
      <c r="Q294" s="234">
        <v>1.63950462742787</v>
      </c>
      <c r="R294" s="235">
        <v>402.79496525751603</v>
      </c>
      <c r="S294" s="224">
        <v>0.01</v>
      </c>
      <c r="T294" s="224">
        <v>0.01</v>
      </c>
      <c r="U294" s="231">
        <v>0</v>
      </c>
      <c r="V294" s="232">
        <v>0</v>
      </c>
      <c r="W294" s="223"/>
      <c r="X294" s="231">
        <v>2255.766455</v>
      </c>
      <c r="Y294" s="222">
        <v>651.563622426081</v>
      </c>
      <c r="Z294" s="233">
        <v>573</v>
      </c>
      <c r="AA294" s="234">
        <v>1.13710928870171</v>
      </c>
      <c r="AB294" s="235">
        <v>89.486579059090701</v>
      </c>
      <c r="AC294" s="224">
        <v>0.02</v>
      </c>
      <c r="AD294" s="224">
        <v>1.4E-2</v>
      </c>
      <c r="AE294" s="232">
        <v>0</v>
      </c>
      <c r="AF294" s="232">
        <v>125</v>
      </c>
      <c r="AG294" s="223"/>
      <c r="AH294" s="236">
        <v>184.8</v>
      </c>
      <c r="AI294" s="222">
        <v>53.3782906282024</v>
      </c>
      <c r="AJ294" s="237" t="s">
        <v>54</v>
      </c>
      <c r="AK294" s="244">
        <v>0.84727445441591098</v>
      </c>
      <c r="AL294" s="227">
        <v>-53.377368558948199</v>
      </c>
      <c r="AM294" s="224"/>
      <c r="AN294" s="224"/>
      <c r="AO294" s="232">
        <v>34</v>
      </c>
      <c r="AP294" s="232">
        <v>77</v>
      </c>
      <c r="AQ294" s="223"/>
      <c r="AR294" s="236">
        <v>34.9</v>
      </c>
      <c r="AS294" s="222">
        <v>10.0806403837893</v>
      </c>
      <c r="AT294" s="237" t="s">
        <v>55</v>
      </c>
      <c r="AU294" s="229">
        <v>0.63004002398683101</v>
      </c>
      <c r="AV294" s="230">
        <v>-25.5894904276694</v>
      </c>
      <c r="AW294" s="224"/>
      <c r="AX294" s="224"/>
      <c r="AY294" s="232">
        <v>21</v>
      </c>
      <c r="AZ294" s="232">
        <v>32</v>
      </c>
      <c r="BA294" s="223"/>
      <c r="BB294" s="240">
        <v>132.80000000000001</v>
      </c>
      <c r="BC294" s="236">
        <v>38.358425299920299</v>
      </c>
      <c r="BD294" s="237" t="s">
        <v>56</v>
      </c>
      <c r="BE294" s="234">
        <v>1.19870079062251</v>
      </c>
      <c r="BF294" s="235">
        <v>11.8210191446612</v>
      </c>
      <c r="BG294" s="224">
        <v>0.02</v>
      </c>
      <c r="BH294" s="224">
        <v>0.02</v>
      </c>
      <c r="BI294" s="232">
        <v>0</v>
      </c>
      <c r="BJ294" s="232">
        <v>1</v>
      </c>
      <c r="BK294" s="225"/>
      <c r="BL294" s="241">
        <v>0.8</v>
      </c>
      <c r="BM294" s="238">
        <v>0.81</v>
      </c>
      <c r="BN294" s="242">
        <v>3.7500000000000001E-4</v>
      </c>
      <c r="BO294" s="243">
        <v>0.95</v>
      </c>
      <c r="BP294" s="234">
        <v>1</v>
      </c>
      <c r="BQ294" s="242">
        <v>2.5000000000000001E-3</v>
      </c>
    </row>
    <row r="295" spans="1:69" s="211" customFormat="1" ht="22.35" customHeight="1" x14ac:dyDescent="0.2">
      <c r="A295" s="221" t="s">
        <v>340</v>
      </c>
      <c r="B295" s="221" t="s">
        <v>358</v>
      </c>
      <c r="C295" s="221" t="s">
        <v>358</v>
      </c>
      <c r="D295" s="222">
        <v>10.277247066999999</v>
      </c>
      <c r="E295" s="223"/>
      <c r="F295" s="224">
        <v>0.03</v>
      </c>
      <c r="G295" s="224">
        <v>2.1999999999999999E-2</v>
      </c>
      <c r="H295" s="225"/>
      <c r="I295" s="226">
        <v>3</v>
      </c>
      <c r="J295" s="226">
        <v>3</v>
      </c>
      <c r="K295" s="223"/>
      <c r="L295" s="227">
        <v>6960.7571600000001</v>
      </c>
      <c r="M295" s="227">
        <v>3613.2378899999999</v>
      </c>
      <c r="N295" s="227">
        <v>10573.99505</v>
      </c>
      <c r="O295" s="222">
        <v>1028.87426769693</v>
      </c>
      <c r="P295" s="228">
        <v>263.10899999999998</v>
      </c>
      <c r="Q295" s="234">
        <v>3.9104487786313999</v>
      </c>
      <c r="R295" s="235">
        <v>7621.1875211819797</v>
      </c>
      <c r="S295" s="224">
        <v>0.01</v>
      </c>
      <c r="T295" s="224">
        <v>0.01</v>
      </c>
      <c r="U295" s="231">
        <v>0</v>
      </c>
      <c r="V295" s="232">
        <v>0</v>
      </c>
      <c r="W295" s="223"/>
      <c r="X295" s="231">
        <v>4640.4485500000001</v>
      </c>
      <c r="Y295" s="222">
        <v>451.526417507308</v>
      </c>
      <c r="Z295" s="233">
        <v>573</v>
      </c>
      <c r="AA295" s="244">
        <v>0.78800421903544204</v>
      </c>
      <c r="AB295" s="227">
        <v>-1790.1893757749699</v>
      </c>
      <c r="AC295" s="224"/>
      <c r="AD295" s="224"/>
      <c r="AE295" s="232">
        <v>1249</v>
      </c>
      <c r="AF295" s="232">
        <v>2427</v>
      </c>
      <c r="AG295" s="223"/>
      <c r="AH295" s="236">
        <v>431.45</v>
      </c>
      <c r="AI295" s="222">
        <v>41.981086684718903</v>
      </c>
      <c r="AJ295" s="237" t="s">
        <v>54</v>
      </c>
      <c r="AK295" s="229">
        <v>0.66636645531299799</v>
      </c>
      <c r="AL295" s="230">
        <v>-275.583489221332</v>
      </c>
      <c r="AM295" s="224"/>
      <c r="AN295" s="224"/>
      <c r="AO295" s="232">
        <v>217</v>
      </c>
      <c r="AP295" s="232">
        <v>346</v>
      </c>
      <c r="AQ295" s="223"/>
      <c r="AR295" s="236">
        <v>46.1</v>
      </c>
      <c r="AS295" s="222">
        <v>4.4856370290080898</v>
      </c>
      <c r="AT295" s="237" t="s">
        <v>55</v>
      </c>
      <c r="AU295" s="229">
        <v>0.280352314313006</v>
      </c>
      <c r="AV295" s="230">
        <v>-133.464060754624</v>
      </c>
      <c r="AW295" s="224"/>
      <c r="AX295" s="224"/>
      <c r="AY295" s="232">
        <v>119</v>
      </c>
      <c r="AZ295" s="232">
        <v>152</v>
      </c>
      <c r="BA295" s="223"/>
      <c r="BB295" s="240">
        <v>367.2</v>
      </c>
      <c r="BC295" s="236">
        <v>35.729412517391999</v>
      </c>
      <c r="BD295" s="237" t="s">
        <v>56</v>
      </c>
      <c r="BE295" s="234">
        <v>1.1165441411685</v>
      </c>
      <c r="BF295" s="235">
        <v>8.0718784907520007</v>
      </c>
      <c r="BG295" s="224">
        <v>0.02</v>
      </c>
      <c r="BH295" s="224">
        <v>1.2E-2</v>
      </c>
      <c r="BI295" s="232">
        <v>0</v>
      </c>
      <c r="BJ295" s="232">
        <v>28</v>
      </c>
      <c r="BK295" s="225"/>
      <c r="BL295" s="241">
        <v>0.8</v>
      </c>
      <c r="BM295" s="244">
        <v>0.79</v>
      </c>
      <c r="BN295" s="242"/>
      <c r="BO295" s="243">
        <v>0.95</v>
      </c>
      <c r="BP295" s="234">
        <v>1</v>
      </c>
      <c r="BQ295" s="242">
        <v>2.5000000000000001E-3</v>
      </c>
    </row>
    <row r="296" spans="1:69" s="211" customFormat="1" ht="22.35" customHeight="1" x14ac:dyDescent="0.2">
      <c r="A296" s="221" t="s">
        <v>340</v>
      </c>
      <c r="B296" s="221" t="s">
        <v>358</v>
      </c>
      <c r="C296" s="221" t="s">
        <v>368</v>
      </c>
      <c r="D296" s="222">
        <v>3.9912457913333301</v>
      </c>
      <c r="E296" s="223"/>
      <c r="F296" s="224">
        <v>2.5999999999999999E-2</v>
      </c>
      <c r="G296" s="224">
        <v>1.6E-2</v>
      </c>
      <c r="H296" s="225"/>
      <c r="I296" s="226">
        <v>4</v>
      </c>
      <c r="J296" s="226">
        <v>4</v>
      </c>
      <c r="K296" s="223"/>
      <c r="L296" s="227">
        <v>1524.0484200000001</v>
      </c>
      <c r="M296" s="227">
        <v>597.09825000000001</v>
      </c>
      <c r="N296" s="227">
        <v>2121.1466700000001</v>
      </c>
      <c r="O296" s="222">
        <v>531.44977305228804</v>
      </c>
      <c r="P296" s="228">
        <v>212.5</v>
      </c>
      <c r="Q296" s="234">
        <v>2.5009401084813598</v>
      </c>
      <c r="R296" s="235">
        <v>1194.9780841211</v>
      </c>
      <c r="S296" s="224">
        <v>0.01</v>
      </c>
      <c r="T296" s="224">
        <v>0.01</v>
      </c>
      <c r="U296" s="231">
        <v>0</v>
      </c>
      <c r="V296" s="232">
        <v>0</v>
      </c>
      <c r="W296" s="223"/>
      <c r="X296" s="231">
        <v>2412.8723049999999</v>
      </c>
      <c r="Y296" s="222">
        <v>604.54114608510395</v>
      </c>
      <c r="Z296" s="233">
        <v>573</v>
      </c>
      <c r="AA296" s="238">
        <v>1.0550456301659801</v>
      </c>
      <c r="AB296" s="239">
        <v>-84.514046569925497</v>
      </c>
      <c r="AC296" s="224">
        <v>1.6E-2</v>
      </c>
      <c r="AD296" s="224">
        <v>6.0000000000000001E-3</v>
      </c>
      <c r="AE296" s="232">
        <v>0</v>
      </c>
      <c r="AF296" s="232">
        <v>332</v>
      </c>
      <c r="AG296" s="223"/>
      <c r="AH296" s="236">
        <v>211.55</v>
      </c>
      <c r="AI296" s="222">
        <v>53.003500926794203</v>
      </c>
      <c r="AJ296" s="237" t="s">
        <v>54</v>
      </c>
      <c r="AK296" s="244">
        <v>0.84132541153641704</v>
      </c>
      <c r="AL296" s="227">
        <v>-63.031745460567798</v>
      </c>
      <c r="AM296" s="224"/>
      <c r="AN296" s="224"/>
      <c r="AO296" s="232">
        <v>40</v>
      </c>
      <c r="AP296" s="232">
        <v>91</v>
      </c>
      <c r="AQ296" s="223"/>
      <c r="AR296" s="236">
        <v>15.8</v>
      </c>
      <c r="AS296" s="222">
        <v>3.9586637421098998</v>
      </c>
      <c r="AT296" s="237" t="s">
        <v>55</v>
      </c>
      <c r="AU296" s="229">
        <v>0.24741648388186899</v>
      </c>
      <c r="AV296" s="230">
        <v>-53.935046466175997</v>
      </c>
      <c r="AW296" s="224"/>
      <c r="AX296" s="224"/>
      <c r="AY296" s="232">
        <v>49</v>
      </c>
      <c r="AZ296" s="232">
        <v>61</v>
      </c>
      <c r="BA296" s="223"/>
      <c r="BB296" s="240">
        <v>97.6</v>
      </c>
      <c r="BC296" s="236">
        <v>24.453517799362402</v>
      </c>
      <c r="BD296" s="237" t="s">
        <v>56</v>
      </c>
      <c r="BE296" s="244">
        <v>0.76417243123007506</v>
      </c>
      <c r="BF296" s="227">
        <v>-41.870092932351902</v>
      </c>
      <c r="BG296" s="224"/>
      <c r="BH296" s="224"/>
      <c r="BI296" s="232">
        <v>31</v>
      </c>
      <c r="BJ296" s="232">
        <v>56</v>
      </c>
      <c r="BK296" s="225"/>
      <c r="BL296" s="241">
        <v>0.8</v>
      </c>
      <c r="BM296" s="238">
        <v>0.82</v>
      </c>
      <c r="BN296" s="242">
        <v>7.5000000000000002E-4</v>
      </c>
      <c r="BO296" s="243">
        <v>0.95</v>
      </c>
      <c r="BP296" s="234">
        <v>1</v>
      </c>
      <c r="BQ296" s="242">
        <v>2.5000000000000001E-3</v>
      </c>
    </row>
    <row r="297" spans="1:69" s="211" customFormat="1" ht="22.35" customHeight="1" x14ac:dyDescent="0.2">
      <c r="A297" s="221" t="s">
        <v>340</v>
      </c>
      <c r="B297" s="221" t="s">
        <v>358</v>
      </c>
      <c r="C297" s="221" t="s">
        <v>369</v>
      </c>
      <c r="D297" s="222">
        <v>1.8887926887777799</v>
      </c>
      <c r="E297" s="223"/>
      <c r="F297" s="224">
        <v>5.8999999999999997E-2</v>
      </c>
      <c r="G297" s="224">
        <v>4.8000000000000001E-2</v>
      </c>
      <c r="H297" s="225"/>
      <c r="I297" s="226">
        <v>4</v>
      </c>
      <c r="J297" s="226">
        <v>4</v>
      </c>
      <c r="K297" s="223"/>
      <c r="L297" s="227">
        <v>224.49773999999999</v>
      </c>
      <c r="M297" s="227">
        <v>58.663069999999998</v>
      </c>
      <c r="N297" s="227">
        <v>283.16081000000003</v>
      </c>
      <c r="O297" s="222">
        <v>149.916299275402</v>
      </c>
      <c r="P297" s="228">
        <v>212.5</v>
      </c>
      <c r="Q297" s="229">
        <v>0.705488467178361</v>
      </c>
      <c r="R297" s="230">
        <v>-155.133533430884</v>
      </c>
      <c r="S297" s="224"/>
      <c r="T297" s="224"/>
      <c r="U297" s="231">
        <v>119</v>
      </c>
      <c r="V297" s="232">
        <v>199</v>
      </c>
      <c r="W297" s="223"/>
      <c r="X297" s="231">
        <v>1442.42831</v>
      </c>
      <c r="Y297" s="222">
        <v>763.67741074505295</v>
      </c>
      <c r="Z297" s="233">
        <v>573</v>
      </c>
      <c r="AA297" s="234">
        <v>1.33277035034041</v>
      </c>
      <c r="AB297" s="235">
        <v>260.58050394872299</v>
      </c>
      <c r="AC297" s="224">
        <v>0.02</v>
      </c>
      <c r="AD297" s="224">
        <v>0.02</v>
      </c>
      <c r="AE297" s="232">
        <v>0</v>
      </c>
      <c r="AF297" s="232">
        <v>0</v>
      </c>
      <c r="AG297" s="223"/>
      <c r="AH297" s="236">
        <v>170.25</v>
      </c>
      <c r="AI297" s="222">
        <v>90.136943567992802</v>
      </c>
      <c r="AJ297" s="237" t="s">
        <v>54</v>
      </c>
      <c r="AK297" s="234">
        <v>1.4307451359998899</v>
      </c>
      <c r="AL297" s="235">
        <v>40.308618182843801</v>
      </c>
      <c r="AM297" s="224">
        <v>0.02</v>
      </c>
      <c r="AN297" s="224">
        <v>0.02</v>
      </c>
      <c r="AO297" s="232">
        <v>0</v>
      </c>
      <c r="AP297" s="232">
        <v>0</v>
      </c>
      <c r="AQ297" s="223"/>
      <c r="AR297" s="236">
        <v>13.6</v>
      </c>
      <c r="AS297" s="222">
        <v>7.2003667108646301</v>
      </c>
      <c r="AT297" s="237" t="s">
        <v>55</v>
      </c>
      <c r="AU297" s="229">
        <v>0.45002291942903899</v>
      </c>
      <c r="AV297" s="230">
        <v>-19.400985858325399</v>
      </c>
      <c r="AW297" s="224"/>
      <c r="AX297" s="224"/>
      <c r="AY297" s="232">
        <v>17</v>
      </c>
      <c r="AZ297" s="232">
        <v>23</v>
      </c>
      <c r="BA297" s="223"/>
      <c r="BB297" s="240">
        <v>65.400000000000006</v>
      </c>
      <c r="BC297" s="236">
        <v>34.625292859599</v>
      </c>
      <c r="BD297" s="237" t="s">
        <v>56</v>
      </c>
      <c r="BE297" s="238">
        <v>1.0820404018624701</v>
      </c>
      <c r="BF297" s="239">
        <v>-0.60197171665073801</v>
      </c>
      <c r="BG297" s="224">
        <v>1.9E-2</v>
      </c>
      <c r="BH297" s="224">
        <v>8.0000000000000002E-3</v>
      </c>
      <c r="BI297" s="232">
        <v>0</v>
      </c>
      <c r="BJ297" s="232">
        <v>8</v>
      </c>
      <c r="BK297" s="225"/>
      <c r="BL297" s="241">
        <v>0.8</v>
      </c>
      <c r="BM297" s="244">
        <v>0.78</v>
      </c>
      <c r="BN297" s="242"/>
      <c r="BO297" s="243">
        <v>0.95</v>
      </c>
      <c r="BP297" s="234">
        <v>1</v>
      </c>
      <c r="BQ297" s="242">
        <v>2.5000000000000001E-3</v>
      </c>
    </row>
    <row r="298" spans="1:69" s="211" customFormat="1" ht="22.35" customHeight="1" x14ac:dyDescent="0.2">
      <c r="A298" s="221" t="s">
        <v>340</v>
      </c>
      <c r="B298" s="221" t="s">
        <v>358</v>
      </c>
      <c r="C298" s="221" t="s">
        <v>370</v>
      </c>
      <c r="D298" s="222">
        <v>3.20739114933333</v>
      </c>
      <c r="E298" s="223"/>
      <c r="F298" s="224">
        <v>3.5000000000000003E-2</v>
      </c>
      <c r="G298" s="224">
        <v>2.1999999999999999E-2</v>
      </c>
      <c r="H298" s="225"/>
      <c r="I298" s="226">
        <v>5</v>
      </c>
      <c r="J298" s="226">
        <v>4</v>
      </c>
      <c r="K298" s="223"/>
      <c r="L298" s="227">
        <v>2220.4430000000002</v>
      </c>
      <c r="M298" s="227">
        <v>203.83557999999999</v>
      </c>
      <c r="N298" s="227">
        <v>2424.2785800000001</v>
      </c>
      <c r="O298" s="222">
        <v>755.84126385828995</v>
      </c>
      <c r="P298" s="228">
        <v>236.798</v>
      </c>
      <c r="Q298" s="234">
        <v>3.1919241879504501</v>
      </c>
      <c r="R298" s="235">
        <v>1594.90042015722</v>
      </c>
      <c r="S298" s="224">
        <v>0.01</v>
      </c>
      <c r="T298" s="224">
        <v>0.01</v>
      </c>
      <c r="U298" s="231">
        <v>0</v>
      </c>
      <c r="V298" s="232">
        <v>0</v>
      </c>
      <c r="W298" s="223"/>
      <c r="X298" s="231">
        <v>1754.3235199999999</v>
      </c>
      <c r="Y298" s="222">
        <v>546.96276142204897</v>
      </c>
      <c r="Z298" s="233">
        <v>573</v>
      </c>
      <c r="AA298" s="238">
        <v>0.95455979305767702</v>
      </c>
      <c r="AB298" s="239">
        <v>-252.59244039625401</v>
      </c>
      <c r="AC298" s="224">
        <v>5.0000000000000001E-3</v>
      </c>
      <c r="AD298" s="224"/>
      <c r="AE298" s="232">
        <v>84</v>
      </c>
      <c r="AF298" s="232">
        <v>452</v>
      </c>
      <c r="AG298" s="223"/>
      <c r="AH298" s="236">
        <v>115.75</v>
      </c>
      <c r="AI298" s="222">
        <v>36.0885201120727</v>
      </c>
      <c r="AJ298" s="237" t="s">
        <v>54</v>
      </c>
      <c r="AK298" s="229">
        <v>0.57283365257258201</v>
      </c>
      <c r="AL298" s="230">
        <v>-104.905681509536</v>
      </c>
      <c r="AM298" s="224"/>
      <c r="AN298" s="224"/>
      <c r="AO298" s="232">
        <v>87</v>
      </c>
      <c r="AP298" s="232">
        <v>127</v>
      </c>
      <c r="AQ298" s="223"/>
      <c r="AR298" s="236">
        <v>11</v>
      </c>
      <c r="AS298" s="222">
        <v>3.4295785851645801</v>
      </c>
      <c r="AT298" s="237" t="s">
        <v>55</v>
      </c>
      <c r="AU298" s="229">
        <v>0.21434866157278601</v>
      </c>
      <c r="AV298" s="230">
        <v>-45.039538161151903</v>
      </c>
      <c r="AW298" s="224"/>
      <c r="AX298" s="224"/>
      <c r="AY298" s="232">
        <v>41</v>
      </c>
      <c r="AZ298" s="232">
        <v>51</v>
      </c>
      <c r="BA298" s="223"/>
      <c r="BB298" s="240">
        <v>115.2</v>
      </c>
      <c r="BC298" s="236">
        <v>35.917041182814501</v>
      </c>
      <c r="BD298" s="237" t="s">
        <v>56</v>
      </c>
      <c r="BE298" s="234">
        <v>1.12240753696295</v>
      </c>
      <c r="BF298" s="235">
        <v>3.1209236776961098</v>
      </c>
      <c r="BG298" s="224">
        <v>0.02</v>
      </c>
      <c r="BH298" s="224">
        <v>1.2E-2</v>
      </c>
      <c r="BI298" s="232">
        <v>0</v>
      </c>
      <c r="BJ298" s="232">
        <v>8</v>
      </c>
      <c r="BK298" s="225"/>
      <c r="BL298" s="241">
        <v>0.8</v>
      </c>
      <c r="BM298" s="238">
        <v>0.85</v>
      </c>
      <c r="BN298" s="242">
        <v>1.8749999999999999E-3</v>
      </c>
      <c r="BO298" s="243">
        <v>0.95</v>
      </c>
      <c r="BP298" s="234">
        <v>1</v>
      </c>
      <c r="BQ298" s="242">
        <v>2.5000000000000001E-3</v>
      </c>
    </row>
    <row r="299" spans="1:69" s="211" customFormat="1" ht="21.95" customHeight="1" x14ac:dyDescent="0.2">
      <c r="A299" s="245"/>
      <c r="B299" s="245"/>
      <c r="C299" s="246" t="s">
        <v>371</v>
      </c>
      <c r="D299" s="247">
        <v>1158.2086281173299</v>
      </c>
      <c r="E299" s="248"/>
      <c r="F299" s="245"/>
      <c r="G299" s="245"/>
      <c r="H299" s="249"/>
      <c r="I299" s="245"/>
      <c r="J299" s="245"/>
      <c r="K299" s="248"/>
      <c r="L299" s="250">
        <v>659617.61583999998</v>
      </c>
      <c r="M299" s="250">
        <v>339244.02548000001</v>
      </c>
      <c r="N299" s="250">
        <v>998861.64132000005</v>
      </c>
      <c r="O299" s="247">
        <v>862.41944419258004</v>
      </c>
      <c r="P299" s="251"/>
      <c r="Q299" s="245"/>
      <c r="R299" s="245"/>
      <c r="S299" s="245"/>
      <c r="T299" s="245"/>
      <c r="U299" s="252">
        <v>41622</v>
      </c>
      <c r="V299" s="252">
        <v>46172</v>
      </c>
      <c r="W299" s="248"/>
      <c r="X299" s="253">
        <v>635162.85507000005</v>
      </c>
      <c r="Y299" s="254">
        <v>548.401073563453</v>
      </c>
      <c r="Z299" s="255"/>
      <c r="AA299" s="256"/>
      <c r="AB299" s="256"/>
      <c r="AC299" s="256"/>
      <c r="AD299" s="256"/>
      <c r="AE299" s="257">
        <v>79177</v>
      </c>
      <c r="AF299" s="257">
        <v>181246</v>
      </c>
      <c r="AG299" s="248"/>
      <c r="AH299" s="254">
        <v>59385.35</v>
      </c>
      <c r="AI299" s="258">
        <v>51.273448114896901</v>
      </c>
      <c r="AJ299" s="255"/>
      <c r="AK299" s="256"/>
      <c r="AL299" s="256"/>
      <c r="AM299" s="256"/>
      <c r="AN299" s="256"/>
      <c r="AO299" s="257">
        <v>16922</v>
      </c>
      <c r="AP299" s="257">
        <v>30073</v>
      </c>
      <c r="AQ299" s="248"/>
      <c r="AR299" s="254">
        <v>11064.4</v>
      </c>
      <c r="AS299" s="258">
        <v>9.5530284712048505</v>
      </c>
      <c r="AT299" s="255"/>
      <c r="AU299" s="256"/>
      <c r="AV299" s="256"/>
      <c r="AW299" s="256"/>
      <c r="AX299" s="259"/>
      <c r="AY299" s="257">
        <v>8932</v>
      </c>
      <c r="AZ299" s="257">
        <v>12265</v>
      </c>
      <c r="BA299" s="248"/>
      <c r="BB299" s="256">
        <v>43655.6</v>
      </c>
      <c r="BC299" s="258">
        <v>37.6923456967871</v>
      </c>
      <c r="BD299" s="255"/>
      <c r="BE299" s="256"/>
      <c r="BF299" s="256"/>
      <c r="BG299" s="256"/>
      <c r="BH299" s="256"/>
      <c r="BI299" s="257">
        <v>1810</v>
      </c>
      <c r="BJ299" s="257">
        <v>5462</v>
      </c>
      <c r="BK299" s="256"/>
      <c r="BL299" s="256"/>
      <c r="BM299" s="256"/>
      <c r="BN299" s="256"/>
      <c r="BO299" s="256"/>
      <c r="BP299" s="256"/>
      <c r="BQ299" s="256"/>
    </row>
    <row r="300" spans="1:69" s="211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workbookViewId="0">
      <selection activeCell="J18" sqref="J18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60" customWidth="1"/>
  </cols>
  <sheetData>
    <row r="1" spans="1:15" x14ac:dyDescent="0.25">
      <c r="A1" s="122" t="s">
        <v>19</v>
      </c>
      <c r="B1" s="122" t="s">
        <v>20</v>
      </c>
      <c r="C1" s="122" t="s">
        <v>424</v>
      </c>
      <c r="D1" s="122" t="s">
        <v>3</v>
      </c>
      <c r="E1" s="122" t="s">
        <v>425</v>
      </c>
      <c r="F1" s="159" t="s">
        <v>424</v>
      </c>
      <c r="H1" t="s">
        <v>426</v>
      </c>
    </row>
    <row r="2" spans="1:15" x14ac:dyDescent="0.25">
      <c r="A2" s="123" t="s">
        <v>276</v>
      </c>
      <c r="B2" s="123" t="s">
        <v>427</v>
      </c>
      <c r="C2">
        <v>457543</v>
      </c>
      <c r="D2" s="123" t="s">
        <v>314</v>
      </c>
      <c r="E2">
        <v>2.78</v>
      </c>
      <c r="F2" s="160">
        <v>457543</v>
      </c>
    </row>
    <row r="3" spans="1:15" x14ac:dyDescent="0.25">
      <c r="A3" s="123" t="s">
        <v>276</v>
      </c>
      <c r="B3" s="123" t="s">
        <v>427</v>
      </c>
      <c r="C3">
        <v>457583</v>
      </c>
      <c r="D3" s="123" t="s">
        <v>315</v>
      </c>
      <c r="E3">
        <v>6</v>
      </c>
      <c r="F3" s="160">
        <v>457583</v>
      </c>
    </row>
    <row r="4" spans="1:15" x14ac:dyDescent="0.25">
      <c r="A4" s="123" t="s">
        <v>276</v>
      </c>
      <c r="B4" s="123" t="s">
        <v>427</v>
      </c>
      <c r="C4">
        <v>457614</v>
      </c>
      <c r="D4" s="123" t="s">
        <v>316</v>
      </c>
      <c r="E4">
        <v>9.17</v>
      </c>
      <c r="F4" s="160">
        <v>457614</v>
      </c>
    </row>
    <row r="5" spans="1:15" x14ac:dyDescent="0.25">
      <c r="A5" s="123" t="s">
        <v>276</v>
      </c>
      <c r="B5" s="123" t="s">
        <v>427</v>
      </c>
      <c r="C5">
        <v>457617</v>
      </c>
      <c r="D5" s="123" t="s">
        <v>317</v>
      </c>
      <c r="E5">
        <v>7.67</v>
      </c>
      <c r="F5" s="160">
        <v>457617</v>
      </c>
      <c r="H5" s="105"/>
      <c r="I5" s="105"/>
      <c r="J5" s="105"/>
      <c r="K5" s="105"/>
      <c r="L5" s="105"/>
      <c r="M5" s="105"/>
      <c r="N5" s="105"/>
      <c r="O5" s="105"/>
    </row>
    <row r="6" spans="1:15" x14ac:dyDescent="0.25">
      <c r="A6" s="123" t="s">
        <v>276</v>
      </c>
      <c r="B6" s="123" t="s">
        <v>427</v>
      </c>
      <c r="C6">
        <v>557668</v>
      </c>
      <c r="D6" s="123" t="s">
        <v>318</v>
      </c>
      <c r="E6">
        <v>4.6399999999999997</v>
      </c>
      <c r="F6" s="160">
        <v>557668</v>
      </c>
      <c r="H6" s="112"/>
      <c r="I6" s="105"/>
      <c r="J6" s="112"/>
      <c r="K6" s="105"/>
      <c r="L6" s="105"/>
      <c r="M6" s="105"/>
      <c r="N6" s="112"/>
      <c r="O6" s="105"/>
    </row>
    <row r="7" spans="1:15" x14ac:dyDescent="0.25">
      <c r="A7" s="123" t="s">
        <v>276</v>
      </c>
      <c r="B7" s="123" t="s">
        <v>428</v>
      </c>
      <c r="C7">
        <v>557113</v>
      </c>
      <c r="D7" s="123" t="s">
        <v>320</v>
      </c>
      <c r="E7">
        <v>3.5</v>
      </c>
      <c r="F7" s="160">
        <v>557113</v>
      </c>
      <c r="H7" s="112"/>
      <c r="I7" s="105"/>
      <c r="J7" s="112"/>
      <c r="K7" s="105"/>
      <c r="L7" s="105"/>
      <c r="M7" s="105"/>
      <c r="N7" s="112"/>
      <c r="O7" s="112"/>
    </row>
    <row r="8" spans="1:15" x14ac:dyDescent="0.25">
      <c r="A8" s="123" t="s">
        <v>276</v>
      </c>
      <c r="B8" s="123" t="s">
        <v>428</v>
      </c>
      <c r="C8">
        <v>457180</v>
      </c>
      <c r="D8" s="123" t="s">
        <v>321</v>
      </c>
      <c r="E8">
        <v>3.2</v>
      </c>
      <c r="F8" s="160">
        <v>457180</v>
      </c>
    </row>
    <row r="9" spans="1:15" x14ac:dyDescent="0.25">
      <c r="A9" s="123" t="s">
        <v>276</v>
      </c>
      <c r="B9" s="123" t="s">
        <v>428</v>
      </c>
      <c r="C9">
        <v>557182</v>
      </c>
      <c r="D9" s="123" t="s">
        <v>322</v>
      </c>
      <c r="E9">
        <v>3.2</v>
      </c>
      <c r="F9" s="160">
        <v>557182</v>
      </c>
    </row>
    <row r="10" spans="1:15" x14ac:dyDescent="0.25">
      <c r="A10" s="123" t="s">
        <v>276</v>
      </c>
      <c r="B10" s="123" t="s">
        <v>428</v>
      </c>
      <c r="C10">
        <v>457192</v>
      </c>
      <c r="D10" s="123" t="s">
        <v>323</v>
      </c>
      <c r="E10">
        <v>3</v>
      </c>
      <c r="F10" s="160">
        <v>457192</v>
      </c>
    </row>
    <row r="11" spans="1:15" x14ac:dyDescent="0.25">
      <c r="A11" s="123" t="s">
        <v>276</v>
      </c>
      <c r="B11" s="123" t="s">
        <v>428</v>
      </c>
      <c r="C11">
        <v>557303</v>
      </c>
      <c r="D11" s="123" t="s">
        <v>324</v>
      </c>
      <c r="E11">
        <v>3.5</v>
      </c>
      <c r="F11" s="160">
        <v>557303</v>
      </c>
    </row>
    <row r="12" spans="1:15" x14ac:dyDescent="0.25">
      <c r="A12" s="123" t="s">
        <v>276</v>
      </c>
      <c r="B12" s="123" t="s">
        <v>428</v>
      </c>
      <c r="C12">
        <v>457306</v>
      </c>
      <c r="D12" s="123" t="s">
        <v>325</v>
      </c>
      <c r="E12">
        <v>4</v>
      </c>
      <c r="F12" s="160">
        <v>457306</v>
      </c>
    </row>
    <row r="13" spans="1:15" x14ac:dyDescent="0.25">
      <c r="A13" s="123" t="s">
        <v>276</v>
      </c>
      <c r="B13" s="123" t="s">
        <v>428</v>
      </c>
      <c r="C13">
        <v>557307</v>
      </c>
      <c r="D13" s="123" t="s">
        <v>326</v>
      </c>
      <c r="E13">
        <v>3.5</v>
      </c>
      <c r="F13" s="160">
        <v>557307</v>
      </c>
    </row>
    <row r="14" spans="1:15" x14ac:dyDescent="0.25">
      <c r="A14" s="123" t="s">
        <v>276</v>
      </c>
      <c r="B14" s="123" t="s">
        <v>428</v>
      </c>
      <c r="C14">
        <v>557347</v>
      </c>
      <c r="D14" s="123" t="s">
        <v>327</v>
      </c>
      <c r="E14">
        <v>3</v>
      </c>
      <c r="F14" s="160">
        <v>557347</v>
      </c>
    </row>
    <row r="15" spans="1:15" x14ac:dyDescent="0.25">
      <c r="A15" s="123" t="s">
        <v>276</v>
      </c>
      <c r="B15" s="123" t="s">
        <v>428</v>
      </c>
      <c r="C15">
        <v>457348</v>
      </c>
      <c r="D15" s="123" t="s">
        <v>328</v>
      </c>
      <c r="E15">
        <v>10.5</v>
      </c>
      <c r="F15" s="160">
        <v>457348</v>
      </c>
    </row>
    <row r="16" spans="1:15" x14ac:dyDescent="0.25">
      <c r="A16" s="123" t="s">
        <v>276</v>
      </c>
      <c r="B16" s="123" t="s">
        <v>428</v>
      </c>
      <c r="C16">
        <v>457350</v>
      </c>
      <c r="D16" s="123" t="s">
        <v>329</v>
      </c>
      <c r="E16">
        <v>11</v>
      </c>
      <c r="F16" s="160">
        <v>457350</v>
      </c>
    </row>
    <row r="17" spans="1:6" x14ac:dyDescent="0.25">
      <c r="A17" s="123" t="s">
        <v>276</v>
      </c>
      <c r="B17" s="123" t="s">
        <v>428</v>
      </c>
      <c r="C17">
        <v>557352</v>
      </c>
      <c r="D17" s="123" t="s">
        <v>330</v>
      </c>
      <c r="E17">
        <v>4.3</v>
      </c>
      <c r="F17" s="160">
        <v>557352</v>
      </c>
    </row>
    <row r="18" spans="1:6" x14ac:dyDescent="0.25">
      <c r="A18" s="123" t="s">
        <v>276</v>
      </c>
      <c r="B18" s="123" t="s">
        <v>428</v>
      </c>
      <c r="C18">
        <v>457449</v>
      </c>
      <c r="D18" s="123" t="s">
        <v>331</v>
      </c>
      <c r="E18">
        <v>3.5</v>
      </c>
      <c r="F18" s="160">
        <v>457449</v>
      </c>
    </row>
    <row r="19" spans="1:6" x14ac:dyDescent="0.25">
      <c r="A19" s="123" t="s">
        <v>276</v>
      </c>
      <c r="B19" s="123" t="s">
        <v>428</v>
      </c>
      <c r="C19">
        <v>557508</v>
      </c>
      <c r="D19" s="123" t="s">
        <v>332</v>
      </c>
      <c r="E19">
        <v>3</v>
      </c>
      <c r="F19" s="160">
        <v>557508</v>
      </c>
    </row>
    <row r="20" spans="1:6" x14ac:dyDescent="0.25">
      <c r="A20" s="123" t="s">
        <v>276</v>
      </c>
      <c r="B20" s="123" t="s">
        <v>428</v>
      </c>
      <c r="C20">
        <v>557622</v>
      </c>
      <c r="D20" s="123" t="s">
        <v>333</v>
      </c>
      <c r="E20">
        <v>3.5</v>
      </c>
      <c r="F20" s="160">
        <v>557622</v>
      </c>
    </row>
    <row r="21" spans="1:6" x14ac:dyDescent="0.25">
      <c r="A21" s="123" t="s">
        <v>276</v>
      </c>
      <c r="B21" s="123" t="s">
        <v>428</v>
      </c>
      <c r="C21">
        <v>557628</v>
      </c>
      <c r="D21" s="123" t="s">
        <v>334</v>
      </c>
      <c r="E21">
        <v>3.2</v>
      </c>
      <c r="F21" s="160">
        <v>557628</v>
      </c>
    </row>
    <row r="22" spans="1:6" x14ac:dyDescent="0.25">
      <c r="A22" s="123" t="s">
        <v>276</v>
      </c>
      <c r="B22" s="123" t="s">
        <v>428</v>
      </c>
      <c r="C22">
        <v>457632</v>
      </c>
      <c r="D22" s="123" t="s">
        <v>335</v>
      </c>
      <c r="E22">
        <v>11.5</v>
      </c>
      <c r="F22" s="160">
        <v>457632</v>
      </c>
    </row>
    <row r="23" spans="1:6" x14ac:dyDescent="0.25">
      <c r="A23" s="123" t="s">
        <v>276</v>
      </c>
      <c r="B23" s="123" t="s">
        <v>428</v>
      </c>
      <c r="C23">
        <v>557633</v>
      </c>
      <c r="D23" s="123" t="s">
        <v>336</v>
      </c>
      <c r="E23">
        <v>2.5</v>
      </c>
      <c r="F23" s="160">
        <v>557633</v>
      </c>
    </row>
    <row r="24" spans="1:6" x14ac:dyDescent="0.25">
      <c r="A24" s="123" t="s">
        <v>276</v>
      </c>
      <c r="B24" s="123" t="s">
        <v>428</v>
      </c>
      <c r="C24">
        <v>557660</v>
      </c>
      <c r="D24" s="123" t="s">
        <v>338</v>
      </c>
      <c r="E24">
        <v>2.5</v>
      </c>
      <c r="F24" s="160">
        <v>557660</v>
      </c>
    </row>
    <row r="25" spans="1:6" x14ac:dyDescent="0.25">
      <c r="A25" s="123" t="s">
        <v>276</v>
      </c>
      <c r="B25" s="123" t="s">
        <v>428</v>
      </c>
      <c r="C25">
        <v>457158</v>
      </c>
      <c r="D25" s="123" t="s">
        <v>339</v>
      </c>
      <c r="E25">
        <v>6</v>
      </c>
      <c r="F25" s="160">
        <v>457158</v>
      </c>
    </row>
    <row r="26" spans="1:6" x14ac:dyDescent="0.25">
      <c r="A26" s="123" t="s">
        <v>340</v>
      </c>
      <c r="B26" s="123" t="s">
        <v>341</v>
      </c>
      <c r="C26">
        <v>588201</v>
      </c>
      <c r="D26" s="123" t="s">
        <v>342</v>
      </c>
      <c r="E26">
        <v>3.74</v>
      </c>
      <c r="F26" s="160">
        <v>588201</v>
      </c>
    </row>
    <row r="27" spans="1:6" x14ac:dyDescent="0.25">
      <c r="A27" s="123" t="s">
        <v>340</v>
      </c>
      <c r="B27" s="123" t="s">
        <v>341</v>
      </c>
      <c r="C27">
        <v>588206</v>
      </c>
      <c r="D27" s="123" t="s">
        <v>343</v>
      </c>
      <c r="E27">
        <v>2.78</v>
      </c>
      <c r="F27" s="160">
        <v>588206</v>
      </c>
    </row>
    <row r="28" spans="1:6" x14ac:dyDescent="0.25">
      <c r="A28" s="123" t="s">
        <v>340</v>
      </c>
      <c r="B28" s="123" t="s">
        <v>341</v>
      </c>
      <c r="C28">
        <v>588216</v>
      </c>
      <c r="D28" s="123" t="s">
        <v>344</v>
      </c>
      <c r="E28">
        <v>1</v>
      </c>
      <c r="F28" s="160">
        <v>588216</v>
      </c>
    </row>
    <row r="29" spans="1:6" x14ac:dyDescent="0.25">
      <c r="A29" s="123" t="s">
        <v>340</v>
      </c>
      <c r="B29" s="123" t="s">
        <v>341</v>
      </c>
      <c r="C29">
        <v>488256</v>
      </c>
      <c r="D29" s="123" t="s">
        <v>345</v>
      </c>
      <c r="E29">
        <v>2</v>
      </c>
      <c r="F29" s="160">
        <v>488256</v>
      </c>
    </row>
    <row r="30" spans="1:6" x14ac:dyDescent="0.25">
      <c r="A30" s="123" t="s">
        <v>340</v>
      </c>
      <c r="B30" s="123" t="s">
        <v>341</v>
      </c>
      <c r="C30">
        <v>488281</v>
      </c>
      <c r="D30" s="123" t="s">
        <v>346</v>
      </c>
      <c r="E30">
        <v>4.4400000000000004</v>
      </c>
      <c r="F30" s="160">
        <v>488281</v>
      </c>
    </row>
    <row r="31" spans="1:6" x14ac:dyDescent="0.25">
      <c r="A31" s="123" t="s">
        <v>340</v>
      </c>
      <c r="B31" s="123" t="s">
        <v>341</v>
      </c>
      <c r="C31">
        <v>488286</v>
      </c>
      <c r="D31" s="123" t="s">
        <v>347</v>
      </c>
      <c r="E31">
        <v>10.130000000000001</v>
      </c>
      <c r="F31" s="160">
        <v>488286</v>
      </c>
    </row>
    <row r="32" spans="1:6" x14ac:dyDescent="0.25">
      <c r="A32" s="123" t="s">
        <v>340</v>
      </c>
      <c r="B32" s="123" t="s">
        <v>341</v>
      </c>
      <c r="C32">
        <v>488291</v>
      </c>
      <c r="D32" s="123" t="s">
        <v>348</v>
      </c>
      <c r="E32">
        <v>1</v>
      </c>
      <c r="F32" s="160">
        <v>488291</v>
      </c>
    </row>
    <row r="33" spans="1:6" x14ac:dyDescent="0.25">
      <c r="A33" s="123" t="s">
        <v>340</v>
      </c>
      <c r="B33" s="123" t="s">
        <v>341</v>
      </c>
      <c r="C33">
        <v>488288</v>
      </c>
      <c r="D33" s="123" t="s">
        <v>349</v>
      </c>
      <c r="E33">
        <v>2</v>
      </c>
      <c r="F33" s="160">
        <v>488288</v>
      </c>
    </row>
    <row r="34" spans="1:6" x14ac:dyDescent="0.25">
      <c r="A34" s="123" t="s">
        <v>340</v>
      </c>
      <c r="B34" s="123" t="s">
        <v>341</v>
      </c>
      <c r="C34">
        <v>588336</v>
      </c>
      <c r="D34" s="123" t="s">
        <v>350</v>
      </c>
      <c r="E34">
        <v>3.78</v>
      </c>
      <c r="F34" s="160">
        <v>588336</v>
      </c>
    </row>
    <row r="35" spans="1:6" x14ac:dyDescent="0.25">
      <c r="A35" s="123" t="s">
        <v>340</v>
      </c>
      <c r="B35" s="123" t="s">
        <v>341</v>
      </c>
      <c r="C35">
        <v>588396</v>
      </c>
      <c r="D35" s="123" t="s">
        <v>351</v>
      </c>
      <c r="E35">
        <v>2.91</v>
      </c>
      <c r="F35" s="160">
        <v>588396</v>
      </c>
    </row>
    <row r="36" spans="1:6" x14ac:dyDescent="0.25">
      <c r="A36" s="123" t="s">
        <v>340</v>
      </c>
      <c r="B36" s="123" t="s">
        <v>341</v>
      </c>
      <c r="C36">
        <v>488451</v>
      </c>
      <c r="D36" s="123" t="s">
        <v>352</v>
      </c>
      <c r="E36">
        <v>4.6500000000000004</v>
      </c>
      <c r="F36" s="160">
        <v>488451</v>
      </c>
    </row>
    <row r="37" spans="1:6" x14ac:dyDescent="0.25">
      <c r="A37" s="123" t="s">
        <v>340</v>
      </c>
      <c r="B37" s="123" t="s">
        <v>341</v>
      </c>
      <c r="C37">
        <v>588501</v>
      </c>
      <c r="D37" s="123" t="s">
        <v>353</v>
      </c>
      <c r="E37">
        <v>5</v>
      </c>
      <c r="F37" s="160">
        <v>588501</v>
      </c>
    </row>
    <row r="38" spans="1:6" x14ac:dyDescent="0.25">
      <c r="A38" s="123" t="s">
        <v>340</v>
      </c>
      <c r="B38" s="123" t="s">
        <v>341</v>
      </c>
      <c r="C38">
        <v>488561</v>
      </c>
      <c r="D38" s="123" t="s">
        <v>354</v>
      </c>
      <c r="E38">
        <v>5.78</v>
      </c>
      <c r="F38" s="160">
        <v>488561</v>
      </c>
    </row>
    <row r="39" spans="1:6" x14ac:dyDescent="0.25">
      <c r="A39" s="123" t="s">
        <v>340</v>
      </c>
      <c r="B39" s="123" t="s">
        <v>341</v>
      </c>
      <c r="C39">
        <v>588631</v>
      </c>
      <c r="D39" s="123" t="s">
        <v>355</v>
      </c>
      <c r="E39">
        <v>5.56</v>
      </c>
      <c r="F39" s="160">
        <v>588631</v>
      </c>
    </row>
    <row r="40" spans="1:6" x14ac:dyDescent="0.25">
      <c r="A40" s="123" t="s">
        <v>340</v>
      </c>
      <c r="B40" s="123" t="s">
        <v>341</v>
      </c>
      <c r="C40">
        <v>488706</v>
      </c>
      <c r="D40" s="123" t="s">
        <v>356</v>
      </c>
      <c r="E40">
        <v>3.88</v>
      </c>
      <c r="F40" s="160">
        <v>488706</v>
      </c>
    </row>
    <row r="41" spans="1:6" x14ac:dyDescent="0.25">
      <c r="A41" s="123" t="s">
        <v>340</v>
      </c>
      <c r="B41" s="123" t="s">
        <v>341</v>
      </c>
      <c r="C41">
        <v>588716</v>
      </c>
      <c r="D41" s="123" t="s">
        <v>357</v>
      </c>
      <c r="E41">
        <v>2</v>
      </c>
      <c r="F41" s="160">
        <v>588716</v>
      </c>
    </row>
    <row r="42" spans="1:6" x14ac:dyDescent="0.25">
      <c r="A42" s="123" t="s">
        <v>340</v>
      </c>
      <c r="B42" s="123" t="s">
        <v>429</v>
      </c>
      <c r="C42">
        <v>588186</v>
      </c>
      <c r="D42" s="123" t="s">
        <v>359</v>
      </c>
      <c r="E42">
        <v>2.78</v>
      </c>
      <c r="F42" s="160">
        <v>588186</v>
      </c>
    </row>
    <row r="43" spans="1:6" x14ac:dyDescent="0.25">
      <c r="A43" s="123" t="s">
        <v>340</v>
      </c>
      <c r="B43" s="123" t="s">
        <v>429</v>
      </c>
      <c r="C43">
        <v>488246</v>
      </c>
      <c r="D43" s="123" t="s">
        <v>360</v>
      </c>
      <c r="E43">
        <v>3</v>
      </c>
      <c r="F43" s="160">
        <v>488246</v>
      </c>
    </row>
    <row r="44" spans="1:6" x14ac:dyDescent="0.25">
      <c r="A44" s="123" t="s">
        <v>340</v>
      </c>
      <c r="B44" s="123" t="s">
        <v>429</v>
      </c>
      <c r="C44">
        <v>588316</v>
      </c>
      <c r="D44" s="123" t="s">
        <v>361</v>
      </c>
      <c r="E44">
        <v>4</v>
      </c>
      <c r="F44" s="160">
        <v>588316</v>
      </c>
    </row>
    <row r="45" spans="1:6" x14ac:dyDescent="0.25">
      <c r="A45" s="123" t="s">
        <v>340</v>
      </c>
      <c r="B45" s="123" t="s">
        <v>429</v>
      </c>
      <c r="C45">
        <v>488326</v>
      </c>
      <c r="D45" s="123" t="s">
        <v>362</v>
      </c>
      <c r="E45">
        <v>5</v>
      </c>
      <c r="F45" s="160">
        <v>488326</v>
      </c>
    </row>
    <row r="46" spans="1:6" x14ac:dyDescent="0.25">
      <c r="A46" s="123" t="s">
        <v>340</v>
      </c>
      <c r="B46" s="123" t="s">
        <v>429</v>
      </c>
      <c r="C46">
        <v>488346</v>
      </c>
      <c r="D46" s="123" t="s">
        <v>363</v>
      </c>
      <c r="E46">
        <v>2</v>
      </c>
      <c r="F46" s="160">
        <v>488346</v>
      </c>
    </row>
    <row r="47" spans="1:6" x14ac:dyDescent="0.25">
      <c r="A47" s="123" t="s">
        <v>340</v>
      </c>
      <c r="B47" s="123" t="s">
        <v>429</v>
      </c>
      <c r="C47">
        <v>588386</v>
      </c>
      <c r="D47" s="123" t="s">
        <v>364</v>
      </c>
      <c r="E47">
        <v>2</v>
      </c>
      <c r="F47" s="160">
        <v>588386</v>
      </c>
    </row>
    <row r="48" spans="1:6" x14ac:dyDescent="0.25">
      <c r="A48" s="123" t="s">
        <v>340</v>
      </c>
      <c r="B48" s="123" t="s">
        <v>429</v>
      </c>
      <c r="C48">
        <v>588461</v>
      </c>
      <c r="D48" s="123" t="s">
        <v>365</v>
      </c>
      <c r="E48">
        <v>2.78</v>
      </c>
      <c r="F48" s="160">
        <v>588461</v>
      </c>
    </row>
    <row r="49" spans="1:6" x14ac:dyDescent="0.25">
      <c r="A49" s="123" t="s">
        <v>340</v>
      </c>
      <c r="B49" s="123" t="s">
        <v>429</v>
      </c>
      <c r="C49">
        <v>588551</v>
      </c>
      <c r="D49" s="123" t="s">
        <v>366</v>
      </c>
      <c r="E49">
        <v>4</v>
      </c>
      <c r="F49" s="160">
        <v>588551</v>
      </c>
    </row>
    <row r="50" spans="1:6" x14ac:dyDescent="0.25">
      <c r="A50" s="123" t="s">
        <v>340</v>
      </c>
      <c r="B50" s="123" t="s">
        <v>429</v>
      </c>
      <c r="C50">
        <v>488556</v>
      </c>
      <c r="D50" s="123" t="s">
        <v>367</v>
      </c>
      <c r="E50">
        <v>3.71</v>
      </c>
      <c r="F50" s="160">
        <v>488556</v>
      </c>
    </row>
    <row r="51" spans="1:6" x14ac:dyDescent="0.25">
      <c r="A51" s="123" t="s">
        <v>340</v>
      </c>
      <c r="B51" s="123" t="s">
        <v>429</v>
      </c>
      <c r="C51">
        <v>488586</v>
      </c>
      <c r="D51" s="123" t="s">
        <v>358</v>
      </c>
      <c r="E51">
        <v>10.32</v>
      </c>
      <c r="F51" s="160">
        <v>488586</v>
      </c>
    </row>
    <row r="52" spans="1:6" x14ac:dyDescent="0.25">
      <c r="A52" s="123" t="s">
        <v>340</v>
      </c>
      <c r="B52" s="123" t="s">
        <v>429</v>
      </c>
      <c r="C52">
        <v>588587</v>
      </c>
      <c r="D52" s="123" t="s">
        <v>368</v>
      </c>
      <c r="E52">
        <v>4</v>
      </c>
      <c r="F52" s="160">
        <v>588587</v>
      </c>
    </row>
    <row r="53" spans="1:6" x14ac:dyDescent="0.25">
      <c r="A53" s="123" t="s">
        <v>340</v>
      </c>
      <c r="B53" s="123" t="s">
        <v>429</v>
      </c>
      <c r="C53">
        <v>488616</v>
      </c>
      <c r="D53" s="123" t="s">
        <v>369</v>
      </c>
      <c r="E53">
        <v>2</v>
      </c>
      <c r="F53" s="160">
        <v>488616</v>
      </c>
    </row>
    <row r="54" spans="1:6" x14ac:dyDescent="0.25">
      <c r="A54" s="123" t="s">
        <v>340</v>
      </c>
      <c r="B54" s="123" t="s">
        <v>429</v>
      </c>
      <c r="C54">
        <v>588666</v>
      </c>
      <c r="D54" s="123" t="s">
        <v>370</v>
      </c>
      <c r="E54">
        <v>3.8</v>
      </c>
      <c r="F54" s="160">
        <v>588666</v>
      </c>
    </row>
    <row r="55" spans="1:6" x14ac:dyDescent="0.25">
      <c r="A55" s="123" t="s">
        <v>430</v>
      </c>
      <c r="B55" s="123" t="s">
        <v>0</v>
      </c>
      <c r="C55">
        <v>410560</v>
      </c>
      <c r="D55" s="123" t="s">
        <v>5</v>
      </c>
      <c r="E55">
        <v>2</v>
      </c>
      <c r="F55" s="160">
        <v>410560</v>
      </c>
    </row>
    <row r="56" spans="1:6" x14ac:dyDescent="0.25">
      <c r="A56" s="123" t="s">
        <v>430</v>
      </c>
      <c r="B56" s="123" t="s">
        <v>0</v>
      </c>
      <c r="C56">
        <v>410566</v>
      </c>
      <c r="D56" s="123" t="s">
        <v>57</v>
      </c>
      <c r="E56">
        <v>10</v>
      </c>
      <c r="F56" s="160">
        <v>410566</v>
      </c>
    </row>
    <row r="57" spans="1:6" x14ac:dyDescent="0.25">
      <c r="A57" s="123" t="s">
        <v>430</v>
      </c>
      <c r="B57" s="123" t="s">
        <v>0</v>
      </c>
      <c r="C57">
        <v>510590</v>
      </c>
      <c r="D57" s="123" t="s">
        <v>58</v>
      </c>
      <c r="E57">
        <v>3</v>
      </c>
      <c r="F57" s="160">
        <v>510590</v>
      </c>
    </row>
    <row r="58" spans="1:6" x14ac:dyDescent="0.25">
      <c r="A58" s="123" t="s">
        <v>430</v>
      </c>
      <c r="B58" s="123" t="s">
        <v>0</v>
      </c>
      <c r="C58">
        <v>451154</v>
      </c>
      <c r="D58" s="123" t="s">
        <v>59</v>
      </c>
      <c r="E58">
        <v>3</v>
      </c>
      <c r="F58" s="160">
        <v>451154</v>
      </c>
    </row>
    <row r="59" spans="1:6" x14ac:dyDescent="0.25">
      <c r="A59" s="123" t="s">
        <v>430</v>
      </c>
      <c r="B59" s="123" t="s">
        <v>0</v>
      </c>
      <c r="C59">
        <v>410541</v>
      </c>
      <c r="D59" s="123" t="s">
        <v>60</v>
      </c>
      <c r="E59">
        <v>8</v>
      </c>
      <c r="F59" s="160">
        <v>410541</v>
      </c>
    </row>
    <row r="60" spans="1:6" x14ac:dyDescent="0.25">
      <c r="A60" s="123" t="s">
        <v>430</v>
      </c>
      <c r="B60" s="123" t="s">
        <v>0</v>
      </c>
      <c r="C60">
        <v>410582</v>
      </c>
      <c r="D60" s="123" t="s">
        <v>61</v>
      </c>
      <c r="E60">
        <v>2</v>
      </c>
      <c r="F60" s="160">
        <v>410582</v>
      </c>
    </row>
    <row r="61" spans="1:6" x14ac:dyDescent="0.25">
      <c r="A61" s="123" t="s">
        <v>430</v>
      </c>
      <c r="B61" s="123" t="s">
        <v>0</v>
      </c>
      <c r="C61">
        <v>451156</v>
      </c>
      <c r="D61" s="123" t="s">
        <v>62</v>
      </c>
      <c r="E61">
        <v>6.38</v>
      </c>
      <c r="F61" s="160">
        <v>451156</v>
      </c>
    </row>
    <row r="62" spans="1:6" x14ac:dyDescent="0.25">
      <c r="A62" s="123" t="s">
        <v>430</v>
      </c>
      <c r="B62" s="123" t="s">
        <v>0</v>
      </c>
      <c r="C62">
        <v>551157</v>
      </c>
      <c r="D62" s="123" t="s">
        <v>63</v>
      </c>
      <c r="E62">
        <v>2.84</v>
      </c>
      <c r="F62" s="160">
        <v>551157</v>
      </c>
    </row>
    <row r="63" spans="1:6" x14ac:dyDescent="0.25">
      <c r="A63" s="123" t="s">
        <v>430</v>
      </c>
      <c r="B63" s="123" t="s">
        <v>0</v>
      </c>
      <c r="C63">
        <v>451151</v>
      </c>
      <c r="D63" s="123" t="s">
        <v>64</v>
      </c>
      <c r="E63">
        <v>3</v>
      </c>
      <c r="F63" s="160">
        <v>451151</v>
      </c>
    </row>
    <row r="64" spans="1:6" x14ac:dyDescent="0.25">
      <c r="A64" s="123" t="s">
        <v>430</v>
      </c>
      <c r="B64" s="123" t="s">
        <v>65</v>
      </c>
      <c r="C64">
        <v>510530</v>
      </c>
      <c r="D64" s="123" t="s">
        <v>66</v>
      </c>
      <c r="E64">
        <v>4</v>
      </c>
      <c r="F64" s="160">
        <v>510530</v>
      </c>
    </row>
    <row r="65" spans="1:6" x14ac:dyDescent="0.25">
      <c r="A65" s="123" t="s">
        <v>430</v>
      </c>
      <c r="B65" s="123" t="s">
        <v>65</v>
      </c>
      <c r="C65">
        <v>410550</v>
      </c>
      <c r="D65" s="123" t="s">
        <v>67</v>
      </c>
      <c r="E65">
        <v>4</v>
      </c>
      <c r="F65" s="160">
        <v>410550</v>
      </c>
    </row>
    <row r="66" spans="1:6" x14ac:dyDescent="0.25">
      <c r="A66" s="123" t="s">
        <v>430</v>
      </c>
      <c r="B66" s="123" t="s">
        <v>65</v>
      </c>
      <c r="C66">
        <v>510556</v>
      </c>
      <c r="D66" s="123" t="s">
        <v>68</v>
      </c>
      <c r="E66">
        <v>4</v>
      </c>
      <c r="F66" s="160">
        <v>510556</v>
      </c>
    </row>
    <row r="67" spans="1:6" x14ac:dyDescent="0.25">
      <c r="A67" s="123" t="s">
        <v>430</v>
      </c>
      <c r="B67" s="123" t="s">
        <v>65</v>
      </c>
      <c r="C67">
        <v>410551</v>
      </c>
      <c r="D67" s="123" t="s">
        <v>69</v>
      </c>
      <c r="E67">
        <v>2</v>
      </c>
      <c r="F67" s="160">
        <v>410551</v>
      </c>
    </row>
    <row r="68" spans="1:6" x14ac:dyDescent="0.25">
      <c r="A68" s="123" t="s">
        <v>430</v>
      </c>
      <c r="B68" s="123" t="s">
        <v>65</v>
      </c>
      <c r="C68">
        <v>510523</v>
      </c>
      <c r="D68" s="123" t="s">
        <v>70</v>
      </c>
      <c r="E68">
        <v>7</v>
      </c>
      <c r="F68" s="160">
        <v>510523</v>
      </c>
    </row>
    <row r="69" spans="1:6" x14ac:dyDescent="0.25">
      <c r="A69" s="123" t="s">
        <v>430</v>
      </c>
      <c r="B69" s="123" t="s">
        <v>65</v>
      </c>
      <c r="C69">
        <v>510570</v>
      </c>
      <c r="D69" s="123" t="s">
        <v>71</v>
      </c>
      <c r="E69">
        <v>4.8</v>
      </c>
      <c r="F69" s="160">
        <v>510570</v>
      </c>
    </row>
    <row r="70" spans="1:6" x14ac:dyDescent="0.25">
      <c r="A70" s="123" t="s">
        <v>430</v>
      </c>
      <c r="B70" s="123" t="s">
        <v>65</v>
      </c>
      <c r="C70">
        <v>410571</v>
      </c>
      <c r="D70" s="123" t="s">
        <v>72</v>
      </c>
      <c r="E70">
        <v>7.15</v>
      </c>
      <c r="F70" s="160">
        <v>410571</v>
      </c>
    </row>
    <row r="71" spans="1:6" x14ac:dyDescent="0.25">
      <c r="A71" s="123" t="s">
        <v>430</v>
      </c>
      <c r="B71" s="123" t="s">
        <v>65</v>
      </c>
      <c r="C71">
        <v>510520</v>
      </c>
      <c r="D71" s="123" t="s">
        <v>73</v>
      </c>
      <c r="E71">
        <v>4.78</v>
      </c>
      <c r="F71" s="160">
        <v>510520</v>
      </c>
    </row>
    <row r="72" spans="1:6" x14ac:dyDescent="0.25">
      <c r="A72" s="123" t="s">
        <v>430</v>
      </c>
      <c r="B72" s="123" t="s">
        <v>65</v>
      </c>
      <c r="C72">
        <v>410524</v>
      </c>
      <c r="D72" s="123" t="s">
        <v>75</v>
      </c>
      <c r="E72">
        <v>5.96</v>
      </c>
      <c r="F72" s="160">
        <v>410524</v>
      </c>
    </row>
    <row r="73" spans="1:6" x14ac:dyDescent="0.25">
      <c r="A73" s="123" t="s">
        <v>430</v>
      </c>
      <c r="B73" s="123" t="s">
        <v>65</v>
      </c>
      <c r="C73">
        <v>410521</v>
      </c>
      <c r="D73" s="123" t="s">
        <v>74</v>
      </c>
      <c r="E73">
        <v>5</v>
      </c>
      <c r="F73" s="160">
        <v>410521</v>
      </c>
    </row>
    <row r="74" spans="1:6" x14ac:dyDescent="0.25">
      <c r="A74" s="123" t="s">
        <v>430</v>
      </c>
      <c r="B74" s="123" t="s">
        <v>65</v>
      </c>
      <c r="C74">
        <v>510513</v>
      </c>
      <c r="D74" s="123" t="s">
        <v>76</v>
      </c>
      <c r="E74">
        <v>4.4000000000000004</v>
      </c>
      <c r="F74" s="160">
        <v>510513</v>
      </c>
    </row>
    <row r="75" spans="1:6" x14ac:dyDescent="0.25">
      <c r="A75" s="123" t="s">
        <v>430</v>
      </c>
      <c r="B75" s="123" t="s">
        <v>65</v>
      </c>
      <c r="C75">
        <v>510511</v>
      </c>
      <c r="D75" s="123" t="s">
        <v>77</v>
      </c>
      <c r="E75">
        <v>3.58</v>
      </c>
      <c r="F75" s="160">
        <v>510511</v>
      </c>
    </row>
    <row r="76" spans="1:6" x14ac:dyDescent="0.25">
      <c r="A76" s="123" t="s">
        <v>430</v>
      </c>
      <c r="B76" s="123" t="s">
        <v>65</v>
      </c>
      <c r="C76">
        <v>510522</v>
      </c>
      <c r="D76" s="123" t="s">
        <v>78</v>
      </c>
      <c r="E76">
        <v>2.61</v>
      </c>
      <c r="F76" s="160">
        <v>510522</v>
      </c>
    </row>
    <row r="77" spans="1:6" x14ac:dyDescent="0.25">
      <c r="A77" s="123" t="s">
        <v>430</v>
      </c>
      <c r="B77" s="123" t="s">
        <v>65</v>
      </c>
      <c r="C77">
        <v>410510</v>
      </c>
      <c r="D77" s="123" t="s">
        <v>79</v>
      </c>
      <c r="E77">
        <v>9.84</v>
      </c>
      <c r="F77" s="160">
        <v>410510</v>
      </c>
    </row>
    <row r="78" spans="1:6" x14ac:dyDescent="0.25">
      <c r="A78" s="123" t="s">
        <v>430</v>
      </c>
      <c r="B78" s="123" t="s">
        <v>65</v>
      </c>
      <c r="C78">
        <v>410512</v>
      </c>
      <c r="D78" s="123" t="s">
        <v>80</v>
      </c>
      <c r="E78">
        <v>4.78</v>
      </c>
      <c r="F78" s="160">
        <v>410512</v>
      </c>
    </row>
    <row r="79" spans="1:6" x14ac:dyDescent="0.25">
      <c r="A79" s="123" t="s">
        <v>431</v>
      </c>
      <c r="B79" s="123" t="s">
        <v>432</v>
      </c>
      <c r="C79">
        <v>4017</v>
      </c>
      <c r="D79" s="123" t="s">
        <v>433</v>
      </c>
      <c r="E79">
        <v>10.199999999999999</v>
      </c>
      <c r="F79" s="160">
        <v>4017</v>
      </c>
    </row>
    <row r="80" spans="1:6" x14ac:dyDescent="0.25">
      <c r="A80" s="123" t="s">
        <v>431</v>
      </c>
      <c r="B80" s="123" t="s">
        <v>434</v>
      </c>
      <c r="C80">
        <v>4022</v>
      </c>
      <c r="D80" s="123" t="s">
        <v>435</v>
      </c>
      <c r="E80">
        <v>4.2300000000000004</v>
      </c>
      <c r="F80" s="160">
        <v>4022</v>
      </c>
    </row>
    <row r="81" spans="1:6" x14ac:dyDescent="0.25">
      <c r="A81" s="123" t="s">
        <v>436</v>
      </c>
      <c r="B81" s="123" t="s">
        <v>82</v>
      </c>
      <c r="C81">
        <v>4057</v>
      </c>
      <c r="D81" s="123" t="s">
        <v>83</v>
      </c>
      <c r="E81">
        <v>5.8</v>
      </c>
      <c r="F81" s="160">
        <v>4057</v>
      </c>
    </row>
    <row r="82" spans="1:6" x14ac:dyDescent="0.25">
      <c r="A82" s="123" t="s">
        <v>436</v>
      </c>
      <c r="B82" s="123" t="s">
        <v>82</v>
      </c>
      <c r="C82">
        <v>4082</v>
      </c>
      <c r="D82" s="123" t="s">
        <v>84</v>
      </c>
      <c r="E82">
        <v>2.85</v>
      </c>
      <c r="F82" s="160">
        <v>4082</v>
      </c>
    </row>
    <row r="83" spans="1:6" x14ac:dyDescent="0.25">
      <c r="A83" s="123" t="s">
        <v>436</v>
      </c>
      <c r="B83" s="123" t="s">
        <v>82</v>
      </c>
      <c r="C83">
        <v>4030</v>
      </c>
      <c r="D83" s="123" t="s">
        <v>85</v>
      </c>
      <c r="E83">
        <v>7.4</v>
      </c>
      <c r="F83" s="160">
        <v>4030</v>
      </c>
    </row>
    <row r="84" spans="1:6" x14ac:dyDescent="0.25">
      <c r="A84" s="123" t="s">
        <v>436</v>
      </c>
      <c r="B84" s="123" t="s">
        <v>82</v>
      </c>
      <c r="C84">
        <v>4060</v>
      </c>
      <c r="D84" s="123" t="s">
        <v>86</v>
      </c>
      <c r="E84">
        <v>7.77</v>
      </c>
      <c r="F84" s="160">
        <v>4060</v>
      </c>
    </row>
    <row r="85" spans="1:6" x14ac:dyDescent="0.25">
      <c r="A85" s="123" t="s">
        <v>436</v>
      </c>
      <c r="B85" s="123" t="s">
        <v>82</v>
      </c>
      <c r="C85">
        <v>4064</v>
      </c>
      <c r="D85" s="123" t="s">
        <v>87</v>
      </c>
      <c r="E85">
        <v>1.32</v>
      </c>
      <c r="F85" s="160">
        <v>4064</v>
      </c>
    </row>
    <row r="86" spans="1:6" x14ac:dyDescent="0.25">
      <c r="A86" s="123" t="s">
        <v>436</v>
      </c>
      <c r="B86" s="123" t="s">
        <v>82</v>
      </c>
      <c r="C86">
        <v>4092</v>
      </c>
      <c r="D86" s="123" t="s">
        <v>88</v>
      </c>
      <c r="E86">
        <v>2.78</v>
      </c>
      <c r="F86" s="160">
        <v>4092</v>
      </c>
    </row>
    <row r="87" spans="1:6" x14ac:dyDescent="0.25">
      <c r="A87" s="123" t="s">
        <v>436</v>
      </c>
      <c r="B87" s="123" t="s">
        <v>82</v>
      </c>
      <c r="C87">
        <v>4041</v>
      </c>
      <c r="D87" s="123" t="s">
        <v>89</v>
      </c>
      <c r="E87">
        <v>2.73</v>
      </c>
      <c r="F87" s="160">
        <v>4041</v>
      </c>
    </row>
    <row r="88" spans="1:6" x14ac:dyDescent="0.25">
      <c r="A88" s="123" t="s">
        <v>436</v>
      </c>
      <c r="B88" s="123" t="s">
        <v>82</v>
      </c>
      <c r="C88">
        <v>4085</v>
      </c>
      <c r="D88" s="123" t="s">
        <v>90</v>
      </c>
      <c r="E88">
        <v>3.78</v>
      </c>
      <c r="F88" s="160">
        <v>4085</v>
      </c>
    </row>
    <row r="89" spans="1:6" x14ac:dyDescent="0.25">
      <c r="A89" s="123" t="s">
        <v>436</v>
      </c>
      <c r="B89" s="123" t="s">
        <v>82</v>
      </c>
      <c r="C89">
        <v>4066</v>
      </c>
      <c r="D89" s="123" t="s">
        <v>91</v>
      </c>
      <c r="E89">
        <v>6.22</v>
      </c>
      <c r="F89" s="160">
        <v>4066</v>
      </c>
    </row>
    <row r="90" spans="1:6" x14ac:dyDescent="0.25">
      <c r="A90" s="123" t="s">
        <v>436</v>
      </c>
      <c r="B90" s="123" t="s">
        <v>82</v>
      </c>
      <c r="C90">
        <v>4067</v>
      </c>
      <c r="D90" s="123" t="s">
        <v>92</v>
      </c>
      <c r="E90">
        <v>3</v>
      </c>
      <c r="F90" s="160">
        <v>4067</v>
      </c>
    </row>
    <row r="91" spans="1:6" x14ac:dyDescent="0.25">
      <c r="A91" s="123" t="s">
        <v>436</v>
      </c>
      <c r="B91" s="123" t="s">
        <v>82</v>
      </c>
      <c r="C91">
        <v>4095</v>
      </c>
      <c r="D91" s="123" t="s">
        <v>93</v>
      </c>
      <c r="E91">
        <v>3.44</v>
      </c>
      <c r="F91" s="160">
        <v>4095</v>
      </c>
    </row>
    <row r="92" spans="1:6" x14ac:dyDescent="0.25">
      <c r="A92" s="123" t="s">
        <v>436</v>
      </c>
      <c r="B92" s="123" t="s">
        <v>82</v>
      </c>
      <c r="C92">
        <v>4087</v>
      </c>
      <c r="D92" s="123" t="s">
        <v>94</v>
      </c>
      <c r="E92">
        <v>7.79</v>
      </c>
      <c r="F92" s="160">
        <v>4087</v>
      </c>
    </row>
    <row r="93" spans="1:6" x14ac:dyDescent="0.25">
      <c r="A93" s="123" t="s">
        <v>436</v>
      </c>
      <c r="B93" s="123" t="s">
        <v>82</v>
      </c>
      <c r="C93">
        <v>4073</v>
      </c>
      <c r="D93" s="123" t="s">
        <v>95</v>
      </c>
      <c r="E93">
        <v>1.85</v>
      </c>
      <c r="F93" s="160">
        <v>4073</v>
      </c>
    </row>
    <row r="94" spans="1:6" x14ac:dyDescent="0.25">
      <c r="A94" s="123" t="s">
        <v>436</v>
      </c>
      <c r="B94" s="123" t="s">
        <v>82</v>
      </c>
      <c r="C94">
        <v>4074</v>
      </c>
      <c r="D94" s="123" t="s">
        <v>96</v>
      </c>
      <c r="E94">
        <v>2</v>
      </c>
      <c r="F94" s="160">
        <v>4074</v>
      </c>
    </row>
    <row r="95" spans="1:6" x14ac:dyDescent="0.25">
      <c r="A95" s="123" t="s">
        <v>436</v>
      </c>
      <c r="B95" s="123" t="s">
        <v>82</v>
      </c>
      <c r="C95">
        <v>4079</v>
      </c>
      <c r="D95" s="123" t="s">
        <v>97</v>
      </c>
      <c r="E95">
        <v>2.57</v>
      </c>
      <c r="F95" s="160">
        <v>4079</v>
      </c>
    </row>
    <row r="96" spans="1:6" x14ac:dyDescent="0.25">
      <c r="A96" s="123" t="s">
        <v>436</v>
      </c>
      <c r="B96" s="123" t="s">
        <v>82</v>
      </c>
      <c r="C96">
        <v>4031</v>
      </c>
      <c r="D96" s="123" t="s">
        <v>98</v>
      </c>
      <c r="E96">
        <v>3</v>
      </c>
      <c r="F96" s="160">
        <v>4031</v>
      </c>
    </row>
    <row r="97" spans="1:6" x14ac:dyDescent="0.25">
      <c r="A97" s="123" t="s">
        <v>436</v>
      </c>
      <c r="B97" s="123" t="s">
        <v>82</v>
      </c>
      <c r="C97">
        <v>4071</v>
      </c>
      <c r="D97" s="123" t="s">
        <v>99</v>
      </c>
      <c r="E97">
        <v>9.3800000000000008</v>
      </c>
      <c r="F97" s="160">
        <v>4071</v>
      </c>
    </row>
    <row r="98" spans="1:6" x14ac:dyDescent="0.25">
      <c r="A98" s="123" t="s">
        <v>436</v>
      </c>
      <c r="B98" s="123" t="s">
        <v>82</v>
      </c>
      <c r="C98">
        <v>4080</v>
      </c>
      <c r="D98" s="123" t="s">
        <v>100</v>
      </c>
      <c r="E98">
        <v>2.48</v>
      </c>
      <c r="F98" s="160">
        <v>4080</v>
      </c>
    </row>
    <row r="99" spans="1:6" x14ac:dyDescent="0.25">
      <c r="A99" s="123" t="s">
        <v>436</v>
      </c>
      <c r="B99" s="123" t="s">
        <v>101</v>
      </c>
      <c r="C99">
        <v>4113</v>
      </c>
      <c r="D99" s="123" t="s">
        <v>102</v>
      </c>
      <c r="E99">
        <v>3</v>
      </c>
      <c r="F99" s="160">
        <v>4113</v>
      </c>
    </row>
    <row r="100" spans="1:6" x14ac:dyDescent="0.25">
      <c r="A100" s="123" t="s">
        <v>436</v>
      </c>
      <c r="B100" s="123" t="s">
        <v>101</v>
      </c>
      <c r="C100">
        <v>4111</v>
      </c>
      <c r="D100" s="123" t="s">
        <v>103</v>
      </c>
      <c r="E100">
        <v>4</v>
      </c>
      <c r="F100" s="160">
        <v>4111</v>
      </c>
    </row>
    <row r="101" spans="1:6" x14ac:dyDescent="0.25">
      <c r="A101" s="123" t="s">
        <v>436</v>
      </c>
      <c r="B101" s="123" t="s">
        <v>101</v>
      </c>
      <c r="C101">
        <v>4104</v>
      </c>
      <c r="D101" s="123" t="s">
        <v>104</v>
      </c>
      <c r="E101">
        <v>5.7</v>
      </c>
      <c r="F101" s="160">
        <v>4104</v>
      </c>
    </row>
    <row r="102" spans="1:6" x14ac:dyDescent="0.25">
      <c r="A102" s="123" t="s">
        <v>436</v>
      </c>
      <c r="B102" s="123" t="s">
        <v>101</v>
      </c>
      <c r="C102">
        <v>4008</v>
      </c>
      <c r="D102" s="123" t="s">
        <v>105</v>
      </c>
      <c r="E102">
        <v>1.96</v>
      </c>
      <c r="F102" s="160">
        <v>4008</v>
      </c>
    </row>
    <row r="103" spans="1:6" x14ac:dyDescent="0.25">
      <c r="A103" s="123" t="s">
        <v>436</v>
      </c>
      <c r="B103" s="123" t="s">
        <v>101</v>
      </c>
      <c r="C103">
        <v>4007</v>
      </c>
      <c r="D103" s="123" t="s">
        <v>106</v>
      </c>
      <c r="E103">
        <v>8</v>
      </c>
      <c r="F103" s="160">
        <v>4007</v>
      </c>
    </row>
    <row r="104" spans="1:6" x14ac:dyDescent="0.25">
      <c r="A104" s="123" t="s">
        <v>436</v>
      </c>
      <c r="B104" s="123" t="s">
        <v>101</v>
      </c>
      <c r="C104">
        <v>4015</v>
      </c>
      <c r="D104" s="123" t="s">
        <v>107</v>
      </c>
      <c r="E104">
        <v>4.8</v>
      </c>
      <c r="F104" s="160">
        <v>4015</v>
      </c>
    </row>
    <row r="105" spans="1:6" x14ac:dyDescent="0.25">
      <c r="A105" s="123" t="s">
        <v>436</v>
      </c>
      <c r="B105" s="123" t="s">
        <v>101</v>
      </c>
      <c r="C105">
        <v>4109</v>
      </c>
      <c r="D105" s="123" t="s">
        <v>108</v>
      </c>
      <c r="E105">
        <v>3</v>
      </c>
      <c r="F105" s="160">
        <v>4109</v>
      </c>
    </row>
    <row r="106" spans="1:6" x14ac:dyDescent="0.25">
      <c r="A106" s="123" t="s">
        <v>436</v>
      </c>
      <c r="B106" s="123" t="s">
        <v>101</v>
      </c>
      <c r="C106">
        <v>4129</v>
      </c>
      <c r="D106" s="123" t="s">
        <v>109</v>
      </c>
      <c r="E106">
        <v>2</v>
      </c>
      <c r="F106" s="160">
        <v>4129</v>
      </c>
    </row>
    <row r="107" spans="1:6" x14ac:dyDescent="0.25">
      <c r="A107" s="123" t="s">
        <v>436</v>
      </c>
      <c r="B107" s="123" t="s">
        <v>101</v>
      </c>
      <c r="C107">
        <v>4116</v>
      </c>
      <c r="D107" s="123" t="s">
        <v>110</v>
      </c>
      <c r="E107">
        <v>5.56</v>
      </c>
      <c r="F107" s="160">
        <v>4116</v>
      </c>
    </row>
    <row r="108" spans="1:6" x14ac:dyDescent="0.25">
      <c r="A108" s="123" t="s">
        <v>436</v>
      </c>
      <c r="B108" s="123" t="s">
        <v>101</v>
      </c>
      <c r="C108">
        <v>4126</v>
      </c>
      <c r="D108" s="123" t="s">
        <v>111</v>
      </c>
      <c r="E108">
        <v>2</v>
      </c>
      <c r="F108" s="160">
        <v>4126</v>
      </c>
    </row>
    <row r="109" spans="1:6" x14ac:dyDescent="0.25">
      <c r="A109" s="123" t="s">
        <v>436</v>
      </c>
      <c r="B109" s="123" t="s">
        <v>101</v>
      </c>
      <c r="C109">
        <v>4119</v>
      </c>
      <c r="D109" s="123" t="s">
        <v>112</v>
      </c>
      <c r="E109">
        <v>5.4</v>
      </c>
      <c r="F109" s="160">
        <v>4119</v>
      </c>
    </row>
    <row r="110" spans="1:6" x14ac:dyDescent="0.25">
      <c r="A110" s="123" t="s">
        <v>436</v>
      </c>
      <c r="B110" s="123" t="s">
        <v>101</v>
      </c>
      <c r="C110">
        <v>4127</v>
      </c>
      <c r="D110" s="123" t="s">
        <v>113</v>
      </c>
      <c r="E110">
        <v>2</v>
      </c>
      <c r="F110" s="160">
        <v>4127</v>
      </c>
    </row>
    <row r="111" spans="1:6" x14ac:dyDescent="0.25">
      <c r="A111" s="123" t="s">
        <v>436</v>
      </c>
      <c r="B111" s="123" t="s">
        <v>101</v>
      </c>
      <c r="C111">
        <v>4121</v>
      </c>
      <c r="D111" s="123" t="s">
        <v>114</v>
      </c>
      <c r="E111">
        <v>4</v>
      </c>
      <c r="F111" s="160">
        <v>4121</v>
      </c>
    </row>
    <row r="112" spans="1:6" x14ac:dyDescent="0.25">
      <c r="A112" s="123" t="s">
        <v>436</v>
      </c>
      <c r="B112" s="123" t="s">
        <v>101</v>
      </c>
      <c r="C112">
        <v>4101</v>
      </c>
      <c r="D112" s="123" t="s">
        <v>115</v>
      </c>
      <c r="E112">
        <v>8</v>
      </c>
      <c r="F112" s="160">
        <v>4101</v>
      </c>
    </row>
    <row r="113" spans="1:6" x14ac:dyDescent="0.25">
      <c r="A113" s="123" t="s">
        <v>436</v>
      </c>
      <c r="B113" s="123" t="s">
        <v>101</v>
      </c>
      <c r="C113">
        <v>4110</v>
      </c>
      <c r="D113" s="123" t="s">
        <v>116</v>
      </c>
      <c r="E113">
        <v>2</v>
      </c>
      <c r="F113" s="160">
        <v>4110</v>
      </c>
    </row>
    <row r="114" spans="1:6" x14ac:dyDescent="0.25">
      <c r="A114" s="123" t="s">
        <v>436</v>
      </c>
      <c r="B114" s="123" t="s">
        <v>101</v>
      </c>
      <c r="C114">
        <v>4107</v>
      </c>
      <c r="D114" s="123" t="s">
        <v>117</v>
      </c>
      <c r="E114">
        <v>2</v>
      </c>
      <c r="F114" s="160">
        <v>4107</v>
      </c>
    </row>
    <row r="115" spans="1:6" x14ac:dyDescent="0.25">
      <c r="A115" s="123" t="s">
        <v>436</v>
      </c>
      <c r="B115" s="123" t="s">
        <v>101</v>
      </c>
      <c r="C115">
        <v>4120</v>
      </c>
      <c r="D115" s="123" t="s">
        <v>118</v>
      </c>
      <c r="E115">
        <v>1.8</v>
      </c>
      <c r="F115" s="160">
        <v>4120</v>
      </c>
    </row>
    <row r="116" spans="1:6" x14ac:dyDescent="0.25">
      <c r="A116" s="123" t="s">
        <v>436</v>
      </c>
      <c r="B116" s="123" t="s">
        <v>119</v>
      </c>
      <c r="C116">
        <v>4028</v>
      </c>
      <c r="D116" s="123" t="s">
        <v>120</v>
      </c>
      <c r="E116">
        <v>3.04</v>
      </c>
      <c r="F116" s="160">
        <v>4028</v>
      </c>
    </row>
    <row r="117" spans="1:6" x14ac:dyDescent="0.25">
      <c r="A117" s="123" t="s">
        <v>436</v>
      </c>
      <c r="B117" s="123" t="s">
        <v>119</v>
      </c>
      <c r="C117">
        <v>4033</v>
      </c>
      <c r="D117" s="123" t="s">
        <v>121</v>
      </c>
      <c r="E117">
        <v>1.55</v>
      </c>
      <c r="F117" s="160">
        <v>4033</v>
      </c>
    </row>
    <row r="118" spans="1:6" x14ac:dyDescent="0.25">
      <c r="A118" s="123" t="s">
        <v>436</v>
      </c>
      <c r="B118" s="123" t="s">
        <v>119</v>
      </c>
      <c r="C118">
        <v>4037</v>
      </c>
      <c r="D118" s="123" t="s">
        <v>122</v>
      </c>
      <c r="E118">
        <v>4.79</v>
      </c>
      <c r="F118" s="160">
        <v>4037</v>
      </c>
    </row>
    <row r="119" spans="1:6" x14ac:dyDescent="0.25">
      <c r="A119" s="123" t="s">
        <v>436</v>
      </c>
      <c r="B119" s="123" t="s">
        <v>119</v>
      </c>
      <c r="C119">
        <v>4038</v>
      </c>
      <c r="D119" s="123" t="s">
        <v>123</v>
      </c>
      <c r="E119">
        <v>4.87</v>
      </c>
      <c r="F119" s="160">
        <v>4038</v>
      </c>
    </row>
    <row r="120" spans="1:6" x14ac:dyDescent="0.25">
      <c r="A120" s="123" t="s">
        <v>436</v>
      </c>
      <c r="B120" s="123" t="s">
        <v>119</v>
      </c>
      <c r="C120">
        <v>4039</v>
      </c>
      <c r="D120" s="123" t="s">
        <v>124</v>
      </c>
      <c r="E120">
        <v>1.44</v>
      </c>
      <c r="F120" s="160">
        <v>4039</v>
      </c>
    </row>
    <row r="121" spans="1:6" x14ac:dyDescent="0.25">
      <c r="A121" s="123" t="s">
        <v>436</v>
      </c>
      <c r="B121" s="123" t="s">
        <v>119</v>
      </c>
      <c r="C121">
        <v>4027</v>
      </c>
      <c r="D121" s="123" t="s">
        <v>125</v>
      </c>
      <c r="E121">
        <v>3.46</v>
      </c>
      <c r="F121" s="160">
        <v>4027</v>
      </c>
    </row>
    <row r="122" spans="1:6" x14ac:dyDescent="0.25">
      <c r="A122" s="123" t="s">
        <v>436</v>
      </c>
      <c r="B122" s="123" t="s">
        <v>119</v>
      </c>
      <c r="C122">
        <v>4029</v>
      </c>
      <c r="D122" s="123" t="s">
        <v>126</v>
      </c>
      <c r="E122">
        <v>2.83</v>
      </c>
      <c r="F122" s="160">
        <v>4029</v>
      </c>
    </row>
    <row r="123" spans="1:6" x14ac:dyDescent="0.25">
      <c r="A123" s="123" t="s">
        <v>436</v>
      </c>
      <c r="B123" s="123" t="s">
        <v>119</v>
      </c>
      <c r="C123">
        <v>4019</v>
      </c>
      <c r="D123" s="123" t="s">
        <v>127</v>
      </c>
      <c r="E123">
        <v>5</v>
      </c>
      <c r="F123" s="160">
        <v>4019</v>
      </c>
    </row>
    <row r="124" spans="1:6" x14ac:dyDescent="0.25">
      <c r="A124" s="123" t="s">
        <v>436</v>
      </c>
      <c r="B124" s="123" t="s">
        <v>119</v>
      </c>
      <c r="C124">
        <v>4024</v>
      </c>
      <c r="D124" s="123" t="s">
        <v>128</v>
      </c>
      <c r="E124">
        <v>2.84</v>
      </c>
      <c r="F124" s="160">
        <v>4024</v>
      </c>
    </row>
    <row r="125" spans="1:6" x14ac:dyDescent="0.25">
      <c r="A125" s="123" t="s">
        <v>436</v>
      </c>
      <c r="B125" s="123" t="s">
        <v>119</v>
      </c>
      <c r="C125">
        <v>4047</v>
      </c>
      <c r="D125" s="123" t="s">
        <v>129</v>
      </c>
      <c r="E125">
        <v>5.6</v>
      </c>
      <c r="F125" s="160">
        <v>4047</v>
      </c>
    </row>
    <row r="126" spans="1:6" x14ac:dyDescent="0.25">
      <c r="A126" s="123" t="s">
        <v>436</v>
      </c>
      <c r="B126" s="123" t="s">
        <v>119</v>
      </c>
      <c r="C126">
        <v>4026</v>
      </c>
      <c r="D126" s="123" t="s">
        <v>130</v>
      </c>
      <c r="E126">
        <v>3.3</v>
      </c>
      <c r="F126" s="160">
        <v>4026</v>
      </c>
    </row>
    <row r="127" spans="1:6" x14ac:dyDescent="0.25">
      <c r="A127" s="123" t="s">
        <v>436</v>
      </c>
      <c r="B127" s="123" t="s">
        <v>119</v>
      </c>
      <c r="C127">
        <v>4045</v>
      </c>
      <c r="D127" s="123" t="s">
        <v>131</v>
      </c>
      <c r="E127">
        <v>5.24</v>
      </c>
      <c r="F127" s="160">
        <v>4045</v>
      </c>
    </row>
    <row r="128" spans="1:6" x14ac:dyDescent="0.25">
      <c r="A128" s="123" t="s">
        <v>436</v>
      </c>
      <c r="B128" s="123" t="s">
        <v>119</v>
      </c>
      <c r="C128">
        <v>4043</v>
      </c>
      <c r="D128" s="123" t="s">
        <v>132</v>
      </c>
      <c r="E128">
        <v>8.52</v>
      </c>
      <c r="F128" s="160">
        <v>4043</v>
      </c>
    </row>
    <row r="129" spans="1:6" x14ac:dyDescent="0.25">
      <c r="A129" s="123" t="s">
        <v>436</v>
      </c>
      <c r="B129" s="123" t="s">
        <v>119</v>
      </c>
      <c r="C129">
        <v>4048</v>
      </c>
      <c r="D129" s="123" t="s">
        <v>133</v>
      </c>
      <c r="E129">
        <v>2.66</v>
      </c>
      <c r="F129" s="160">
        <v>4048</v>
      </c>
    </row>
    <row r="130" spans="1:6" x14ac:dyDescent="0.25">
      <c r="A130" s="123" t="s">
        <v>436</v>
      </c>
      <c r="B130" s="123" t="s">
        <v>119</v>
      </c>
      <c r="C130">
        <v>4010</v>
      </c>
      <c r="D130" s="123" t="s">
        <v>134</v>
      </c>
      <c r="E130">
        <v>3.3</v>
      </c>
      <c r="F130" s="160">
        <v>4010</v>
      </c>
    </row>
    <row r="131" spans="1:6" x14ac:dyDescent="0.25">
      <c r="A131" s="123" t="s">
        <v>436</v>
      </c>
      <c r="B131" s="123" t="s">
        <v>119</v>
      </c>
      <c r="C131">
        <v>4054</v>
      </c>
      <c r="D131" s="123" t="s">
        <v>135</v>
      </c>
      <c r="E131">
        <v>3</v>
      </c>
      <c r="F131" s="160">
        <v>4054</v>
      </c>
    </row>
    <row r="132" spans="1:6" x14ac:dyDescent="0.25">
      <c r="A132" s="123" t="s">
        <v>436</v>
      </c>
      <c r="B132" s="123" t="s">
        <v>119</v>
      </c>
      <c r="C132">
        <v>4006</v>
      </c>
      <c r="D132" s="123" t="s">
        <v>136</v>
      </c>
      <c r="E132">
        <v>6.39</v>
      </c>
      <c r="F132" s="160">
        <v>4006</v>
      </c>
    </row>
    <row r="133" spans="1:6" x14ac:dyDescent="0.25">
      <c r="A133" s="123" t="s">
        <v>436</v>
      </c>
      <c r="B133" s="123" t="s">
        <v>119</v>
      </c>
      <c r="C133">
        <v>4020</v>
      </c>
      <c r="D133" s="123" t="s">
        <v>137</v>
      </c>
      <c r="E133">
        <v>4.84</v>
      </c>
      <c r="F133" s="160">
        <v>4020</v>
      </c>
    </row>
    <row r="134" spans="1:6" x14ac:dyDescent="0.25">
      <c r="A134" s="123" t="s">
        <v>436</v>
      </c>
      <c r="B134" s="123" t="s">
        <v>119</v>
      </c>
      <c r="C134">
        <v>4012</v>
      </c>
      <c r="D134" s="123" t="s">
        <v>138</v>
      </c>
      <c r="E134">
        <v>2</v>
      </c>
      <c r="F134" s="160">
        <v>4012</v>
      </c>
    </row>
    <row r="135" spans="1:6" x14ac:dyDescent="0.25">
      <c r="A135" s="123" t="s">
        <v>436</v>
      </c>
      <c r="B135" s="123" t="s">
        <v>119</v>
      </c>
      <c r="C135">
        <v>4023</v>
      </c>
      <c r="D135" s="123" t="s">
        <v>139</v>
      </c>
      <c r="E135">
        <v>3.26</v>
      </c>
      <c r="F135" s="160">
        <v>4023</v>
      </c>
    </row>
    <row r="136" spans="1:6" x14ac:dyDescent="0.25">
      <c r="A136" s="123" t="s">
        <v>437</v>
      </c>
      <c r="B136" s="123" t="s">
        <v>141</v>
      </c>
      <c r="C136">
        <v>4132</v>
      </c>
      <c r="D136" s="123" t="s">
        <v>142</v>
      </c>
      <c r="E136">
        <v>5.45</v>
      </c>
      <c r="F136" s="160">
        <v>4132</v>
      </c>
    </row>
    <row r="137" spans="1:6" x14ac:dyDescent="0.25">
      <c r="A137" s="123" t="s">
        <v>437</v>
      </c>
      <c r="B137" s="123" t="s">
        <v>141</v>
      </c>
      <c r="C137">
        <v>4130</v>
      </c>
      <c r="D137" s="123" t="s">
        <v>143</v>
      </c>
      <c r="E137">
        <v>6.5</v>
      </c>
      <c r="F137" s="160">
        <v>4130</v>
      </c>
    </row>
    <row r="138" spans="1:6" x14ac:dyDescent="0.25">
      <c r="A138" s="123" t="s">
        <v>437</v>
      </c>
      <c r="B138" s="123" t="s">
        <v>141</v>
      </c>
      <c r="C138">
        <v>4135</v>
      </c>
      <c r="D138" s="123" t="s">
        <v>144</v>
      </c>
      <c r="E138">
        <v>7.6</v>
      </c>
      <c r="F138" s="160">
        <v>4135</v>
      </c>
    </row>
    <row r="139" spans="1:6" x14ac:dyDescent="0.25">
      <c r="A139" s="123" t="s">
        <v>437</v>
      </c>
      <c r="B139" s="123" t="s">
        <v>141</v>
      </c>
      <c r="C139">
        <v>4162</v>
      </c>
      <c r="D139" s="123" t="s">
        <v>148</v>
      </c>
      <c r="E139">
        <v>4.8</v>
      </c>
      <c r="F139" s="160">
        <v>4162</v>
      </c>
    </row>
    <row r="140" spans="1:6" x14ac:dyDescent="0.25">
      <c r="A140" s="123" t="s">
        <v>437</v>
      </c>
      <c r="B140" s="123" t="s">
        <v>141</v>
      </c>
      <c r="C140">
        <v>4147</v>
      </c>
      <c r="D140" s="123" t="s">
        <v>149</v>
      </c>
      <c r="E140">
        <v>6.8</v>
      </c>
      <c r="F140" s="160">
        <v>4147</v>
      </c>
    </row>
    <row r="141" spans="1:6" x14ac:dyDescent="0.25">
      <c r="A141" s="123" t="s">
        <v>437</v>
      </c>
      <c r="B141" s="123" t="s">
        <v>141</v>
      </c>
      <c r="C141">
        <v>4141</v>
      </c>
      <c r="D141" s="123" t="s">
        <v>150</v>
      </c>
      <c r="E141">
        <v>4</v>
      </c>
      <c r="F141" s="160">
        <v>4141</v>
      </c>
    </row>
    <row r="142" spans="1:6" x14ac:dyDescent="0.25">
      <c r="A142" s="123" t="s">
        <v>437</v>
      </c>
      <c r="B142" s="123" t="s">
        <v>141</v>
      </c>
      <c r="C142">
        <v>4139</v>
      </c>
      <c r="D142" s="123" t="s">
        <v>151</v>
      </c>
      <c r="E142">
        <v>5.5</v>
      </c>
      <c r="F142" s="160">
        <v>4139</v>
      </c>
    </row>
    <row r="143" spans="1:6" x14ac:dyDescent="0.25">
      <c r="A143" s="123" t="s">
        <v>437</v>
      </c>
      <c r="B143" s="123" t="s">
        <v>141</v>
      </c>
      <c r="C143">
        <v>4143</v>
      </c>
      <c r="D143" s="123" t="s">
        <v>152</v>
      </c>
      <c r="E143">
        <v>5.41</v>
      </c>
      <c r="F143" s="160">
        <v>4143</v>
      </c>
    </row>
    <row r="144" spans="1:6" x14ac:dyDescent="0.25">
      <c r="A144" s="123" t="s">
        <v>437</v>
      </c>
      <c r="B144" s="123" t="s">
        <v>141</v>
      </c>
      <c r="C144">
        <v>4159</v>
      </c>
      <c r="D144" s="123" t="s">
        <v>153</v>
      </c>
      <c r="E144">
        <v>2</v>
      </c>
      <c r="F144" s="160">
        <v>4159</v>
      </c>
    </row>
    <row r="145" spans="1:6" x14ac:dyDescent="0.25">
      <c r="A145" s="123" t="s">
        <v>437</v>
      </c>
      <c r="B145" s="123" t="s">
        <v>141</v>
      </c>
      <c r="C145">
        <v>4157</v>
      </c>
      <c r="D145" s="123" t="s">
        <v>154</v>
      </c>
      <c r="E145">
        <v>4</v>
      </c>
      <c r="F145" s="160">
        <v>4157</v>
      </c>
    </row>
    <row r="146" spans="1:6" x14ac:dyDescent="0.25">
      <c r="A146" s="123" t="s">
        <v>437</v>
      </c>
      <c r="B146" s="123" t="s">
        <v>141</v>
      </c>
      <c r="C146">
        <v>4148</v>
      </c>
      <c r="D146" s="123" t="s">
        <v>155</v>
      </c>
      <c r="E146">
        <v>4</v>
      </c>
      <c r="F146" s="160">
        <v>4148</v>
      </c>
    </row>
    <row r="147" spans="1:6" x14ac:dyDescent="0.25">
      <c r="A147" s="123" t="s">
        <v>437</v>
      </c>
      <c r="B147" s="123" t="s">
        <v>141</v>
      </c>
      <c r="C147">
        <v>4144</v>
      </c>
      <c r="D147" s="123" t="s">
        <v>156</v>
      </c>
      <c r="E147">
        <v>3</v>
      </c>
      <c r="F147" s="160">
        <v>4144</v>
      </c>
    </row>
    <row r="148" spans="1:6" x14ac:dyDescent="0.25">
      <c r="A148" s="123" t="s">
        <v>437</v>
      </c>
      <c r="B148" s="123" t="s">
        <v>141</v>
      </c>
      <c r="C148">
        <v>4153</v>
      </c>
      <c r="D148" s="123" t="s">
        <v>157</v>
      </c>
      <c r="E148">
        <v>3.96</v>
      </c>
      <c r="F148" s="160">
        <v>4153</v>
      </c>
    </row>
    <row r="149" spans="1:6" x14ac:dyDescent="0.25">
      <c r="A149" s="123" t="s">
        <v>437</v>
      </c>
      <c r="B149" s="123" t="s">
        <v>141</v>
      </c>
      <c r="C149">
        <v>4164</v>
      </c>
      <c r="D149" s="123" t="s">
        <v>158</v>
      </c>
      <c r="E149">
        <v>3</v>
      </c>
      <c r="F149" s="160">
        <v>4164</v>
      </c>
    </row>
    <row r="150" spans="1:6" x14ac:dyDescent="0.25">
      <c r="A150" s="123" t="s">
        <v>437</v>
      </c>
      <c r="B150" s="123" t="s">
        <v>141</v>
      </c>
      <c r="C150">
        <v>4140</v>
      </c>
      <c r="D150" s="123" t="s">
        <v>159</v>
      </c>
      <c r="E150">
        <v>2</v>
      </c>
      <c r="F150" s="160">
        <v>4140</v>
      </c>
    </row>
    <row r="151" spans="1:6" x14ac:dyDescent="0.25">
      <c r="A151" s="123" t="s">
        <v>437</v>
      </c>
      <c r="B151" s="123" t="s">
        <v>160</v>
      </c>
      <c r="C151">
        <v>4189</v>
      </c>
      <c r="D151" s="123" t="s">
        <v>161</v>
      </c>
      <c r="E151">
        <v>3.5</v>
      </c>
      <c r="F151" s="160">
        <v>4189</v>
      </c>
    </row>
    <row r="152" spans="1:6" x14ac:dyDescent="0.25">
      <c r="A152" s="123" t="s">
        <v>437</v>
      </c>
      <c r="B152" s="123" t="s">
        <v>160</v>
      </c>
      <c r="C152">
        <v>4195</v>
      </c>
      <c r="D152" s="123" t="s">
        <v>162</v>
      </c>
      <c r="E152">
        <v>3.5</v>
      </c>
      <c r="F152" s="160">
        <v>4195</v>
      </c>
    </row>
    <row r="153" spans="1:6" x14ac:dyDescent="0.25">
      <c r="A153" s="123" t="s">
        <v>437</v>
      </c>
      <c r="B153" s="123" t="s">
        <v>160</v>
      </c>
      <c r="C153">
        <v>4193</v>
      </c>
      <c r="D153" s="123" t="s">
        <v>163</v>
      </c>
      <c r="E153">
        <v>3.78</v>
      </c>
      <c r="F153" s="160">
        <v>4193</v>
      </c>
    </row>
    <row r="154" spans="1:6" x14ac:dyDescent="0.25">
      <c r="A154" s="123" t="s">
        <v>437</v>
      </c>
      <c r="B154" s="123" t="s">
        <v>160</v>
      </c>
      <c r="C154">
        <v>4184</v>
      </c>
      <c r="D154" s="123" t="s">
        <v>164</v>
      </c>
      <c r="E154">
        <v>3.56</v>
      </c>
      <c r="F154" s="160">
        <v>4184</v>
      </c>
    </row>
    <row r="155" spans="1:6" x14ac:dyDescent="0.25">
      <c r="A155" s="123" t="s">
        <v>437</v>
      </c>
      <c r="B155" s="123" t="s">
        <v>160</v>
      </c>
      <c r="C155">
        <v>4196</v>
      </c>
      <c r="D155" s="123" t="s">
        <v>165</v>
      </c>
      <c r="E155">
        <v>2</v>
      </c>
      <c r="F155" s="160">
        <v>4196</v>
      </c>
    </row>
    <row r="156" spans="1:6" x14ac:dyDescent="0.25">
      <c r="A156" s="123" t="s">
        <v>437</v>
      </c>
      <c r="B156" s="123" t="s">
        <v>160</v>
      </c>
      <c r="C156">
        <v>4174</v>
      </c>
      <c r="D156" s="123" t="s">
        <v>166</v>
      </c>
      <c r="E156">
        <v>5.8</v>
      </c>
      <c r="F156" s="160">
        <v>4174</v>
      </c>
    </row>
    <row r="157" spans="1:6" x14ac:dyDescent="0.25">
      <c r="A157" s="123" t="s">
        <v>437</v>
      </c>
      <c r="B157" s="123" t="s">
        <v>160</v>
      </c>
      <c r="C157">
        <v>4170</v>
      </c>
      <c r="D157" s="123" t="s">
        <v>167</v>
      </c>
      <c r="E157">
        <v>5.8</v>
      </c>
      <c r="F157" s="160">
        <v>4170</v>
      </c>
    </row>
    <row r="158" spans="1:6" x14ac:dyDescent="0.25">
      <c r="A158" s="123" t="s">
        <v>437</v>
      </c>
      <c r="B158" s="123" t="s">
        <v>160</v>
      </c>
      <c r="C158">
        <v>4169</v>
      </c>
      <c r="D158" s="123" t="s">
        <v>168</v>
      </c>
      <c r="E158">
        <v>5.8</v>
      </c>
      <c r="F158" s="160">
        <v>4169</v>
      </c>
    </row>
    <row r="159" spans="1:6" x14ac:dyDescent="0.25">
      <c r="A159" s="123" t="s">
        <v>437</v>
      </c>
      <c r="B159" s="123" t="s">
        <v>160</v>
      </c>
      <c r="C159">
        <v>4188</v>
      </c>
      <c r="D159" s="123" t="s">
        <v>169</v>
      </c>
      <c r="E159">
        <v>3</v>
      </c>
      <c r="F159" s="160">
        <v>4188</v>
      </c>
    </row>
    <row r="160" spans="1:6" x14ac:dyDescent="0.25">
      <c r="A160" s="123" t="s">
        <v>437</v>
      </c>
      <c r="B160" s="123" t="s">
        <v>160</v>
      </c>
      <c r="C160">
        <v>4180</v>
      </c>
      <c r="D160" s="123" t="s">
        <v>170</v>
      </c>
      <c r="E160">
        <v>3.6</v>
      </c>
      <c r="F160" s="160">
        <v>4180</v>
      </c>
    </row>
    <row r="161" spans="1:6" x14ac:dyDescent="0.25">
      <c r="A161" s="123" t="s">
        <v>437</v>
      </c>
      <c r="B161" s="123" t="s">
        <v>160</v>
      </c>
      <c r="C161">
        <v>4185</v>
      </c>
      <c r="D161" s="123" t="s">
        <v>171</v>
      </c>
      <c r="E161">
        <v>4</v>
      </c>
      <c r="F161" s="160">
        <v>4185</v>
      </c>
    </row>
    <row r="162" spans="1:6" x14ac:dyDescent="0.25">
      <c r="A162" s="123" t="s">
        <v>437</v>
      </c>
      <c r="B162" s="123" t="s">
        <v>160</v>
      </c>
      <c r="C162">
        <v>4178</v>
      </c>
      <c r="D162" s="123" t="s">
        <v>172</v>
      </c>
      <c r="E162">
        <v>6.8</v>
      </c>
      <c r="F162" s="160">
        <v>4178</v>
      </c>
    </row>
    <row r="163" spans="1:6" x14ac:dyDescent="0.25">
      <c r="A163" s="123" t="s">
        <v>437</v>
      </c>
      <c r="B163" s="123" t="s">
        <v>160</v>
      </c>
      <c r="C163">
        <v>4194</v>
      </c>
      <c r="D163" s="123" t="s">
        <v>173</v>
      </c>
      <c r="E163">
        <v>6.6</v>
      </c>
      <c r="F163" s="160">
        <v>4194</v>
      </c>
    </row>
    <row r="164" spans="1:6" x14ac:dyDescent="0.25">
      <c r="A164" s="123" t="s">
        <v>437</v>
      </c>
      <c r="B164" s="123" t="s">
        <v>160</v>
      </c>
      <c r="C164">
        <v>4181</v>
      </c>
      <c r="D164" s="123" t="s">
        <v>174</v>
      </c>
      <c r="E164">
        <v>4.01</v>
      </c>
      <c r="F164" s="160">
        <v>4181</v>
      </c>
    </row>
    <row r="165" spans="1:6" x14ac:dyDescent="0.25">
      <c r="A165" s="123" t="s">
        <v>437</v>
      </c>
      <c r="B165" s="123" t="s">
        <v>160</v>
      </c>
      <c r="C165">
        <v>4183</v>
      </c>
      <c r="D165" s="123" t="s">
        <v>175</v>
      </c>
      <c r="E165">
        <v>2</v>
      </c>
      <c r="F165" s="160">
        <v>4183</v>
      </c>
    </row>
    <row r="166" spans="1:6" x14ac:dyDescent="0.25">
      <c r="A166" s="123" t="s">
        <v>438</v>
      </c>
      <c r="B166" s="123" t="s">
        <v>439</v>
      </c>
      <c r="C166">
        <v>551110</v>
      </c>
      <c r="D166" s="123" t="s">
        <v>178</v>
      </c>
      <c r="E166">
        <v>5.65</v>
      </c>
      <c r="F166" s="160">
        <v>551110</v>
      </c>
    </row>
    <row r="167" spans="1:6" x14ac:dyDescent="0.25">
      <c r="A167" s="123" t="s">
        <v>176</v>
      </c>
      <c r="B167" s="123" t="s">
        <v>439</v>
      </c>
      <c r="C167">
        <v>451101</v>
      </c>
      <c r="D167" s="123" t="s">
        <v>179</v>
      </c>
      <c r="E167">
        <v>10.18</v>
      </c>
      <c r="F167" s="160">
        <v>451101</v>
      </c>
    </row>
    <row r="168" spans="1:6" x14ac:dyDescent="0.25">
      <c r="A168" s="123" t="s">
        <v>176</v>
      </c>
      <c r="B168" s="123" t="s">
        <v>439</v>
      </c>
      <c r="C168">
        <v>551103</v>
      </c>
      <c r="D168" s="123" t="s">
        <v>180</v>
      </c>
      <c r="E168">
        <v>3</v>
      </c>
      <c r="F168" s="160">
        <v>551103</v>
      </c>
    </row>
    <row r="169" spans="1:6" x14ac:dyDescent="0.25">
      <c r="A169" s="123" t="s">
        <v>176</v>
      </c>
      <c r="B169" s="123" t="s">
        <v>439</v>
      </c>
      <c r="C169">
        <v>551330</v>
      </c>
      <c r="D169" s="123" t="s">
        <v>181</v>
      </c>
      <c r="E169">
        <v>3</v>
      </c>
      <c r="F169" s="160">
        <v>551330</v>
      </c>
    </row>
    <row r="170" spans="1:6" x14ac:dyDescent="0.25">
      <c r="A170" s="123" t="s">
        <v>176</v>
      </c>
      <c r="B170" s="123" t="s">
        <v>439</v>
      </c>
      <c r="C170">
        <v>451115</v>
      </c>
      <c r="D170" s="123" t="s">
        <v>182</v>
      </c>
      <c r="E170">
        <v>3</v>
      </c>
      <c r="F170" s="160">
        <v>451115</v>
      </c>
    </row>
    <row r="171" spans="1:6" x14ac:dyDescent="0.25">
      <c r="A171" s="123" t="s">
        <v>176</v>
      </c>
      <c r="B171" s="123" t="s">
        <v>439</v>
      </c>
      <c r="C171">
        <v>551128</v>
      </c>
      <c r="D171" s="123" t="s">
        <v>183</v>
      </c>
      <c r="E171">
        <v>3</v>
      </c>
      <c r="F171" s="160">
        <v>551128</v>
      </c>
    </row>
    <row r="172" spans="1:6" x14ac:dyDescent="0.25">
      <c r="A172" s="123" t="s">
        <v>176</v>
      </c>
      <c r="B172" s="123" t="s">
        <v>439</v>
      </c>
      <c r="C172">
        <v>451120</v>
      </c>
      <c r="D172" s="123" t="s">
        <v>184</v>
      </c>
      <c r="E172">
        <v>2.5</v>
      </c>
      <c r="F172" s="160">
        <v>451120</v>
      </c>
    </row>
    <row r="173" spans="1:6" x14ac:dyDescent="0.25">
      <c r="A173" s="123" t="s">
        <v>176</v>
      </c>
      <c r="B173" s="123" t="s">
        <v>439</v>
      </c>
      <c r="C173">
        <v>451381</v>
      </c>
      <c r="D173" s="123" t="s">
        <v>185</v>
      </c>
      <c r="E173">
        <v>6.66</v>
      </c>
      <c r="F173" s="160">
        <v>451381</v>
      </c>
    </row>
    <row r="174" spans="1:6" x14ac:dyDescent="0.25">
      <c r="A174" s="123" t="s">
        <v>176</v>
      </c>
      <c r="B174" s="123" t="s">
        <v>439</v>
      </c>
      <c r="C174">
        <v>551354</v>
      </c>
      <c r="D174" s="123" t="s">
        <v>186</v>
      </c>
      <c r="E174">
        <v>2.4300000000000002</v>
      </c>
      <c r="F174" s="160">
        <v>551354</v>
      </c>
    </row>
    <row r="175" spans="1:6" x14ac:dyDescent="0.25">
      <c r="A175" s="123" t="s">
        <v>176</v>
      </c>
      <c r="B175" s="123" t="s">
        <v>439</v>
      </c>
      <c r="C175">
        <v>451166</v>
      </c>
      <c r="D175" s="123" t="s">
        <v>187</v>
      </c>
      <c r="E175">
        <v>6.5</v>
      </c>
      <c r="F175" s="160">
        <v>451166</v>
      </c>
    </row>
    <row r="176" spans="1:6" x14ac:dyDescent="0.25">
      <c r="A176" s="123" t="s">
        <v>176</v>
      </c>
      <c r="B176" s="123" t="s">
        <v>440</v>
      </c>
      <c r="C176">
        <v>508815</v>
      </c>
      <c r="D176" s="123" t="s">
        <v>189</v>
      </c>
      <c r="E176">
        <v>3</v>
      </c>
      <c r="F176" s="160">
        <v>508815</v>
      </c>
    </row>
    <row r="177" spans="1:6" x14ac:dyDescent="0.25">
      <c r="A177" s="123" t="s">
        <v>176</v>
      </c>
      <c r="B177" s="123" t="s">
        <v>440</v>
      </c>
      <c r="C177">
        <v>408801</v>
      </c>
      <c r="D177" s="123" t="s">
        <v>190</v>
      </c>
      <c r="E177">
        <v>8.7799999999999994</v>
      </c>
      <c r="F177" s="160">
        <v>408801</v>
      </c>
    </row>
    <row r="178" spans="1:6" x14ac:dyDescent="0.25">
      <c r="A178" s="123" t="s">
        <v>176</v>
      </c>
      <c r="B178" s="123" t="s">
        <v>440</v>
      </c>
      <c r="C178">
        <v>408822</v>
      </c>
      <c r="D178" s="123" t="s">
        <v>188</v>
      </c>
      <c r="E178">
        <v>4.5</v>
      </c>
      <c r="F178" s="160">
        <v>408822</v>
      </c>
    </row>
    <row r="179" spans="1:6" x14ac:dyDescent="0.25">
      <c r="A179" s="123" t="s">
        <v>176</v>
      </c>
      <c r="B179" s="123" t="s">
        <v>440</v>
      </c>
      <c r="C179">
        <v>508817</v>
      </c>
      <c r="D179" s="123" t="s">
        <v>191</v>
      </c>
      <c r="E179">
        <v>3.13</v>
      </c>
      <c r="F179" s="160">
        <v>508817</v>
      </c>
    </row>
    <row r="180" spans="1:6" x14ac:dyDescent="0.25">
      <c r="A180" s="123" t="s">
        <v>176</v>
      </c>
      <c r="B180" s="123" t="s">
        <v>440</v>
      </c>
      <c r="C180">
        <v>508802</v>
      </c>
      <c r="D180" s="123" t="s">
        <v>192</v>
      </c>
      <c r="E180">
        <v>3</v>
      </c>
      <c r="F180" s="160">
        <v>508802</v>
      </c>
    </row>
    <row r="181" spans="1:6" x14ac:dyDescent="0.25">
      <c r="A181" s="123" t="s">
        <v>176</v>
      </c>
      <c r="B181" s="123" t="s">
        <v>440</v>
      </c>
      <c r="C181">
        <v>508839</v>
      </c>
      <c r="D181" s="123" t="s">
        <v>193</v>
      </c>
      <c r="E181">
        <v>3.09</v>
      </c>
      <c r="F181" s="160">
        <v>508839</v>
      </c>
    </row>
    <row r="182" spans="1:6" x14ac:dyDescent="0.25">
      <c r="A182" s="123" t="s">
        <v>176</v>
      </c>
      <c r="B182" s="123" t="s">
        <v>440</v>
      </c>
      <c r="C182">
        <v>508819</v>
      </c>
      <c r="D182" s="123" t="s">
        <v>194</v>
      </c>
      <c r="E182">
        <v>1.96</v>
      </c>
      <c r="F182" s="160">
        <v>508819</v>
      </c>
    </row>
    <row r="183" spans="1:6" x14ac:dyDescent="0.25">
      <c r="A183" s="123" t="s">
        <v>176</v>
      </c>
      <c r="B183" s="123" t="s">
        <v>440</v>
      </c>
      <c r="C183">
        <v>408840</v>
      </c>
      <c r="D183" s="123" t="s">
        <v>195</v>
      </c>
      <c r="E183">
        <v>6.61</v>
      </c>
      <c r="F183" s="160">
        <v>408840</v>
      </c>
    </row>
    <row r="184" spans="1:6" x14ac:dyDescent="0.25">
      <c r="A184" s="123" t="s">
        <v>176</v>
      </c>
      <c r="B184" s="123" t="s">
        <v>440</v>
      </c>
      <c r="C184">
        <v>408862</v>
      </c>
      <c r="D184" s="123" t="s">
        <v>196</v>
      </c>
      <c r="E184">
        <v>3.75</v>
      </c>
      <c r="F184" s="160">
        <v>408862</v>
      </c>
    </row>
    <row r="185" spans="1:6" x14ac:dyDescent="0.25">
      <c r="A185" s="123" t="s">
        <v>176</v>
      </c>
      <c r="B185" s="123" t="s">
        <v>440</v>
      </c>
      <c r="C185">
        <v>508860</v>
      </c>
      <c r="D185" s="123" t="s">
        <v>197</v>
      </c>
      <c r="E185">
        <v>3.6</v>
      </c>
      <c r="F185" s="160">
        <v>508860</v>
      </c>
    </row>
    <row r="186" spans="1:6" x14ac:dyDescent="0.25">
      <c r="A186" s="123" t="s">
        <v>176</v>
      </c>
      <c r="B186" s="123" t="s">
        <v>440</v>
      </c>
      <c r="C186">
        <v>408806</v>
      </c>
      <c r="D186" s="123" t="s">
        <v>198</v>
      </c>
      <c r="E186">
        <v>8.91</v>
      </c>
      <c r="F186" s="160">
        <v>408806</v>
      </c>
    </row>
    <row r="187" spans="1:6" x14ac:dyDescent="0.25">
      <c r="A187" s="123" t="s">
        <v>176</v>
      </c>
      <c r="B187" s="123" t="s">
        <v>440</v>
      </c>
      <c r="C187">
        <v>508833</v>
      </c>
      <c r="D187" s="123" t="s">
        <v>199</v>
      </c>
      <c r="E187">
        <v>2.8</v>
      </c>
      <c r="F187" s="160">
        <v>508833</v>
      </c>
    </row>
    <row r="188" spans="1:6" x14ac:dyDescent="0.25">
      <c r="A188" s="123" t="s">
        <v>176</v>
      </c>
      <c r="B188" s="123" t="s">
        <v>440</v>
      </c>
      <c r="C188">
        <v>508820</v>
      </c>
      <c r="D188" s="123" t="s">
        <v>200</v>
      </c>
      <c r="E188">
        <v>2</v>
      </c>
      <c r="F188" s="160">
        <v>508820</v>
      </c>
    </row>
    <row r="189" spans="1:6" x14ac:dyDescent="0.25">
      <c r="A189" s="123" t="s">
        <v>176</v>
      </c>
      <c r="B189" s="123" t="s">
        <v>202</v>
      </c>
      <c r="C189">
        <v>551367</v>
      </c>
      <c r="D189" s="123" t="s">
        <v>203</v>
      </c>
      <c r="E189">
        <v>3</v>
      </c>
      <c r="F189" s="160">
        <v>551367</v>
      </c>
    </row>
    <row r="190" spans="1:6" x14ac:dyDescent="0.25">
      <c r="A190" s="123" t="s">
        <v>176</v>
      </c>
      <c r="B190" s="123" t="s">
        <v>202</v>
      </c>
      <c r="C190">
        <v>551340</v>
      </c>
      <c r="D190" s="123" t="s">
        <v>204</v>
      </c>
      <c r="E190">
        <v>3</v>
      </c>
      <c r="F190" s="160">
        <v>551340</v>
      </c>
    </row>
    <row r="191" spans="1:6" x14ac:dyDescent="0.25">
      <c r="A191" s="123" t="s">
        <v>176</v>
      </c>
      <c r="B191" s="123" t="s">
        <v>202</v>
      </c>
      <c r="C191">
        <v>551369</v>
      </c>
      <c r="D191" s="123" t="s">
        <v>205</v>
      </c>
      <c r="E191">
        <v>3</v>
      </c>
      <c r="F191" s="160">
        <v>551369</v>
      </c>
    </row>
    <row r="192" spans="1:6" x14ac:dyDescent="0.25">
      <c r="A192" s="123" t="s">
        <v>176</v>
      </c>
      <c r="B192" s="123" t="s">
        <v>202</v>
      </c>
      <c r="C192">
        <v>551365</v>
      </c>
      <c r="D192" s="123" t="s">
        <v>206</v>
      </c>
      <c r="E192">
        <v>2.84</v>
      </c>
      <c r="F192" s="160">
        <v>551365</v>
      </c>
    </row>
    <row r="193" spans="1:6" x14ac:dyDescent="0.25">
      <c r="A193" s="123" t="s">
        <v>176</v>
      </c>
      <c r="B193" s="123" t="s">
        <v>202</v>
      </c>
      <c r="C193">
        <v>451370</v>
      </c>
      <c r="D193" s="123" t="s">
        <v>207</v>
      </c>
      <c r="E193">
        <v>10.199999999999999</v>
      </c>
      <c r="F193" s="160">
        <v>451370</v>
      </c>
    </row>
    <row r="194" spans="1:6" x14ac:dyDescent="0.25">
      <c r="A194" s="123" t="s">
        <v>176</v>
      </c>
      <c r="B194" s="123" t="s">
        <v>202</v>
      </c>
      <c r="C194">
        <v>551314</v>
      </c>
      <c r="D194" s="123" t="s">
        <v>208</v>
      </c>
      <c r="E194">
        <v>2.87</v>
      </c>
      <c r="F194" s="160">
        <v>551314</v>
      </c>
    </row>
    <row r="195" spans="1:6" x14ac:dyDescent="0.25">
      <c r="A195" s="123" t="s">
        <v>176</v>
      </c>
      <c r="B195" s="123" t="s">
        <v>202</v>
      </c>
      <c r="C195">
        <v>451361</v>
      </c>
      <c r="D195" s="123" t="s">
        <v>209</v>
      </c>
      <c r="E195">
        <v>2</v>
      </c>
      <c r="F195" s="160">
        <v>451361</v>
      </c>
    </row>
    <row r="196" spans="1:6" x14ac:dyDescent="0.25">
      <c r="A196" s="123" t="s">
        <v>176</v>
      </c>
      <c r="B196" s="123" t="s">
        <v>202</v>
      </c>
      <c r="C196">
        <v>451350</v>
      </c>
      <c r="D196" s="123" t="s">
        <v>210</v>
      </c>
      <c r="E196">
        <v>8.1300000000000008</v>
      </c>
      <c r="F196" s="160">
        <v>451350</v>
      </c>
    </row>
    <row r="197" spans="1:6" x14ac:dyDescent="0.25">
      <c r="A197" s="123" t="s">
        <v>176</v>
      </c>
      <c r="B197" s="123" t="s">
        <v>202</v>
      </c>
      <c r="C197">
        <v>551310</v>
      </c>
      <c r="D197" s="123" t="s">
        <v>211</v>
      </c>
      <c r="E197">
        <v>4</v>
      </c>
      <c r="F197" s="160">
        <v>551310</v>
      </c>
    </row>
    <row r="198" spans="1:6" x14ac:dyDescent="0.25">
      <c r="A198" s="123" t="s">
        <v>176</v>
      </c>
      <c r="B198" s="123" t="s">
        <v>202</v>
      </c>
      <c r="C198">
        <v>551309</v>
      </c>
      <c r="D198" s="123" t="s">
        <v>212</v>
      </c>
      <c r="E198">
        <v>3</v>
      </c>
      <c r="F198" s="160">
        <v>551309</v>
      </c>
    </row>
    <row r="199" spans="1:6" x14ac:dyDescent="0.25">
      <c r="A199" s="123" t="s">
        <v>176</v>
      </c>
      <c r="B199" s="123" t="s">
        <v>202</v>
      </c>
      <c r="C199">
        <v>551305</v>
      </c>
      <c r="D199" s="123" t="s">
        <v>213</v>
      </c>
      <c r="E199">
        <v>3.8</v>
      </c>
      <c r="F199" s="160">
        <v>551305</v>
      </c>
    </row>
    <row r="200" spans="1:6" x14ac:dyDescent="0.25">
      <c r="A200" s="123" t="s">
        <v>176</v>
      </c>
      <c r="B200" s="123" t="s">
        <v>202</v>
      </c>
      <c r="C200">
        <v>451301</v>
      </c>
      <c r="D200" s="123" t="s">
        <v>214</v>
      </c>
      <c r="E200">
        <v>7.26</v>
      </c>
      <c r="F200" s="160">
        <v>451301</v>
      </c>
    </row>
    <row r="201" spans="1:6" x14ac:dyDescent="0.25">
      <c r="A201" s="123" t="s">
        <v>176</v>
      </c>
      <c r="B201" s="123" t="s">
        <v>202</v>
      </c>
      <c r="C201">
        <v>551341</v>
      </c>
      <c r="D201" s="123" t="s">
        <v>215</v>
      </c>
      <c r="E201">
        <v>4.33</v>
      </c>
      <c r="F201" s="160">
        <v>551341</v>
      </c>
    </row>
    <row r="202" spans="1:6" x14ac:dyDescent="0.25">
      <c r="A202" s="123" t="s">
        <v>176</v>
      </c>
      <c r="B202" s="123" t="s">
        <v>202</v>
      </c>
      <c r="C202">
        <v>551306</v>
      </c>
      <c r="D202" s="123" t="s">
        <v>217</v>
      </c>
      <c r="E202">
        <v>4.5</v>
      </c>
      <c r="F202" s="160">
        <v>551306</v>
      </c>
    </row>
    <row r="203" spans="1:6" x14ac:dyDescent="0.25">
      <c r="A203" s="123" t="s">
        <v>176</v>
      </c>
      <c r="B203" s="123" t="s">
        <v>202</v>
      </c>
      <c r="C203">
        <v>551349</v>
      </c>
      <c r="D203" s="123" t="s">
        <v>218</v>
      </c>
      <c r="E203">
        <v>3</v>
      </c>
      <c r="F203" s="160">
        <v>551349</v>
      </c>
    </row>
    <row r="204" spans="1:6" x14ac:dyDescent="0.25">
      <c r="A204" s="123" t="s">
        <v>176</v>
      </c>
      <c r="B204" s="123" t="s">
        <v>202</v>
      </c>
      <c r="C204">
        <v>451308</v>
      </c>
      <c r="D204" s="123" t="s">
        <v>219</v>
      </c>
      <c r="E204">
        <v>8.39</v>
      </c>
      <c r="F204" s="160">
        <v>451308</v>
      </c>
    </row>
    <row r="205" spans="1:6" x14ac:dyDescent="0.25">
      <c r="A205" s="123" t="s">
        <v>176</v>
      </c>
      <c r="B205" s="123" t="s">
        <v>202</v>
      </c>
      <c r="C205">
        <v>551307</v>
      </c>
      <c r="D205" s="123" t="s">
        <v>216</v>
      </c>
      <c r="E205">
        <v>2.96</v>
      </c>
      <c r="F205" s="160">
        <v>551307</v>
      </c>
    </row>
    <row r="206" spans="1:6" x14ac:dyDescent="0.25">
      <c r="A206" s="123" t="s">
        <v>176</v>
      </c>
      <c r="B206" s="123" t="s">
        <v>202</v>
      </c>
      <c r="C206">
        <v>451336</v>
      </c>
      <c r="D206" s="123" t="s">
        <v>220</v>
      </c>
      <c r="E206">
        <v>6.87</v>
      </c>
      <c r="F206" s="160">
        <v>451336</v>
      </c>
    </row>
    <row r="207" spans="1:6" x14ac:dyDescent="0.25">
      <c r="A207" s="124" t="s">
        <v>441</v>
      </c>
      <c r="B207" s="123" t="s">
        <v>222</v>
      </c>
      <c r="C207">
        <v>554116</v>
      </c>
      <c r="D207" s="123" t="s">
        <v>223</v>
      </c>
      <c r="E207">
        <v>3</v>
      </c>
      <c r="F207" s="160">
        <v>554116</v>
      </c>
    </row>
    <row r="208" spans="1:6" x14ac:dyDescent="0.25">
      <c r="A208" s="124" t="s">
        <v>441</v>
      </c>
      <c r="B208" s="123" t="s">
        <v>222</v>
      </c>
      <c r="C208">
        <v>454161</v>
      </c>
      <c r="D208" s="123" t="s">
        <v>224</v>
      </c>
      <c r="E208">
        <v>1.2</v>
      </c>
      <c r="F208" s="160">
        <v>454161</v>
      </c>
    </row>
    <row r="209" spans="1:6" x14ac:dyDescent="0.25">
      <c r="A209" s="124" t="s">
        <v>441</v>
      </c>
      <c r="B209" s="123" t="s">
        <v>222</v>
      </c>
      <c r="C209">
        <v>554166</v>
      </c>
      <c r="D209" s="123" t="s">
        <v>225</v>
      </c>
      <c r="E209">
        <v>2.78</v>
      </c>
      <c r="F209" s="160">
        <v>554166</v>
      </c>
    </row>
    <row r="210" spans="1:6" x14ac:dyDescent="0.25">
      <c r="A210" s="124" t="s">
        <v>441</v>
      </c>
      <c r="B210" s="123" t="s">
        <v>222</v>
      </c>
      <c r="C210">
        <v>454171</v>
      </c>
      <c r="D210" s="123" t="s">
        <v>226</v>
      </c>
      <c r="E210">
        <v>0.88</v>
      </c>
      <c r="F210" s="160">
        <v>454171</v>
      </c>
    </row>
    <row r="211" spans="1:6" x14ac:dyDescent="0.25">
      <c r="A211" s="124" t="s">
        <v>441</v>
      </c>
      <c r="B211" s="123" t="s">
        <v>222</v>
      </c>
      <c r="C211">
        <v>554266</v>
      </c>
      <c r="D211" s="123" t="s">
        <v>227</v>
      </c>
      <c r="E211">
        <v>2.66</v>
      </c>
      <c r="F211" s="160">
        <v>554266</v>
      </c>
    </row>
    <row r="212" spans="1:6" x14ac:dyDescent="0.25">
      <c r="A212" s="124" t="s">
        <v>441</v>
      </c>
      <c r="B212" s="123" t="s">
        <v>222</v>
      </c>
      <c r="C212">
        <v>554296</v>
      </c>
      <c r="D212" s="123" t="s">
        <v>228</v>
      </c>
      <c r="E212">
        <v>4.6100000000000003</v>
      </c>
      <c r="F212" s="160">
        <v>554296</v>
      </c>
    </row>
    <row r="213" spans="1:6" x14ac:dyDescent="0.25">
      <c r="A213" s="124" t="s">
        <v>441</v>
      </c>
      <c r="B213" s="123" t="s">
        <v>222</v>
      </c>
      <c r="C213">
        <v>554356</v>
      </c>
      <c r="D213" s="123" t="s">
        <v>229</v>
      </c>
      <c r="E213">
        <v>3.23</v>
      </c>
      <c r="F213" s="160">
        <v>554356</v>
      </c>
    </row>
    <row r="214" spans="1:6" x14ac:dyDescent="0.25">
      <c r="A214" s="124" t="s">
        <v>441</v>
      </c>
      <c r="B214" s="123" t="s">
        <v>222</v>
      </c>
      <c r="C214">
        <v>454426</v>
      </c>
      <c r="D214" s="123" t="s">
        <v>230</v>
      </c>
      <c r="E214">
        <v>11.02</v>
      </c>
      <c r="F214" s="160">
        <v>454426</v>
      </c>
    </row>
    <row r="215" spans="1:6" x14ac:dyDescent="0.25">
      <c r="A215" s="124" t="s">
        <v>441</v>
      </c>
      <c r="B215" s="123" t="s">
        <v>222</v>
      </c>
      <c r="C215">
        <v>554476</v>
      </c>
      <c r="D215" s="123" t="s">
        <v>232</v>
      </c>
      <c r="E215">
        <v>2.33</v>
      </c>
      <c r="F215" s="160">
        <v>554476</v>
      </c>
    </row>
    <row r="216" spans="1:6" x14ac:dyDescent="0.25">
      <c r="A216" s="124" t="s">
        <v>441</v>
      </c>
      <c r="B216" s="123" t="s">
        <v>222</v>
      </c>
      <c r="C216">
        <v>554471</v>
      </c>
      <c r="D216" s="123" t="s">
        <v>233</v>
      </c>
      <c r="E216">
        <v>2</v>
      </c>
      <c r="F216" s="160">
        <v>554471</v>
      </c>
    </row>
    <row r="217" spans="1:6" x14ac:dyDescent="0.25">
      <c r="A217" s="124" t="s">
        <v>441</v>
      </c>
      <c r="B217" s="123" t="s">
        <v>222</v>
      </c>
      <c r="C217">
        <v>454481</v>
      </c>
      <c r="D217" s="123" t="s">
        <v>234</v>
      </c>
      <c r="E217">
        <v>11.12</v>
      </c>
      <c r="F217" s="160">
        <v>454481</v>
      </c>
    </row>
    <row r="218" spans="1:6" x14ac:dyDescent="0.25">
      <c r="A218" s="124" t="s">
        <v>441</v>
      </c>
      <c r="B218" s="123" t="s">
        <v>222</v>
      </c>
      <c r="C218">
        <v>554486</v>
      </c>
      <c r="D218" s="123" t="s">
        <v>235</v>
      </c>
      <c r="E218">
        <v>5</v>
      </c>
      <c r="F218" s="160">
        <v>554486</v>
      </c>
    </row>
    <row r="219" spans="1:6" x14ac:dyDescent="0.25">
      <c r="A219" s="124" t="s">
        <v>441</v>
      </c>
      <c r="B219" s="123" t="s">
        <v>222</v>
      </c>
      <c r="C219">
        <v>554491</v>
      </c>
      <c r="D219" s="123" t="s">
        <v>236</v>
      </c>
      <c r="E219">
        <v>2.88</v>
      </c>
      <c r="F219" s="160">
        <v>554491</v>
      </c>
    </row>
    <row r="220" spans="1:6" x14ac:dyDescent="0.25">
      <c r="A220" s="124" t="s">
        <v>441</v>
      </c>
      <c r="B220" s="123" t="s">
        <v>222</v>
      </c>
      <c r="C220">
        <v>554601</v>
      </c>
      <c r="D220" s="123" t="s">
        <v>237</v>
      </c>
      <c r="E220">
        <v>4.88</v>
      </c>
      <c r="F220" s="160">
        <v>554601</v>
      </c>
    </row>
    <row r="221" spans="1:6" x14ac:dyDescent="0.25">
      <c r="A221" s="124" t="s">
        <v>441</v>
      </c>
      <c r="B221" s="123" t="s">
        <v>222</v>
      </c>
      <c r="C221">
        <v>554611</v>
      </c>
      <c r="D221" s="123" t="s">
        <v>238</v>
      </c>
      <c r="E221">
        <v>2.91</v>
      </c>
      <c r="F221" s="160">
        <v>554611</v>
      </c>
    </row>
    <row r="222" spans="1:6" x14ac:dyDescent="0.25">
      <c r="A222" s="124" t="s">
        <v>441</v>
      </c>
      <c r="B222" s="123" t="s">
        <v>222</v>
      </c>
      <c r="C222">
        <v>554636</v>
      </c>
      <c r="D222" s="123" t="s">
        <v>239</v>
      </c>
      <c r="E222">
        <v>2</v>
      </c>
      <c r="F222" s="160">
        <v>554636</v>
      </c>
    </row>
    <row r="223" spans="1:6" x14ac:dyDescent="0.25">
      <c r="A223" s="124" t="s">
        <v>441</v>
      </c>
      <c r="B223" s="123" t="s">
        <v>222</v>
      </c>
      <c r="C223">
        <v>454671</v>
      </c>
      <c r="D223" s="123" t="s">
        <v>240</v>
      </c>
      <c r="E223">
        <v>4.96</v>
      </c>
      <c r="F223" s="160">
        <v>454671</v>
      </c>
    </row>
    <row r="224" spans="1:6" x14ac:dyDescent="0.25">
      <c r="A224" s="124" t="s">
        <v>441</v>
      </c>
      <c r="B224" s="123" t="s">
        <v>442</v>
      </c>
      <c r="C224">
        <v>554184</v>
      </c>
      <c r="D224" s="123" t="s">
        <v>242</v>
      </c>
      <c r="E224">
        <v>4.6500000000000004</v>
      </c>
      <c r="F224" s="160">
        <v>554184</v>
      </c>
    </row>
    <row r="225" spans="1:6" x14ac:dyDescent="0.25">
      <c r="A225" s="124" t="s">
        <v>441</v>
      </c>
      <c r="B225" s="123" t="s">
        <v>442</v>
      </c>
      <c r="C225">
        <v>554506</v>
      </c>
      <c r="D225" s="123" t="s">
        <v>243</v>
      </c>
      <c r="E225">
        <v>2</v>
      </c>
      <c r="F225" s="160">
        <v>554506</v>
      </c>
    </row>
    <row r="226" spans="1:6" x14ac:dyDescent="0.25">
      <c r="A226" s="124" t="s">
        <v>441</v>
      </c>
      <c r="B226" s="123" t="s">
        <v>442</v>
      </c>
      <c r="C226">
        <v>554196</v>
      </c>
      <c r="D226" s="123" t="s">
        <v>244</v>
      </c>
      <c r="E226">
        <v>3.56</v>
      </c>
      <c r="F226" s="160">
        <v>554196</v>
      </c>
    </row>
    <row r="227" spans="1:6" x14ac:dyDescent="0.25">
      <c r="A227" s="124" t="s">
        <v>441</v>
      </c>
      <c r="B227" s="123" t="s">
        <v>442</v>
      </c>
      <c r="C227">
        <v>554257</v>
      </c>
      <c r="D227" s="123" t="s">
        <v>245</v>
      </c>
      <c r="E227">
        <v>3.78</v>
      </c>
      <c r="F227" s="160">
        <v>554257</v>
      </c>
    </row>
    <row r="228" spans="1:6" x14ac:dyDescent="0.25">
      <c r="A228" s="124" t="s">
        <v>441</v>
      </c>
      <c r="B228" s="123" t="s">
        <v>442</v>
      </c>
      <c r="C228">
        <v>554321</v>
      </c>
      <c r="D228" s="123" t="s">
        <v>246</v>
      </c>
      <c r="E228">
        <v>3</v>
      </c>
      <c r="F228" s="160">
        <v>554321</v>
      </c>
    </row>
    <row r="229" spans="1:6" x14ac:dyDescent="0.25">
      <c r="A229" s="124" t="s">
        <v>441</v>
      </c>
      <c r="B229" s="123" t="s">
        <v>442</v>
      </c>
      <c r="C229">
        <v>454355</v>
      </c>
      <c r="D229" s="123" t="s">
        <v>247</v>
      </c>
      <c r="E229">
        <v>3.78</v>
      </c>
      <c r="F229" s="160">
        <v>454355</v>
      </c>
    </row>
    <row r="230" spans="1:6" x14ac:dyDescent="0.25">
      <c r="A230" s="124" t="s">
        <v>441</v>
      </c>
      <c r="B230" s="123" t="s">
        <v>442</v>
      </c>
      <c r="C230">
        <v>554357</v>
      </c>
      <c r="D230" s="123" t="s">
        <v>248</v>
      </c>
      <c r="E230">
        <v>5.09</v>
      </c>
      <c r="F230" s="160">
        <v>554357</v>
      </c>
    </row>
    <row r="231" spans="1:6" x14ac:dyDescent="0.25">
      <c r="A231" s="124" t="s">
        <v>441</v>
      </c>
      <c r="B231" s="123" t="s">
        <v>442</v>
      </c>
      <c r="C231">
        <v>554381</v>
      </c>
      <c r="D231" s="123" t="s">
        <v>249</v>
      </c>
      <c r="E231">
        <v>4.6500000000000004</v>
      </c>
      <c r="F231" s="160">
        <v>554381</v>
      </c>
    </row>
    <row r="232" spans="1:6" x14ac:dyDescent="0.25">
      <c r="A232" s="124" t="s">
        <v>441</v>
      </c>
      <c r="B232" s="123" t="s">
        <v>442</v>
      </c>
      <c r="C232">
        <v>554376</v>
      </c>
      <c r="D232" s="123" t="s">
        <v>250</v>
      </c>
      <c r="E232">
        <v>3</v>
      </c>
      <c r="F232" s="160">
        <v>554376</v>
      </c>
    </row>
    <row r="233" spans="1:6" x14ac:dyDescent="0.25">
      <c r="A233" s="124" t="s">
        <v>441</v>
      </c>
      <c r="B233" s="123" t="s">
        <v>442</v>
      </c>
      <c r="C233">
        <v>554416</v>
      </c>
      <c r="D233" s="123" t="s">
        <v>251</v>
      </c>
      <c r="E233">
        <v>4</v>
      </c>
      <c r="F233" s="160">
        <v>554416</v>
      </c>
    </row>
    <row r="234" spans="1:6" x14ac:dyDescent="0.25">
      <c r="A234" s="124" t="s">
        <v>441</v>
      </c>
      <c r="B234" s="123" t="s">
        <v>442</v>
      </c>
      <c r="C234">
        <v>454466</v>
      </c>
      <c r="D234" s="123" t="s">
        <v>252</v>
      </c>
      <c r="E234">
        <v>1.83</v>
      </c>
      <c r="F234" s="160">
        <v>454466</v>
      </c>
    </row>
    <row r="235" spans="1:6" x14ac:dyDescent="0.25">
      <c r="A235" s="124" t="s">
        <v>441</v>
      </c>
      <c r="B235" s="123" t="s">
        <v>442</v>
      </c>
      <c r="C235">
        <v>554496</v>
      </c>
      <c r="D235" s="123" t="s">
        <v>253</v>
      </c>
      <c r="E235">
        <v>3</v>
      </c>
      <c r="F235" s="160">
        <v>554496</v>
      </c>
    </row>
    <row r="236" spans="1:6" x14ac:dyDescent="0.25">
      <c r="A236" s="124" t="s">
        <v>441</v>
      </c>
      <c r="B236" s="123" t="s">
        <v>442</v>
      </c>
      <c r="C236">
        <v>554516</v>
      </c>
      <c r="D236" s="123" t="s">
        <v>254</v>
      </c>
      <c r="E236">
        <v>2.5</v>
      </c>
      <c r="F236" s="160">
        <v>554516</v>
      </c>
    </row>
    <row r="237" spans="1:6" x14ac:dyDescent="0.25">
      <c r="A237" s="124" t="s">
        <v>441</v>
      </c>
      <c r="B237" s="123" t="s">
        <v>442</v>
      </c>
      <c r="C237">
        <v>554531</v>
      </c>
      <c r="D237" s="123" t="s">
        <v>255</v>
      </c>
      <c r="E237">
        <v>2.96</v>
      </c>
      <c r="F237" s="160">
        <v>554531</v>
      </c>
    </row>
    <row r="238" spans="1:6" x14ac:dyDescent="0.25">
      <c r="A238" s="124" t="s">
        <v>441</v>
      </c>
      <c r="B238" s="123" t="s">
        <v>442</v>
      </c>
      <c r="C238">
        <v>554533</v>
      </c>
      <c r="D238" s="123" t="s">
        <v>256</v>
      </c>
      <c r="E238">
        <v>2.88</v>
      </c>
      <c r="F238" s="160">
        <v>554533</v>
      </c>
    </row>
    <row r="239" spans="1:6" x14ac:dyDescent="0.25">
      <c r="A239" s="124" t="s">
        <v>441</v>
      </c>
      <c r="B239" s="123" t="s">
        <v>442</v>
      </c>
      <c r="C239">
        <v>454535</v>
      </c>
      <c r="D239" s="123" t="s">
        <v>257</v>
      </c>
      <c r="E239">
        <v>6.48</v>
      </c>
      <c r="F239" s="160">
        <v>454535</v>
      </c>
    </row>
    <row r="240" spans="1:6" x14ac:dyDescent="0.25">
      <c r="A240" s="124" t="s">
        <v>441</v>
      </c>
      <c r="B240" s="123" t="s">
        <v>442</v>
      </c>
      <c r="C240">
        <v>454651</v>
      </c>
      <c r="D240" s="123" t="s">
        <v>258</v>
      </c>
      <c r="E240">
        <v>11.17</v>
      </c>
      <c r="F240" s="160">
        <v>454651</v>
      </c>
    </row>
    <row r="241" spans="1:6" x14ac:dyDescent="0.25">
      <c r="A241" s="124" t="s">
        <v>441</v>
      </c>
      <c r="B241" s="123" t="s">
        <v>442</v>
      </c>
      <c r="C241">
        <v>554686</v>
      </c>
      <c r="D241" s="123" t="s">
        <v>259</v>
      </c>
      <c r="E241">
        <v>1.5</v>
      </c>
      <c r="F241" s="160">
        <v>554686</v>
      </c>
    </row>
    <row r="242" spans="1:6" x14ac:dyDescent="0.25">
      <c r="A242" s="124" t="s">
        <v>441</v>
      </c>
      <c r="B242" s="123" t="s">
        <v>442</v>
      </c>
      <c r="C242">
        <v>454696</v>
      </c>
      <c r="D242" s="123" t="s">
        <v>260</v>
      </c>
      <c r="E242">
        <v>2.71</v>
      </c>
      <c r="F242" s="160">
        <v>454696</v>
      </c>
    </row>
    <row r="243" spans="1:6" x14ac:dyDescent="0.25">
      <c r="A243" s="124" t="s">
        <v>441</v>
      </c>
      <c r="B243" s="123" t="s">
        <v>261</v>
      </c>
      <c r="C243">
        <v>455151</v>
      </c>
      <c r="D243" s="123" t="s">
        <v>262</v>
      </c>
      <c r="E243">
        <v>9.74</v>
      </c>
      <c r="F243" s="160">
        <v>455151</v>
      </c>
    </row>
    <row r="244" spans="1:6" x14ac:dyDescent="0.25">
      <c r="A244" s="124" t="s">
        <v>441</v>
      </c>
      <c r="B244" s="123" t="s">
        <v>261</v>
      </c>
      <c r="C244">
        <v>455231</v>
      </c>
      <c r="D244" s="123" t="s">
        <v>263</v>
      </c>
      <c r="E244">
        <v>4.8499999999999996</v>
      </c>
      <c r="F244" s="160">
        <v>455231</v>
      </c>
    </row>
    <row r="245" spans="1:6" x14ac:dyDescent="0.25">
      <c r="A245" s="124" t="s">
        <v>441</v>
      </c>
      <c r="B245" s="123" t="s">
        <v>261</v>
      </c>
      <c r="C245">
        <v>455298</v>
      </c>
      <c r="D245" s="123" t="s">
        <v>264</v>
      </c>
      <c r="E245">
        <v>1.8</v>
      </c>
      <c r="F245" s="160">
        <v>455298</v>
      </c>
    </row>
    <row r="246" spans="1:6" x14ac:dyDescent="0.25">
      <c r="A246" s="124" t="s">
        <v>441</v>
      </c>
      <c r="B246" s="123" t="s">
        <v>261</v>
      </c>
      <c r="C246">
        <v>555406</v>
      </c>
      <c r="D246" s="123" t="s">
        <v>265</v>
      </c>
      <c r="E246">
        <v>2.91</v>
      </c>
      <c r="F246" s="160">
        <v>555406</v>
      </c>
    </row>
    <row r="247" spans="1:6" x14ac:dyDescent="0.25">
      <c r="A247" s="124" t="s">
        <v>441</v>
      </c>
      <c r="B247" s="123" t="s">
        <v>261</v>
      </c>
      <c r="C247">
        <v>554412</v>
      </c>
      <c r="D247" s="123" t="s">
        <v>266</v>
      </c>
      <c r="E247">
        <v>3</v>
      </c>
      <c r="F247" s="160">
        <v>554412</v>
      </c>
    </row>
    <row r="248" spans="1:6" x14ac:dyDescent="0.25">
      <c r="A248" s="124" t="s">
        <v>441</v>
      </c>
      <c r="B248" s="123" t="s">
        <v>261</v>
      </c>
      <c r="C248">
        <v>554413</v>
      </c>
      <c r="D248" s="123" t="s">
        <v>267</v>
      </c>
      <c r="E248">
        <v>3.87</v>
      </c>
      <c r="F248" s="160">
        <v>554413</v>
      </c>
    </row>
    <row r="249" spans="1:6" x14ac:dyDescent="0.25">
      <c r="A249" s="124" t="s">
        <v>441</v>
      </c>
      <c r="B249" s="123" t="s">
        <v>261</v>
      </c>
      <c r="C249">
        <v>454414</v>
      </c>
      <c r="D249" s="123" t="s">
        <v>268</v>
      </c>
      <c r="E249">
        <v>3.5</v>
      </c>
      <c r="F249" s="160">
        <v>454414</v>
      </c>
    </row>
    <row r="250" spans="1:6" x14ac:dyDescent="0.25">
      <c r="A250" s="124" t="s">
        <v>441</v>
      </c>
      <c r="B250" s="123" t="s">
        <v>261</v>
      </c>
      <c r="C250">
        <v>455456</v>
      </c>
      <c r="D250" s="123" t="s">
        <v>269</v>
      </c>
      <c r="E250">
        <v>1.8</v>
      </c>
      <c r="F250" s="160">
        <v>455456</v>
      </c>
    </row>
    <row r="251" spans="1:6" x14ac:dyDescent="0.25">
      <c r="A251" s="124" t="s">
        <v>441</v>
      </c>
      <c r="B251" s="123" t="s">
        <v>261</v>
      </c>
      <c r="C251">
        <v>455566</v>
      </c>
      <c r="D251" s="123" t="s">
        <v>270</v>
      </c>
      <c r="E251">
        <v>2.65</v>
      </c>
      <c r="F251" s="160">
        <v>455566</v>
      </c>
    </row>
    <row r="252" spans="1:6" x14ac:dyDescent="0.25">
      <c r="A252" s="124" t="s">
        <v>441</v>
      </c>
      <c r="B252" s="123" t="s">
        <v>261</v>
      </c>
      <c r="C252">
        <v>555624</v>
      </c>
      <c r="D252" s="123" t="s">
        <v>271</v>
      </c>
      <c r="E252">
        <v>3.1</v>
      </c>
      <c r="F252" s="160">
        <v>555624</v>
      </c>
    </row>
    <row r="253" spans="1:6" x14ac:dyDescent="0.25">
      <c r="A253" s="124" t="s">
        <v>441</v>
      </c>
      <c r="B253" s="123" t="s">
        <v>261</v>
      </c>
      <c r="C253">
        <v>455676</v>
      </c>
      <c r="D253" s="123" t="s">
        <v>272</v>
      </c>
      <c r="E253">
        <v>2</v>
      </c>
      <c r="F253" s="160">
        <v>455676</v>
      </c>
    </row>
    <row r="254" spans="1:6" x14ac:dyDescent="0.25">
      <c r="A254" s="124" t="s">
        <v>441</v>
      </c>
      <c r="B254" s="123" t="s">
        <v>261</v>
      </c>
      <c r="C254">
        <v>455678</v>
      </c>
      <c r="D254" s="123" t="s">
        <v>273</v>
      </c>
      <c r="E254">
        <v>7.89</v>
      </c>
      <c r="F254" s="160">
        <v>455678</v>
      </c>
    </row>
    <row r="255" spans="1:6" x14ac:dyDescent="0.25">
      <c r="A255" s="124" t="s">
        <v>441</v>
      </c>
      <c r="B255" s="123" t="s">
        <v>261</v>
      </c>
      <c r="C255">
        <v>555679</v>
      </c>
      <c r="D255" s="123" t="s">
        <v>274</v>
      </c>
      <c r="E255">
        <v>4</v>
      </c>
      <c r="F255" s="160">
        <v>555679</v>
      </c>
    </row>
    <row r="256" spans="1:6" x14ac:dyDescent="0.25">
      <c r="A256" s="124" t="s">
        <v>441</v>
      </c>
      <c r="B256" s="123" t="s">
        <v>261</v>
      </c>
      <c r="C256">
        <v>554700</v>
      </c>
      <c r="D256" s="123" t="s">
        <v>275</v>
      </c>
      <c r="E256">
        <v>3</v>
      </c>
      <c r="F256" s="160">
        <v>554700</v>
      </c>
    </row>
    <row r="257" spans="1:6" x14ac:dyDescent="0.25">
      <c r="A257" s="123" t="s">
        <v>276</v>
      </c>
      <c r="B257" s="123" t="s">
        <v>277</v>
      </c>
      <c r="C257">
        <v>557105</v>
      </c>
      <c r="D257" s="123" t="s">
        <v>278</v>
      </c>
      <c r="E257">
        <v>4.0999999999999996</v>
      </c>
      <c r="F257" s="160">
        <v>557105</v>
      </c>
    </row>
    <row r="258" spans="1:6" x14ac:dyDescent="0.25">
      <c r="A258" s="123" t="s">
        <v>276</v>
      </c>
      <c r="B258" s="123" t="s">
        <v>277</v>
      </c>
      <c r="C258">
        <v>557178</v>
      </c>
      <c r="D258" s="123" t="s">
        <v>279</v>
      </c>
      <c r="E258">
        <v>3.26</v>
      </c>
      <c r="F258" s="160">
        <v>557178</v>
      </c>
    </row>
    <row r="259" spans="1:6" x14ac:dyDescent="0.25">
      <c r="A259" s="123" t="s">
        <v>276</v>
      </c>
      <c r="B259" s="123" t="s">
        <v>277</v>
      </c>
      <c r="C259">
        <v>557224</v>
      </c>
      <c r="D259" s="123" t="s">
        <v>280</v>
      </c>
      <c r="E259">
        <v>3.63</v>
      </c>
      <c r="F259" s="160">
        <v>557224</v>
      </c>
    </row>
    <row r="260" spans="1:6" x14ac:dyDescent="0.25">
      <c r="A260" s="123" t="s">
        <v>276</v>
      </c>
      <c r="B260" s="123" t="s">
        <v>277</v>
      </c>
      <c r="C260">
        <v>557432</v>
      </c>
      <c r="D260" s="123" t="s">
        <v>281</v>
      </c>
      <c r="E260">
        <v>3.8</v>
      </c>
      <c r="F260" s="160">
        <v>557432</v>
      </c>
    </row>
    <row r="261" spans="1:6" x14ac:dyDescent="0.25">
      <c r="A261" s="123" t="s">
        <v>276</v>
      </c>
      <c r="B261" s="123" t="s">
        <v>277</v>
      </c>
      <c r="C261">
        <v>557433</v>
      </c>
      <c r="D261" s="123" t="s">
        <v>282</v>
      </c>
      <c r="E261">
        <v>3.13</v>
      </c>
      <c r="F261" s="160">
        <v>557433</v>
      </c>
    </row>
    <row r="262" spans="1:6" x14ac:dyDescent="0.25">
      <c r="A262" s="123" t="s">
        <v>276</v>
      </c>
      <c r="B262" s="123" t="s">
        <v>277</v>
      </c>
      <c r="C262">
        <v>557434</v>
      </c>
      <c r="D262" s="123" t="s">
        <v>283</v>
      </c>
      <c r="E262">
        <v>4.0999999999999996</v>
      </c>
      <c r="F262" s="160">
        <v>557434</v>
      </c>
    </row>
    <row r="263" spans="1:6" x14ac:dyDescent="0.25">
      <c r="A263" s="123" t="s">
        <v>276</v>
      </c>
      <c r="B263" s="123" t="s">
        <v>277</v>
      </c>
      <c r="C263">
        <v>557436</v>
      </c>
      <c r="D263" s="123" t="s">
        <v>284</v>
      </c>
      <c r="E263">
        <v>5.09</v>
      </c>
      <c r="F263" s="160">
        <v>557436</v>
      </c>
    </row>
    <row r="264" spans="1:6" x14ac:dyDescent="0.25">
      <c r="A264" s="123" t="s">
        <v>276</v>
      </c>
      <c r="B264" s="123" t="s">
        <v>277</v>
      </c>
      <c r="C264">
        <v>557440</v>
      </c>
      <c r="D264" s="123" t="s">
        <v>285</v>
      </c>
      <c r="E264">
        <v>3.13</v>
      </c>
      <c r="F264" s="160">
        <v>557440</v>
      </c>
    </row>
    <row r="265" spans="1:6" x14ac:dyDescent="0.25">
      <c r="A265" s="123" t="s">
        <v>276</v>
      </c>
      <c r="B265" s="123" t="s">
        <v>277</v>
      </c>
      <c r="C265">
        <v>557441</v>
      </c>
      <c r="D265" s="123" t="s">
        <v>286</v>
      </c>
      <c r="E265">
        <v>3.13</v>
      </c>
      <c r="F265" s="160">
        <v>557441</v>
      </c>
    </row>
    <row r="266" spans="1:6" x14ac:dyDescent="0.25">
      <c r="A266" s="123" t="s">
        <v>276</v>
      </c>
      <c r="B266" s="123" t="s">
        <v>277</v>
      </c>
      <c r="C266">
        <v>557439</v>
      </c>
      <c r="D266" s="123" t="s">
        <v>287</v>
      </c>
      <c r="E266">
        <v>4.05</v>
      </c>
      <c r="F266" s="160">
        <v>557439</v>
      </c>
    </row>
    <row r="267" spans="1:6" x14ac:dyDescent="0.25">
      <c r="A267" s="123" t="s">
        <v>276</v>
      </c>
      <c r="B267" s="123" t="s">
        <v>277</v>
      </c>
      <c r="C267">
        <v>457443</v>
      </c>
      <c r="D267" s="123" t="s">
        <v>288</v>
      </c>
      <c r="E267">
        <v>4.18</v>
      </c>
      <c r="F267" s="160">
        <v>457443</v>
      </c>
    </row>
    <row r="268" spans="1:6" x14ac:dyDescent="0.25">
      <c r="A268" s="123" t="s">
        <v>276</v>
      </c>
      <c r="B268" s="123" t="s">
        <v>277</v>
      </c>
      <c r="C268">
        <v>557445</v>
      </c>
      <c r="D268" s="123" t="s">
        <v>289</v>
      </c>
      <c r="E268">
        <v>3.07</v>
      </c>
      <c r="F268" s="160">
        <v>557445</v>
      </c>
    </row>
    <row r="269" spans="1:6" x14ac:dyDescent="0.25">
      <c r="A269" s="123" t="s">
        <v>276</v>
      </c>
      <c r="B269" s="123" t="s">
        <v>277</v>
      </c>
      <c r="C269">
        <v>457446</v>
      </c>
      <c r="D269" s="123" t="s">
        <v>290</v>
      </c>
      <c r="E269">
        <v>7.5</v>
      </c>
      <c r="F269" s="160">
        <v>457446</v>
      </c>
    </row>
    <row r="270" spans="1:6" x14ac:dyDescent="0.25">
      <c r="A270" s="123" t="s">
        <v>276</v>
      </c>
      <c r="B270" s="123" t="s">
        <v>277</v>
      </c>
      <c r="C270">
        <v>557447</v>
      </c>
      <c r="D270" s="123" t="s">
        <v>291</v>
      </c>
      <c r="E270">
        <v>3.13</v>
      </c>
      <c r="F270" s="160">
        <v>557447</v>
      </c>
    </row>
    <row r="271" spans="1:6" x14ac:dyDescent="0.25">
      <c r="A271" s="123" t="s">
        <v>276</v>
      </c>
      <c r="B271" s="123" t="s">
        <v>277</v>
      </c>
      <c r="C271">
        <v>557437</v>
      </c>
      <c r="D271" s="123" t="s">
        <v>292</v>
      </c>
      <c r="E271">
        <v>3.1</v>
      </c>
      <c r="F271" s="160">
        <v>557437</v>
      </c>
    </row>
    <row r="272" spans="1:6" x14ac:dyDescent="0.25">
      <c r="A272" s="123" t="s">
        <v>276</v>
      </c>
      <c r="B272" s="123" t="s">
        <v>277</v>
      </c>
      <c r="C272">
        <v>457453</v>
      </c>
      <c r="D272" s="123" t="s">
        <v>293</v>
      </c>
      <c r="E272">
        <v>8.3699999999999992</v>
      </c>
      <c r="F272" s="160">
        <v>457453</v>
      </c>
    </row>
    <row r="273" spans="1:6" x14ac:dyDescent="0.25">
      <c r="A273" s="123" t="s">
        <v>276</v>
      </c>
      <c r="B273" s="123" t="s">
        <v>277</v>
      </c>
      <c r="C273">
        <v>557459</v>
      </c>
      <c r="D273" s="123" t="s">
        <v>294</v>
      </c>
      <c r="E273">
        <v>3.64</v>
      </c>
      <c r="F273" s="160">
        <v>557459</v>
      </c>
    </row>
    <row r="274" spans="1:6" x14ac:dyDescent="0.25">
      <c r="A274" s="123" t="s">
        <v>276</v>
      </c>
      <c r="B274" s="123" t="s">
        <v>277</v>
      </c>
      <c r="C274">
        <v>557559</v>
      </c>
      <c r="D274" s="123" t="s">
        <v>295</v>
      </c>
      <c r="E274">
        <v>4</v>
      </c>
      <c r="F274" s="160">
        <v>557559</v>
      </c>
    </row>
    <row r="275" spans="1:6" x14ac:dyDescent="0.25">
      <c r="A275" s="123" t="s">
        <v>276</v>
      </c>
      <c r="B275" s="123" t="s">
        <v>277</v>
      </c>
      <c r="C275">
        <v>457574</v>
      </c>
      <c r="D275" s="123" t="s">
        <v>296</v>
      </c>
      <c r="E275">
        <v>3.13</v>
      </c>
      <c r="F275" s="160">
        <v>457574</v>
      </c>
    </row>
    <row r="276" spans="1:6" x14ac:dyDescent="0.25">
      <c r="A276" s="123" t="s">
        <v>276</v>
      </c>
      <c r="B276" s="123" t="s">
        <v>277</v>
      </c>
      <c r="C276">
        <v>557444</v>
      </c>
      <c r="D276" s="123" t="s">
        <v>298</v>
      </c>
      <c r="E276">
        <v>6.09</v>
      </c>
      <c r="F276" s="160">
        <v>557444</v>
      </c>
    </row>
    <row r="277" spans="1:6" x14ac:dyDescent="0.25">
      <c r="A277" s="123" t="s">
        <v>276</v>
      </c>
      <c r="B277" s="123" t="s">
        <v>277</v>
      </c>
      <c r="C277">
        <v>557612</v>
      </c>
      <c r="D277" s="123" t="s">
        <v>297</v>
      </c>
      <c r="E277">
        <v>4.18</v>
      </c>
      <c r="F277" s="160">
        <v>557612</v>
      </c>
    </row>
    <row r="278" spans="1:6" x14ac:dyDescent="0.25">
      <c r="A278" s="123" t="s">
        <v>276</v>
      </c>
      <c r="B278" s="123" t="s">
        <v>277</v>
      </c>
      <c r="C278">
        <v>557712</v>
      </c>
      <c r="D278" s="123" t="s">
        <v>299</v>
      </c>
      <c r="E278">
        <v>5.93</v>
      </c>
      <c r="F278" s="160">
        <v>557712</v>
      </c>
    </row>
    <row r="279" spans="1:6" x14ac:dyDescent="0.25">
      <c r="A279" s="123" t="s">
        <v>276</v>
      </c>
      <c r="B279" s="123" t="s">
        <v>427</v>
      </c>
      <c r="C279">
        <v>457163</v>
      </c>
      <c r="D279" s="123" t="s">
        <v>301</v>
      </c>
      <c r="E279">
        <v>2.83</v>
      </c>
      <c r="F279" s="160">
        <v>457163</v>
      </c>
    </row>
    <row r="280" spans="1:6" x14ac:dyDescent="0.25">
      <c r="A280" s="123" t="s">
        <v>276</v>
      </c>
      <c r="B280" s="123" t="s">
        <v>427</v>
      </c>
      <c r="C280">
        <v>457165</v>
      </c>
      <c r="D280" s="123" t="s">
        <v>302</v>
      </c>
      <c r="E280">
        <v>3.23</v>
      </c>
      <c r="F280" s="160">
        <v>457165</v>
      </c>
    </row>
    <row r="281" spans="1:6" x14ac:dyDescent="0.25">
      <c r="A281" s="123" t="s">
        <v>276</v>
      </c>
      <c r="B281" s="123" t="s">
        <v>427</v>
      </c>
      <c r="C281">
        <v>557210</v>
      </c>
      <c r="D281" s="123" t="s">
        <v>303</v>
      </c>
      <c r="E281">
        <v>3.13</v>
      </c>
      <c r="F281" s="160">
        <v>557210</v>
      </c>
    </row>
    <row r="282" spans="1:6" x14ac:dyDescent="0.25">
      <c r="A282" s="123" t="s">
        <v>276</v>
      </c>
      <c r="B282" s="123" t="s">
        <v>427</v>
      </c>
      <c r="C282">
        <v>557250</v>
      </c>
      <c r="D282" s="123" t="s">
        <v>304</v>
      </c>
      <c r="E282">
        <v>3.23</v>
      </c>
      <c r="F282" s="160">
        <v>557250</v>
      </c>
    </row>
    <row r="283" spans="1:6" x14ac:dyDescent="0.25">
      <c r="A283" s="123" t="s">
        <v>276</v>
      </c>
      <c r="B283" s="123" t="s">
        <v>427</v>
      </c>
      <c r="C283">
        <v>457258</v>
      </c>
      <c r="D283" s="123" t="s">
        <v>305</v>
      </c>
      <c r="E283">
        <v>3.68</v>
      </c>
      <c r="F283" s="160">
        <v>457258</v>
      </c>
    </row>
    <row r="284" spans="1:6" x14ac:dyDescent="0.25">
      <c r="A284" s="123" t="s">
        <v>276</v>
      </c>
      <c r="B284" s="123" t="s">
        <v>427</v>
      </c>
      <c r="C284">
        <v>557305</v>
      </c>
      <c r="D284" s="123" t="s">
        <v>306</v>
      </c>
      <c r="E284">
        <v>2</v>
      </c>
      <c r="F284" s="160">
        <v>557305</v>
      </c>
    </row>
    <row r="285" spans="1:6" x14ac:dyDescent="0.25">
      <c r="A285" s="123" t="s">
        <v>276</v>
      </c>
      <c r="B285" s="123" t="s">
        <v>427</v>
      </c>
      <c r="C285">
        <v>457308</v>
      </c>
      <c r="D285" s="123" t="s">
        <v>307</v>
      </c>
      <c r="E285">
        <v>11</v>
      </c>
      <c r="F285" s="160">
        <v>457308</v>
      </c>
    </row>
    <row r="286" spans="1:6" x14ac:dyDescent="0.25">
      <c r="A286" s="123" t="s">
        <v>276</v>
      </c>
      <c r="B286" s="123" t="s">
        <v>427</v>
      </c>
      <c r="C286">
        <v>457345</v>
      </c>
      <c r="D286" s="123" t="s">
        <v>308</v>
      </c>
      <c r="E286">
        <v>2.35</v>
      </c>
      <c r="F286" s="160">
        <v>457345</v>
      </c>
    </row>
    <row r="287" spans="1:6" x14ac:dyDescent="0.25">
      <c r="A287" s="123" t="s">
        <v>276</v>
      </c>
      <c r="B287" s="123" t="s">
        <v>427</v>
      </c>
      <c r="C287">
        <v>557353</v>
      </c>
      <c r="D287" s="123" t="s">
        <v>309</v>
      </c>
      <c r="E287">
        <v>1.9</v>
      </c>
      <c r="F287" s="160">
        <v>557353</v>
      </c>
    </row>
    <row r="288" spans="1:6" x14ac:dyDescent="0.25">
      <c r="A288" s="123" t="s">
        <v>276</v>
      </c>
      <c r="B288" s="123" t="s">
        <v>427</v>
      </c>
      <c r="C288">
        <v>457435</v>
      </c>
      <c r="D288" s="123" t="s">
        <v>310</v>
      </c>
      <c r="E288">
        <v>3</v>
      </c>
      <c r="F288" s="160">
        <v>457435</v>
      </c>
    </row>
    <row r="289" spans="1:6" x14ac:dyDescent="0.25">
      <c r="A289" s="123" t="s">
        <v>276</v>
      </c>
      <c r="B289" s="123" t="s">
        <v>427</v>
      </c>
      <c r="C289">
        <v>557458</v>
      </c>
      <c r="D289" s="123" t="s">
        <v>311</v>
      </c>
      <c r="E289">
        <v>2.09</v>
      </c>
      <c r="F289" s="160">
        <v>557458</v>
      </c>
    </row>
    <row r="290" spans="1:6" x14ac:dyDescent="0.25">
      <c r="A290" s="123" t="s">
        <v>276</v>
      </c>
      <c r="B290" s="123" t="s">
        <v>427</v>
      </c>
      <c r="C290">
        <v>557503</v>
      </c>
      <c r="D290" s="123" t="s">
        <v>312</v>
      </c>
      <c r="E290">
        <v>2.75</v>
      </c>
      <c r="F290" s="160">
        <v>557503</v>
      </c>
    </row>
    <row r="291" spans="1:6" x14ac:dyDescent="0.25">
      <c r="A291" s="123" t="s">
        <v>276</v>
      </c>
      <c r="B291" s="123" t="s">
        <v>427</v>
      </c>
      <c r="C291">
        <v>557523</v>
      </c>
      <c r="D291" s="123" t="s">
        <v>313</v>
      </c>
      <c r="E291">
        <v>3.75</v>
      </c>
      <c r="F291" s="160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Meilleures perf</vt:lpstr>
      <vt:lpstr>Structures EDS</vt:lpstr>
      <vt:lpstr>S0 remplacer avec S44</vt:lpstr>
      <vt:lpstr>ETP Challenge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A6705177</cp:lastModifiedBy>
  <cp:lastPrinted>2020-10-29T16:39:37Z</cp:lastPrinted>
  <dcterms:created xsi:type="dcterms:W3CDTF">2020-10-26T16:03:59Z</dcterms:created>
  <dcterms:modified xsi:type="dcterms:W3CDTF">2020-10-30T11:19:30Z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